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45" windowWidth="11340" windowHeight="8235" tabRatio="762" firstSheet="2" activeTab="10"/>
  </bookViews>
  <sheets>
    <sheet name="Stmt net assets" sheetId="10" r:id="rId1"/>
    <sheet name="Stmt of activities-GA rev" sheetId="9" r:id="rId2"/>
    <sheet name="Stmt of activities-GAexp" sheetId="8" r:id="rId3"/>
    <sheet name="Gen Bal" sheetId="7" r:id="rId4"/>
    <sheet name="GV Fund BS" sheetId="3" r:id="rId5"/>
    <sheet name="Gen rev" sheetId="1" r:id="rId6"/>
    <sheet name="Gen exp" sheetId="2" r:id="rId7"/>
    <sheet name="GVFund Rev" sheetId="4" r:id="rId8"/>
    <sheet name="GVFund Exp" sheetId="5" r:id="rId9"/>
    <sheet name="Water" sheetId="6" r:id="rId10"/>
    <sheet name="Sewer" sheetId="14" r:id="rId11"/>
    <sheet name="Electric" sheetId="13" r:id="rId12"/>
    <sheet name="LT Lia GA" sheetId="12" r:id="rId13"/>
    <sheet name="Sanitation" sheetId="15" r:id="rId14"/>
  </sheets>
  <definedNames>
    <definedName name="_xlnm.Print_Area" localSheetId="11">Electric!$A$13:$W$233,Electric!$Y$12:$AY$233,Electric!$BA$13:$BM$233</definedName>
    <definedName name="_xlnm.Print_Area" localSheetId="3">'Gen Bal'!$A$10:$S$256</definedName>
    <definedName name="_xlnm.Print_Area" localSheetId="6">'Gen exp'!$A$10:$AG$256</definedName>
    <definedName name="_xlnm.Print_Area" localSheetId="5">'Gen rev'!$A$10:$W$257</definedName>
    <definedName name="_xlnm.Print_Area" localSheetId="4">'GV Fund BS'!$A$10:$S$256</definedName>
    <definedName name="_xlnm.Print_Area" localSheetId="8">'GVFund Exp'!$A$10:$AL$255</definedName>
    <definedName name="_xlnm.Print_Area" localSheetId="7">'GVFund Rev'!$A$10:$W$257</definedName>
    <definedName name="_xlnm.Print_Area" localSheetId="12">'LT Lia GA'!$A$10:$U$256</definedName>
    <definedName name="_xlnm.Print_Area" localSheetId="13">Sanitation!$A$14:$W$245,Sanitation!$Y$14:$AY$245,Sanitation!$BA$14:$BM$245</definedName>
    <definedName name="_xlnm.Print_Area" localSheetId="10">Sewer!$A$10:$W$251,Sewer!$Y$10:$AY$251,Sewer!$BA$10:$BM$251</definedName>
    <definedName name="_xlnm.Print_Area" localSheetId="0">'Stmt net assets'!$A$10:$Y$256</definedName>
    <definedName name="_xlnm.Print_Area" localSheetId="1">'Stmt of activities-GA rev'!$A$10:$AC$256</definedName>
    <definedName name="_xlnm.Print_Area" localSheetId="2">'Stmt of activities-GAexp'!$A$10:$AA$256</definedName>
    <definedName name="_xlnm.Print_Area" localSheetId="9">Water!$A$12:$W$255,Water!$Z$12:$AZ$255,Water!$BB$12:$BN$255</definedName>
    <definedName name="_xlnm.Print_Titles" localSheetId="11">Electric!$1:$10</definedName>
    <definedName name="_xlnm.Print_Titles" localSheetId="3">'Gen Bal'!$1:$9</definedName>
    <definedName name="_xlnm.Print_Titles" localSheetId="6">'Gen exp'!$1:$9</definedName>
    <definedName name="_xlnm.Print_Titles" localSheetId="5">'Gen rev'!$1:$9</definedName>
    <definedName name="_xlnm.Print_Titles" localSheetId="4">'GV Fund BS'!$1:$9</definedName>
    <definedName name="_xlnm.Print_Titles" localSheetId="8">'GVFund Exp'!$1:$9</definedName>
    <definedName name="_xlnm.Print_Titles" localSheetId="7">'GVFund Rev'!$1:$9</definedName>
    <definedName name="_xlnm.Print_Titles" localSheetId="12">'LT Lia GA'!$1:$9</definedName>
    <definedName name="_xlnm.Print_Titles" localSheetId="13">Sanitation!$1:$10</definedName>
    <definedName name="_xlnm.Print_Titles" localSheetId="10">Sewer!$1:$9</definedName>
    <definedName name="_xlnm.Print_Titles" localSheetId="0">'Stmt net assets'!$1:$9</definedName>
    <definedName name="_xlnm.Print_Titles" localSheetId="1">'Stmt of activities-GA rev'!$1:$9</definedName>
    <definedName name="_xlnm.Print_Titles" localSheetId="2">'Stmt of activities-GAexp'!$1:$9</definedName>
    <definedName name="_xlnm.Print_Titles" localSheetId="9">Water!$1:$11</definedName>
  </definedNames>
  <calcPr calcId="125725"/>
</workbook>
</file>

<file path=xl/calcChain.xml><?xml version="1.0" encoding="utf-8"?>
<calcChain xmlns="http://schemas.openxmlformats.org/spreadsheetml/2006/main">
  <c r="AL235" i="5"/>
  <c r="G235"/>
  <c r="W236" i="4"/>
  <c r="Q236"/>
  <c r="G235" i="2"/>
  <c r="W236" i="1"/>
  <c r="Q236"/>
  <c r="Q236" i="3"/>
  <c r="E236" i="8"/>
  <c r="K235" i="9"/>
  <c r="U236" i="10"/>
  <c r="G236"/>
  <c r="Q236" i="12"/>
  <c r="BK223" i="14"/>
  <c r="BI223"/>
  <c r="AE223"/>
  <c r="BL226" i="6"/>
  <c r="BJ226"/>
  <c r="AF226"/>
  <c r="W228" i="4"/>
  <c r="Q228"/>
  <c r="I228"/>
  <c r="W228" i="1"/>
  <c r="Q228"/>
  <c r="Q228" i="3"/>
  <c r="O228"/>
  <c r="M228"/>
  <c r="O228" i="7"/>
  <c r="M228"/>
  <c r="U227" i="10"/>
  <c r="G227"/>
  <c r="E227" i="12"/>
  <c r="BL211" i="6"/>
  <c r="BJ211"/>
  <c r="AF211"/>
  <c r="AL212" i="5"/>
  <c r="W212" i="4"/>
  <c r="Q212"/>
  <c r="Q213" i="1"/>
  <c r="Q212" i="3"/>
  <c r="M212"/>
  <c r="M212" i="7"/>
  <c r="K212" i="8"/>
  <c r="M212" i="9"/>
  <c r="K212"/>
  <c r="U212" i="10"/>
  <c r="E212" i="12"/>
  <c r="Q212"/>
  <c r="W126" i="4"/>
  <c r="Q126"/>
  <c r="Q126" i="1"/>
  <c r="M126" i="3"/>
  <c r="Q126"/>
  <c r="M126" i="7"/>
  <c r="M125" i="9"/>
  <c r="K125"/>
  <c r="U126" i="10"/>
  <c r="G126"/>
  <c r="E126" i="12"/>
  <c r="BK86" i="14"/>
  <c r="BI86"/>
  <c r="AE86"/>
  <c r="BL88" i="6"/>
  <c r="BJ88"/>
  <c r="AF88"/>
  <c r="W86" i="4"/>
  <c r="Q86"/>
  <c r="Q86" i="1"/>
  <c r="Q86" i="3"/>
  <c r="M86"/>
  <c r="E86"/>
  <c r="U86" i="9"/>
  <c r="K86"/>
  <c r="U86" i="10"/>
  <c r="BK14" i="14"/>
  <c r="BI14"/>
  <c r="G14" i="5"/>
  <c r="E14"/>
  <c r="W14" i="4"/>
  <c r="Q14"/>
  <c r="G14" i="2"/>
  <c r="E14"/>
  <c r="Q14" i="1"/>
  <c r="Q14" i="3"/>
  <c r="M14"/>
  <c r="E14"/>
  <c r="M14" i="7"/>
  <c r="E14"/>
  <c r="Q14" i="8"/>
  <c r="E14"/>
  <c r="U14" i="9"/>
  <c r="O14"/>
  <c r="M14"/>
  <c r="K14"/>
  <c r="U14" i="10"/>
  <c r="G14"/>
  <c r="BK33" i="13"/>
  <c r="BE33"/>
  <c r="AE33"/>
  <c r="BK32" i="14"/>
  <c r="BE32"/>
  <c r="AE32"/>
  <c r="BL34" i="6"/>
  <c r="BF34"/>
  <c r="AF34"/>
  <c r="G32" i="5"/>
  <c r="E32"/>
  <c r="W32" i="4"/>
  <c r="Q32"/>
  <c r="G32" i="2"/>
  <c r="E32"/>
  <c r="Q32" i="1"/>
  <c r="M32" i="3"/>
  <c r="E32"/>
  <c r="M32" i="7"/>
  <c r="Q32" i="8"/>
  <c r="E32"/>
  <c r="O32" i="9"/>
  <c r="M32"/>
  <c r="K32"/>
  <c r="U32" i="10"/>
  <c r="G32"/>
  <c r="U32" i="12"/>
  <c r="BI42" i="14"/>
  <c r="AE42"/>
  <c r="BJ44" i="6"/>
  <c r="BF44"/>
  <c r="AF44"/>
  <c r="Q42" i="3"/>
  <c r="M42" i="9"/>
  <c r="K42"/>
  <c r="U42" i="10"/>
  <c r="G42"/>
  <c r="AE74" i="15"/>
  <c r="BK76" i="14"/>
  <c r="BI76"/>
  <c r="BE76"/>
  <c r="AE76"/>
  <c r="BJ78" i="6"/>
  <c r="BF78"/>
  <c r="AF78"/>
  <c r="W77" i="4"/>
  <c r="Q77"/>
  <c r="Q77" i="1"/>
  <c r="Q77" i="3"/>
  <c r="M77"/>
  <c r="O77" i="9"/>
  <c r="U77" i="10"/>
  <c r="G77"/>
  <c r="U77" i="12"/>
  <c r="W163" i="4"/>
  <c r="Q163"/>
  <c r="Q164" i="1"/>
  <c r="M163" i="3"/>
  <c r="E163"/>
  <c r="M163" i="7"/>
  <c r="E163"/>
  <c r="M163" i="9"/>
  <c r="K163"/>
  <c r="U163" i="10"/>
  <c r="G163"/>
  <c r="E163" i="12"/>
  <c r="Q154" i="4"/>
  <c r="Q154" i="1"/>
  <c r="M154" i="9"/>
  <c r="K154"/>
  <c r="U154" i="10"/>
  <c r="G154"/>
  <c r="BK224" i="15"/>
  <c r="AE224"/>
  <c r="BK224" i="13"/>
  <c r="BG224"/>
  <c r="BE224"/>
  <c r="AE224"/>
  <c r="BK228" i="14"/>
  <c r="BI228"/>
  <c r="AE228"/>
  <c r="BL231" i="6"/>
  <c r="BF231"/>
  <c r="AF231"/>
  <c r="AL232" i="5"/>
  <c r="W233" i="4"/>
  <c r="Q233"/>
  <c r="W233" i="1"/>
  <c r="Q233"/>
  <c r="Q233" i="3"/>
  <c r="M233"/>
  <c r="E233"/>
  <c r="M233" i="7"/>
  <c r="E233"/>
  <c r="AC32" i="2" l="1"/>
  <c r="K232" i="9"/>
  <c r="U233" i="10"/>
  <c r="G233"/>
  <c r="E131"/>
  <c r="M131"/>
  <c r="AA146" i="12"/>
  <c r="AA145"/>
  <c r="AA144"/>
  <c r="AA143"/>
  <c r="AA141"/>
  <c r="AA140"/>
  <c r="AA139"/>
  <c r="AA138"/>
  <c r="AA137"/>
  <c r="AA136"/>
  <c r="AA135"/>
  <c r="AA133"/>
  <c r="AA131"/>
  <c r="AA134" s="1"/>
  <c r="I142" i="5"/>
  <c r="G142"/>
  <c r="W142" i="4"/>
  <c r="I142" i="2"/>
  <c r="G142"/>
  <c r="Q142" i="3"/>
  <c r="M142"/>
  <c r="M142" i="7"/>
  <c r="K142" i="8"/>
  <c r="E142"/>
  <c r="M142" i="9"/>
  <c r="K142"/>
  <c r="U142" i="10"/>
  <c r="G142"/>
  <c r="M142" i="12"/>
  <c r="Q102" i="4"/>
  <c r="Q102" i="1"/>
  <c r="Q102" i="3"/>
  <c r="E102"/>
  <c r="M102" i="9"/>
  <c r="U102" i="10"/>
  <c r="G102"/>
  <c r="E102" i="12"/>
  <c r="W227" i="4" l="1"/>
  <c r="Q227" i="3"/>
  <c r="M227"/>
  <c r="M227" i="7"/>
  <c r="K226" i="9"/>
  <c r="U226" i="10"/>
  <c r="G226"/>
  <c r="BK92" i="14" l="1"/>
  <c r="BI92"/>
  <c r="AE92"/>
  <c r="BJ94" i="6"/>
  <c r="AF94"/>
  <c r="W92" i="4"/>
  <c r="Q92" i="3"/>
  <c r="M92"/>
  <c r="K92" i="9"/>
  <c r="U92" i="10"/>
  <c r="G92"/>
  <c r="BK157" i="14"/>
  <c r="BI157"/>
  <c r="AE157"/>
  <c r="W161" i="4"/>
  <c r="Q161"/>
  <c r="Q162" i="1"/>
  <c r="Q161" i="3"/>
  <c r="M161"/>
  <c r="M161" i="7"/>
  <c r="K161" i="9"/>
  <c r="U161" i="10"/>
  <c r="G161"/>
  <c r="BE214" i="14"/>
  <c r="AE214"/>
  <c r="S214"/>
  <c r="BF217" i="6"/>
  <c r="AF217"/>
  <c r="S217"/>
  <c r="W218" i="4"/>
  <c r="M218"/>
  <c r="Q218"/>
  <c r="W219" i="1"/>
  <c r="Q219"/>
  <c r="M219" i="3"/>
  <c r="E219"/>
  <c r="M219" i="7"/>
  <c r="U218" i="9"/>
  <c r="G218" i="10"/>
  <c r="E218" i="12"/>
  <c r="Q218"/>
  <c r="G157" i="10"/>
  <c r="BK149" i="13"/>
  <c r="AE149"/>
  <c r="BK153" i="14"/>
  <c r="BI153"/>
  <c r="AE153"/>
  <c r="BL156" i="6"/>
  <c r="BJ156"/>
  <c r="AF156"/>
  <c r="W157" i="4"/>
  <c r="Q157"/>
  <c r="Q157" i="1"/>
  <c r="Q157" i="3"/>
  <c r="M157"/>
  <c r="M157" i="7"/>
  <c r="AE157" i="9"/>
  <c r="M157"/>
  <c r="K157"/>
  <c r="U157" i="10"/>
  <c r="BK232" i="15"/>
  <c r="AE232"/>
  <c r="BK237" i="14"/>
  <c r="BI237"/>
  <c r="AE237"/>
  <c r="M237"/>
  <c r="G237"/>
  <c r="BL240" i="6"/>
  <c r="BJ240"/>
  <c r="AF240"/>
  <c r="M240"/>
  <c r="G240"/>
  <c r="W241" i="4"/>
  <c r="Q241"/>
  <c r="Q241" i="1"/>
  <c r="Q241" i="3"/>
  <c r="M241"/>
  <c r="M241" i="7"/>
  <c r="K240" i="9"/>
  <c r="U241" i="10"/>
  <c r="BL165" i="6"/>
  <c r="BJ165"/>
  <c r="AF165"/>
  <c r="K165"/>
  <c r="W165" i="4"/>
  <c r="G165" i="5"/>
  <c r="G165" i="2"/>
  <c r="Q166" i="3"/>
  <c r="E166"/>
  <c r="E165" i="8"/>
  <c r="U165" i="9"/>
  <c r="O165"/>
  <c r="U165" i="10"/>
  <c r="G165"/>
  <c r="Q165" i="12"/>
  <c r="K165"/>
  <c r="BK187" i="14"/>
  <c r="BI187"/>
  <c r="AE187"/>
  <c r="W191" i="4"/>
  <c r="Q191" i="3"/>
  <c r="M191"/>
  <c r="M191" i="7"/>
  <c r="O190" i="9"/>
  <c r="K190"/>
  <c r="U191" i="10"/>
  <c r="G191"/>
  <c r="BK127" i="14"/>
  <c r="BI127"/>
  <c r="AE127"/>
  <c r="BL130" i="6"/>
  <c r="BJ130"/>
  <c r="BF130"/>
  <c r="AF130"/>
  <c r="K130"/>
  <c r="AL129" i="5"/>
  <c r="AB129"/>
  <c r="M129"/>
  <c r="G129"/>
  <c r="E129"/>
  <c r="W130" i="4"/>
  <c r="I130"/>
  <c r="G130" i="2"/>
  <c r="E130"/>
  <c r="I130" i="1"/>
  <c r="M130" i="3"/>
  <c r="E130"/>
  <c r="M130" i="7"/>
  <c r="E130"/>
  <c r="Q130" i="8"/>
  <c r="M130"/>
  <c r="K130"/>
  <c r="E130"/>
  <c r="O129" i="9"/>
  <c r="M129"/>
  <c r="K129"/>
  <c r="U130" i="10"/>
  <c r="G130"/>
  <c r="K130" i="12"/>
  <c r="AF255" i="6"/>
  <c r="BI251" i="14"/>
  <c r="AE251"/>
  <c r="BL255" i="6"/>
  <c r="BJ255"/>
  <c r="BF255"/>
  <c r="W256" i="4"/>
  <c r="Q256"/>
  <c r="W256" i="1"/>
  <c r="Q256"/>
  <c r="Q256" i="3"/>
  <c r="M256"/>
  <c r="E256"/>
  <c r="M256" i="7"/>
  <c r="E256"/>
  <c r="M255" i="9"/>
  <c r="K255"/>
  <c r="U255"/>
  <c r="U256" i="10"/>
  <c r="G256"/>
  <c r="E256"/>
  <c r="BK245" i="15"/>
  <c r="AE245"/>
  <c r="BK249" i="14"/>
  <c r="BI249"/>
  <c r="AK249"/>
  <c r="AE249"/>
  <c r="BL253" i="6"/>
  <c r="AL253"/>
  <c r="AF253"/>
  <c r="M254" i="4"/>
  <c r="M254" i="1"/>
  <c r="Q254" i="3"/>
  <c r="M254"/>
  <c r="E254"/>
  <c r="M254" i="7"/>
  <c r="E254"/>
  <c r="O253" i="9"/>
  <c r="U254" i="10"/>
  <c r="G254"/>
  <c r="BL250" i="6"/>
  <c r="BF250"/>
  <c r="AL250"/>
  <c r="AF250"/>
  <c r="AL250" i="5"/>
  <c r="W251" i="4"/>
  <c r="W251" i="1"/>
  <c r="AG251" i="2"/>
  <c r="Q251" i="3"/>
  <c r="M251"/>
  <c r="Q251" i="8"/>
  <c r="M251"/>
  <c r="K251"/>
  <c r="I251"/>
  <c r="E251"/>
  <c r="U250" i="9"/>
  <c r="O250"/>
  <c r="W259" i="12"/>
  <c r="W258"/>
  <c r="U251" i="10"/>
  <c r="BL252" i="6"/>
  <c r="BF252"/>
  <c r="AF252"/>
  <c r="W253" i="4"/>
  <c r="Q253" i="3"/>
  <c r="M253"/>
  <c r="E253"/>
  <c r="M253" i="7"/>
  <c r="U253" i="10"/>
  <c r="G253"/>
  <c r="AL251" i="5"/>
  <c r="Q252" i="4"/>
  <c r="AG252" i="2"/>
  <c r="Q252" i="1"/>
  <c r="Q252" i="3"/>
  <c r="M252"/>
  <c r="E252"/>
  <c r="M252" i="7"/>
  <c r="E252"/>
  <c r="U252" i="10"/>
  <c r="G252"/>
  <c r="BK241" i="15"/>
  <c r="AE241"/>
  <c r="BK245" i="14"/>
  <c r="BG245"/>
  <c r="AE245"/>
  <c r="BL249" i="6"/>
  <c r="BH249"/>
  <c r="AF249"/>
  <c r="Q250" i="4"/>
  <c r="Q250" i="1"/>
  <c r="Q250" i="3"/>
  <c r="M250"/>
  <c r="K249" i="9"/>
  <c r="U250" i="10"/>
  <c r="G250"/>
  <c r="BK244" i="14"/>
  <c r="AE244"/>
  <c r="W249" i="4"/>
  <c r="Q249"/>
  <c r="Q249" i="1"/>
  <c r="Q249" i="3"/>
  <c r="M249"/>
  <c r="M249" i="7"/>
  <c r="U249" i="10"/>
  <c r="G249"/>
  <c r="K249" i="12"/>
  <c r="BK243" i="14"/>
  <c r="BI243"/>
  <c r="AE243"/>
  <c r="G247" i="5"/>
  <c r="Q248" i="4"/>
  <c r="W248"/>
  <c r="I248"/>
  <c r="G248" i="2"/>
  <c r="Q248" i="1"/>
  <c r="I248"/>
  <c r="Q248" i="3"/>
  <c r="M248"/>
  <c r="M248" i="7"/>
  <c r="E248" i="8"/>
  <c r="O247" i="9"/>
  <c r="K247"/>
  <c r="U248" i="10"/>
  <c r="G248"/>
  <c r="BK242" i="14"/>
  <c r="BE242"/>
  <c r="AE242"/>
  <c r="AL246" i="5"/>
  <c r="W247" i="4"/>
  <c r="Q247"/>
  <c r="Q247" i="1"/>
  <c r="M247" i="3"/>
  <c r="U246" i="9"/>
  <c r="M246"/>
  <c r="K246"/>
  <c r="U247" i="10"/>
  <c r="G247"/>
  <c r="Q247" i="12"/>
  <c r="BK241" i="14"/>
  <c r="BI241"/>
  <c r="AE241"/>
  <c r="BL245" i="6"/>
  <c r="BJ245"/>
  <c r="AF245"/>
  <c r="W246" i="4"/>
  <c r="Q246"/>
  <c r="Q246" i="1"/>
  <c r="Q246" i="3"/>
  <c r="M246"/>
  <c r="E246"/>
  <c r="M246" i="7"/>
  <c r="M245" i="9"/>
  <c r="K245"/>
  <c r="U246" i="10"/>
  <c r="G246"/>
  <c r="W245" i="4"/>
  <c r="Q245"/>
  <c r="M245"/>
  <c r="Q245" i="1"/>
  <c r="M245"/>
  <c r="Q245" i="3"/>
  <c r="M245"/>
  <c r="E245"/>
  <c r="M245" i="7"/>
  <c r="E245"/>
  <c r="U245" i="10"/>
  <c r="G245"/>
  <c r="W244" i="4"/>
  <c r="Q244"/>
  <c r="W244" i="1"/>
  <c r="Q244"/>
  <c r="Q244" i="3"/>
  <c r="M244"/>
  <c r="M244" i="7"/>
  <c r="O243" i="9"/>
  <c r="U244" i="10"/>
  <c r="G244"/>
  <c r="E244" i="12"/>
  <c r="BK77" i="15"/>
  <c r="AE77"/>
  <c r="BK79" i="14"/>
  <c r="BI79"/>
  <c r="BE79"/>
  <c r="AK79"/>
  <c r="AE79"/>
  <c r="K79"/>
  <c r="BL81" i="6"/>
  <c r="BJ81"/>
  <c r="BF81"/>
  <c r="AF81"/>
  <c r="K81"/>
  <c r="W80" i="4"/>
  <c r="W80" i="1"/>
  <c r="Q80" i="3"/>
  <c r="M80"/>
  <c r="O80" i="9"/>
  <c r="M80"/>
  <c r="K80"/>
  <c r="U80" i="10"/>
  <c r="G80"/>
  <c r="AE239" i="14"/>
  <c r="AF242" i="5"/>
  <c r="W243" i="4"/>
  <c r="Q243"/>
  <c r="I243"/>
  <c r="Q243" i="1"/>
  <c r="I243"/>
  <c r="M243" i="3"/>
  <c r="E243"/>
  <c r="M243" i="7"/>
  <c r="W242" i="9"/>
  <c r="U242"/>
  <c r="O242"/>
  <c r="M242"/>
  <c r="K242"/>
  <c r="U243" i="10"/>
  <c r="G243"/>
  <c r="BK233" i="13"/>
  <c r="BE233"/>
  <c r="AK233"/>
  <c r="AE233"/>
  <c r="BK238" i="14"/>
  <c r="BE238"/>
  <c r="AK238"/>
  <c r="AE238"/>
  <c r="BL241" i="6"/>
  <c r="BJ241"/>
  <c r="BF241"/>
  <c r="AL241"/>
  <c r="AF241"/>
  <c r="W242" i="4"/>
  <c r="Q242"/>
  <c r="W242" i="1"/>
  <c r="Q242"/>
  <c r="Q242" i="3"/>
  <c r="M242"/>
  <c r="E242"/>
  <c r="M242" i="7"/>
  <c r="O241" i="9"/>
  <c r="U241"/>
  <c r="M241"/>
  <c r="K241"/>
  <c r="U242" i="10"/>
  <c r="G242"/>
  <c r="G241"/>
  <c r="K241" i="12"/>
  <c r="BK231" i="15"/>
  <c r="AE231"/>
  <c r="BI236" i="14"/>
  <c r="BG236"/>
  <c r="AE236"/>
  <c r="BL239" i="6"/>
  <c r="BJ239"/>
  <c r="AF239"/>
  <c r="Q240" i="4"/>
  <c r="Q240" i="1"/>
  <c r="Q240" i="3"/>
  <c r="M240"/>
  <c r="K239" i="9"/>
  <c r="U240" i="10"/>
  <c r="G240"/>
  <c r="BI235" i="14"/>
  <c r="AE235"/>
  <c r="BJ238" i="6"/>
  <c r="AF238"/>
  <c r="W239" i="4"/>
  <c r="Q239"/>
  <c r="Q239" i="1"/>
  <c r="Q239" i="3"/>
  <c r="K238" i="9"/>
  <c r="U239" i="10"/>
  <c r="G239"/>
  <c r="K239" i="12"/>
  <c r="I239"/>
  <c r="BK233" i="14"/>
  <c r="AE233"/>
  <c r="BL236" i="6"/>
  <c r="BJ236"/>
  <c r="AF236"/>
  <c r="AL237" i="5"/>
  <c r="W238" i="4"/>
  <c r="Q238"/>
  <c r="W238" i="1"/>
  <c r="Q238"/>
  <c r="M238" i="3"/>
  <c r="E238"/>
  <c r="E238" i="7"/>
  <c r="U238" i="10"/>
  <c r="G238"/>
  <c r="BK232" i="14"/>
  <c r="BI232"/>
  <c r="AE232"/>
  <c r="BL235" i="6"/>
  <c r="BJ235"/>
  <c r="BH235"/>
  <c r="AF235"/>
  <c r="W237" i="4"/>
  <c r="Q237" i="3"/>
  <c r="M237"/>
  <c r="E237"/>
  <c r="M237" i="7"/>
  <c r="E237"/>
  <c r="U236" i="9"/>
  <c r="U237" i="10"/>
  <c r="G237"/>
  <c r="E237" i="12"/>
  <c r="BK226" i="15"/>
  <c r="AE226"/>
  <c r="BK230" i="14"/>
  <c r="BI230"/>
  <c r="BE230"/>
  <c r="AE230"/>
  <c r="BL233" i="6"/>
  <c r="BJ233"/>
  <c r="BH233"/>
  <c r="AF233"/>
  <c r="I234" i="5"/>
  <c r="W235" i="4"/>
  <c r="Q235"/>
  <c r="Q235" i="1"/>
  <c r="Q235" i="3"/>
  <c r="M235"/>
  <c r="M235" i="7"/>
  <c r="K235" i="8"/>
  <c r="K234" i="9"/>
  <c r="U235" i="10"/>
  <c r="Q235" i="12"/>
  <c r="K235"/>
  <c r="E235"/>
  <c r="BK225" i="15"/>
  <c r="BI225"/>
  <c r="AE225"/>
  <c r="BK225" i="13"/>
  <c r="AE225"/>
  <c r="BK229" i="14"/>
  <c r="BI229"/>
  <c r="BG229"/>
  <c r="AE229"/>
  <c r="S229"/>
  <c r="BL232" i="6"/>
  <c r="AF232"/>
  <c r="G233" i="5"/>
  <c r="W234" i="4"/>
  <c r="Q234"/>
  <c r="G233" i="2"/>
  <c r="Q234" i="1"/>
  <c r="Q234" i="3"/>
  <c r="M234"/>
  <c r="M234" i="7"/>
  <c r="E234" i="8"/>
  <c r="O233" i="9"/>
  <c r="U233"/>
  <c r="K233"/>
  <c r="U234" i="10"/>
  <c r="G234"/>
  <c r="K234" i="12"/>
  <c r="BK226" i="14"/>
  <c r="AE226"/>
  <c r="BL229" i="6"/>
  <c r="AF229"/>
  <c r="G230" i="5"/>
  <c r="E230"/>
  <c r="M230"/>
  <c r="Q231" i="4"/>
  <c r="M230" i="2"/>
  <c r="G230"/>
  <c r="E230"/>
  <c r="Q231" i="1"/>
  <c r="Q231" i="3"/>
  <c r="M231"/>
  <c r="M231" i="7"/>
  <c r="Q231" i="8"/>
  <c r="M231"/>
  <c r="E231"/>
  <c r="U231" i="10"/>
  <c r="G231"/>
  <c r="BK225" i="14"/>
  <c r="BI225"/>
  <c r="BE225"/>
  <c r="AE225"/>
  <c r="BL228" i="6"/>
  <c r="BJ228"/>
  <c r="BF228"/>
  <c r="AF228"/>
  <c r="W230" i="4"/>
  <c r="Q230" i="3"/>
  <c r="M230"/>
  <c r="M230" i="7"/>
  <c r="U230" i="10"/>
  <c r="G230"/>
  <c r="Q230" i="12"/>
  <c r="BK219" i="15"/>
  <c r="AE219"/>
  <c r="BK224" i="14"/>
  <c r="AE224"/>
  <c r="G224"/>
  <c r="BL227" i="6"/>
  <c r="AF227"/>
  <c r="M227"/>
  <c r="G227"/>
  <c r="E228" i="5"/>
  <c r="W229" i="4"/>
  <c r="Q229"/>
  <c r="E228" i="2"/>
  <c r="Q229" i="1"/>
  <c r="Q229" i="8"/>
  <c r="AE231" i="9"/>
  <c r="U228"/>
  <c r="G229" i="10"/>
  <c r="K229" i="12"/>
  <c r="E226" i="10"/>
  <c r="K226" i="12"/>
  <c r="BK221" i="14"/>
  <c r="BI221"/>
  <c r="AE221"/>
  <c r="BL224" i="6"/>
  <c r="BJ224"/>
  <c r="BF224"/>
  <c r="AF224"/>
  <c r="W226" i="4"/>
  <c r="Q226" i="3"/>
  <c r="M226"/>
  <c r="M226" i="7"/>
  <c r="U225" i="10"/>
  <c r="G225"/>
  <c r="W225" i="4"/>
  <c r="Q225"/>
  <c r="Q225" i="1"/>
  <c r="Q225" i="3"/>
  <c r="E225"/>
  <c r="M224" i="9"/>
  <c r="K224"/>
  <c r="U224" i="10"/>
  <c r="G224"/>
  <c r="K224" i="12"/>
  <c r="BK219" i="14"/>
  <c r="AE219"/>
  <c r="W224" i="4"/>
  <c r="Q224"/>
  <c r="Q224" i="1"/>
  <c r="Q224" i="3"/>
  <c r="M224"/>
  <c r="E224"/>
  <c r="M224" i="7"/>
  <c r="E224"/>
  <c r="K223" i="9"/>
  <c r="U223" i="10"/>
  <c r="G223"/>
  <c r="K223" i="12"/>
  <c r="BK218" i="14"/>
  <c r="BE218"/>
  <c r="AE218"/>
  <c r="BL221" i="6"/>
  <c r="BF221"/>
  <c r="AF221"/>
  <c r="W223" i="4"/>
  <c r="Q223" i="3"/>
  <c r="M223"/>
  <c r="E223"/>
  <c r="M223" i="7"/>
  <c r="U222" i="9"/>
  <c r="K222"/>
  <c r="U222" i="10"/>
  <c r="G222"/>
  <c r="BK211" i="15"/>
  <c r="AE211"/>
  <c r="BK216" i="14"/>
  <c r="BI216"/>
  <c r="AE216"/>
  <c r="BN219" i="6"/>
  <c r="BH219"/>
  <c r="AF219"/>
  <c r="W221" i="4"/>
  <c r="Q221"/>
  <c r="W221" i="1"/>
  <c r="Q221"/>
  <c r="O221" i="3"/>
  <c r="O220" i="9"/>
  <c r="U220" i="10"/>
  <c r="G220"/>
  <c r="E220" i="12"/>
  <c r="BK210" i="15"/>
  <c r="AE210"/>
  <c r="BK215" i="14"/>
  <c r="BI215"/>
  <c r="AK215"/>
  <c r="AE215"/>
  <c r="BL218" i="6"/>
  <c r="BJ218"/>
  <c r="AJ218"/>
  <c r="AF218"/>
  <c r="W220" i="4"/>
  <c r="Q220"/>
  <c r="Q220" i="1"/>
  <c r="Q220" i="3"/>
  <c r="U219" i="10"/>
  <c r="G219"/>
  <c r="K219" i="12"/>
  <c r="BK208" i="13"/>
  <c r="BE208"/>
  <c r="AE208"/>
  <c r="BK213" i="14"/>
  <c r="BE213"/>
  <c r="AE213"/>
  <c r="BL216" i="6"/>
  <c r="AR216"/>
  <c r="AF216"/>
  <c r="Q217" i="4"/>
  <c r="Q218" i="1"/>
  <c r="Q218" i="3"/>
  <c r="M218"/>
  <c r="E218"/>
  <c r="M218" i="7"/>
  <c r="E218"/>
  <c r="U217" i="10"/>
  <c r="G217"/>
  <c r="BK212" i="14"/>
  <c r="BE212"/>
  <c r="AE212"/>
  <c r="Q216" i="5"/>
  <c r="W216" i="4"/>
  <c r="Q216"/>
  <c r="Q217" i="1"/>
  <c r="Q217" i="3"/>
  <c r="M217"/>
  <c r="M217" i="7"/>
  <c r="S216" i="8"/>
  <c r="U216" i="9"/>
  <c r="K216"/>
  <c r="U216" i="10"/>
  <c r="E216" i="12"/>
  <c r="BK211" i="14"/>
  <c r="AE211"/>
  <c r="BL214" i="6"/>
  <c r="BJ214"/>
  <c r="AF214"/>
  <c r="AL215" i="5"/>
  <c r="G215"/>
  <c r="W215" i="4"/>
  <c r="G215" i="2"/>
  <c r="Q216" i="3"/>
  <c r="M216"/>
  <c r="M216" i="7"/>
  <c r="E215" i="8"/>
  <c r="K215" i="9"/>
  <c r="U215" i="10"/>
  <c r="E215" i="12"/>
  <c r="AE210" i="14"/>
  <c r="AF213" i="6"/>
  <c r="W214" i="4"/>
  <c r="Q214"/>
  <c r="Q215" i="1"/>
  <c r="Q214" i="3"/>
  <c r="M214"/>
  <c r="E214"/>
  <c r="M214" i="7"/>
  <c r="E214"/>
  <c r="U214" i="10"/>
  <c r="G214"/>
  <c r="I214" i="12"/>
  <c r="BK209" i="14"/>
  <c r="BI209"/>
  <c r="AE209"/>
  <c r="W213" i="4"/>
  <c r="Q213"/>
  <c r="M213" i="3"/>
  <c r="M213" i="7"/>
  <c r="E212" i="10"/>
  <c r="E213" i="12"/>
  <c r="BJ210" i="6"/>
  <c r="BL210"/>
  <c r="BF210"/>
  <c r="AF210"/>
  <c r="AL211" i="5"/>
  <c r="W211" i="4"/>
  <c r="Q211"/>
  <c r="Q212" i="1"/>
  <c r="Q211" i="3"/>
  <c r="M211"/>
  <c r="E211"/>
  <c r="M211" i="7"/>
  <c r="K211" i="9"/>
  <c r="U211" i="10"/>
  <c r="BK201" i="15"/>
  <c r="AE201"/>
  <c r="BK206" i="14"/>
  <c r="BE206"/>
  <c r="AE206"/>
  <c r="BL209" i="6"/>
  <c r="BJ209"/>
  <c r="BF209"/>
  <c r="AF209"/>
  <c r="W210" i="4"/>
  <c r="Q210"/>
  <c r="Q211" i="1"/>
  <c r="Q210" i="3"/>
  <c r="M210"/>
  <c r="M210" i="7"/>
  <c r="M210" i="9"/>
  <c r="K210"/>
  <c r="U210" i="10"/>
  <c r="E210" i="12"/>
  <c r="BK200" i="15"/>
  <c r="AE200"/>
  <c r="M200"/>
  <c r="BK200" i="13"/>
  <c r="BE200"/>
  <c r="AE200"/>
  <c r="M200"/>
  <c r="BK205" i="14"/>
  <c r="BI205"/>
  <c r="AE205"/>
  <c r="M205"/>
  <c r="BL208" i="6"/>
  <c r="AF208"/>
  <c r="G208"/>
  <c r="W209" i="4"/>
  <c r="Q209"/>
  <c r="Q210" i="1"/>
  <c r="Q209" i="3"/>
  <c r="M209"/>
  <c r="M209" i="7"/>
  <c r="M209" i="9"/>
  <c r="K209"/>
  <c r="U209" i="10"/>
  <c r="G209"/>
  <c r="BK199" i="13"/>
  <c r="BE199"/>
  <c r="AE199"/>
  <c r="K199"/>
  <c r="BK204" i="14"/>
  <c r="BI204"/>
  <c r="BE204"/>
  <c r="AE204"/>
  <c r="BL207" i="6"/>
  <c r="BJ207"/>
  <c r="BF207"/>
  <c r="AF207"/>
  <c r="W208" i="4"/>
  <c r="Q208"/>
  <c r="Q209" i="1"/>
  <c r="M208" i="3"/>
  <c r="Q208"/>
  <c r="E208"/>
  <c r="M208" i="7"/>
  <c r="K208" i="9"/>
  <c r="U208" i="10"/>
  <c r="G208"/>
  <c r="K208" i="12"/>
  <c r="Q207" i="5"/>
  <c r="W207" i="4"/>
  <c r="Q207"/>
  <c r="Q207" i="2"/>
  <c r="W208" i="1"/>
  <c r="Q208"/>
  <c r="M207" i="3"/>
  <c r="Q207"/>
  <c r="E207"/>
  <c r="M207" i="7"/>
  <c r="U207" i="10"/>
  <c r="G207"/>
  <c r="BK202" i="14"/>
  <c r="BE202"/>
  <c r="AE202"/>
  <c r="BL205" i="6"/>
  <c r="BF205"/>
  <c r="AF205"/>
  <c r="W206" i="4"/>
  <c r="Q206"/>
  <c r="K206"/>
  <c r="Q206" i="1"/>
  <c r="M206"/>
  <c r="Q206" i="3"/>
  <c r="M206"/>
  <c r="E206"/>
  <c r="M206" i="7"/>
  <c r="E206"/>
  <c r="Q206" i="9"/>
  <c r="U206" i="10"/>
  <c r="G206"/>
  <c r="E206" i="12"/>
  <c r="G206"/>
  <c r="Q205" i="4"/>
  <c r="Q205" i="1"/>
  <c r="V208" i="3"/>
  <c r="Q205"/>
  <c r="O205"/>
  <c r="M205"/>
  <c r="E205"/>
  <c r="O205" i="7"/>
  <c r="M205"/>
  <c r="E205"/>
  <c r="O205" i="9"/>
  <c r="U205" i="10"/>
  <c r="G205"/>
  <c r="E205" i="12"/>
  <c r="U205"/>
  <c r="BK200" i="14"/>
  <c r="BG200"/>
  <c r="AE200"/>
  <c r="BL203" i="6"/>
  <c r="BH203"/>
  <c r="BF203"/>
  <c r="AF203"/>
  <c r="W204" i="4"/>
  <c r="Q204" i="3"/>
  <c r="M204"/>
  <c r="E204"/>
  <c r="M204" i="7"/>
  <c r="E204"/>
  <c r="U204" i="9"/>
  <c r="O204"/>
  <c r="U204" i="10"/>
  <c r="G204"/>
  <c r="AF203" i="5"/>
  <c r="Q203"/>
  <c r="G203"/>
  <c r="E203"/>
  <c r="W203" i="4"/>
  <c r="Q203"/>
  <c r="Q203" i="2"/>
  <c r="G203"/>
  <c r="E203"/>
  <c r="Q203" i="1"/>
  <c r="M203" i="3"/>
  <c r="M203" i="7"/>
  <c r="S203" i="8"/>
  <c r="Q203"/>
  <c r="E203"/>
  <c r="U203" i="9"/>
  <c r="K203"/>
  <c r="U203" i="10"/>
  <c r="G203"/>
  <c r="K203" i="12"/>
  <c r="BL201" i="6"/>
  <c r="BJ201"/>
  <c r="AF201"/>
  <c r="K201"/>
  <c r="G202" i="5"/>
  <c r="W202" i="4"/>
  <c r="Q202"/>
  <c r="G202" i="2"/>
  <c r="Q202" i="1"/>
  <c r="M202" i="3"/>
  <c r="E202"/>
  <c r="M202" i="7"/>
  <c r="E202"/>
  <c r="E202" i="8"/>
  <c r="U202" i="9"/>
  <c r="M202"/>
  <c r="K202"/>
  <c r="U202" i="10"/>
  <c r="G202"/>
  <c r="Q202" i="12"/>
  <c r="K202"/>
  <c r="W201" i="4"/>
  <c r="W201" i="1"/>
  <c r="Q201" i="3"/>
  <c r="M201"/>
  <c r="M201" i="7"/>
  <c r="U201" i="10"/>
  <c r="G201"/>
  <c r="BK190" i="13"/>
  <c r="AE190"/>
  <c r="BK195" i="14"/>
  <c r="BE195"/>
  <c r="AE195"/>
  <c r="BL198" i="6"/>
  <c r="BF198"/>
  <c r="AF198"/>
  <c r="K198"/>
  <c r="Q199" i="3"/>
  <c r="M199"/>
  <c r="E199"/>
  <c r="M199" i="7"/>
  <c r="K199" i="9"/>
  <c r="U199" i="10"/>
  <c r="G199"/>
  <c r="BK196" i="14"/>
  <c r="AE196"/>
  <c r="BL199" i="6"/>
  <c r="BF199"/>
  <c r="AF199"/>
  <c r="I200" i="5"/>
  <c r="G200"/>
  <c r="I200" i="2"/>
  <c r="G200"/>
  <c r="Q200" i="3"/>
  <c r="M200"/>
  <c r="E200"/>
  <c r="K200" i="8"/>
  <c r="E200"/>
  <c r="U200" i="9"/>
  <c r="U200" i="10"/>
  <c r="M200"/>
  <c r="G200"/>
  <c r="E200" i="12"/>
  <c r="AE194" i="14"/>
  <c r="AF197" i="6"/>
  <c r="AB198" i="5"/>
  <c r="W198" i="4"/>
  <c r="W198" i="2"/>
  <c r="Q198" i="3"/>
  <c r="M198"/>
  <c r="E198"/>
  <c r="M198" i="7"/>
  <c r="M198" i="9"/>
  <c r="K198"/>
  <c r="U198" i="10"/>
  <c r="G198"/>
  <c r="I198" i="12"/>
  <c r="W197" i="4"/>
  <c r="Q197"/>
  <c r="Q197" i="1"/>
  <c r="Q197" i="3"/>
  <c r="M197"/>
  <c r="M197" i="7"/>
  <c r="U197" i="10"/>
  <c r="G197"/>
  <c r="Q195" i="5"/>
  <c r="O195"/>
  <c r="G195"/>
  <c r="E195"/>
  <c r="W196" i="4"/>
  <c r="Q196"/>
  <c r="Q196" i="2"/>
  <c r="O196"/>
  <c r="G196"/>
  <c r="E196"/>
  <c r="Q196" i="1"/>
  <c r="Q196" i="3"/>
  <c r="M196"/>
  <c r="I196" i="8"/>
  <c r="Q196"/>
  <c r="E196"/>
  <c r="K195" i="9"/>
  <c r="U196" i="10"/>
  <c r="G196"/>
  <c r="W195" i="4" l="1"/>
  <c r="Q195" i="3"/>
  <c r="M195"/>
  <c r="M195" i="7"/>
  <c r="S194" i="9"/>
  <c r="K194"/>
  <c r="U195" i="10"/>
  <c r="G195"/>
  <c r="BK190" i="14"/>
  <c r="BI190"/>
  <c r="BE190"/>
  <c r="AE190"/>
  <c r="BL193" i="6"/>
  <c r="BJ193"/>
  <c r="BF193"/>
  <c r="AF193"/>
  <c r="G193" i="5"/>
  <c r="E193"/>
  <c r="W194" i="4"/>
  <c r="Q194"/>
  <c r="G194" i="2"/>
  <c r="E194"/>
  <c r="Q194" i="1"/>
  <c r="M194" i="3"/>
  <c r="M194" i="7"/>
  <c r="Q194" i="8"/>
  <c r="E194"/>
  <c r="O193" i="9"/>
  <c r="M193"/>
  <c r="K193"/>
  <c r="U194" i="10"/>
  <c r="G194"/>
  <c r="BK189" i="14"/>
  <c r="AE189"/>
  <c r="E192" i="6"/>
  <c r="W193" i="4"/>
  <c r="Q193"/>
  <c r="W193" i="1"/>
  <c r="Q193"/>
  <c r="Q193" i="3"/>
  <c r="M193"/>
  <c r="M193" i="7"/>
  <c r="K192" i="9"/>
  <c r="U193" i="10"/>
  <c r="G193"/>
  <c r="BI188" i="14"/>
  <c r="BE188"/>
  <c r="AE188"/>
  <c r="BF191" i="6"/>
  <c r="AF191"/>
  <c r="Q192" i="3"/>
  <c r="M192"/>
  <c r="M192" i="7"/>
  <c r="O191" i="9"/>
  <c r="K191"/>
  <c r="W190" i="4"/>
  <c r="Q190"/>
  <c r="Q190" i="3"/>
  <c r="O189" i="9"/>
  <c r="K189"/>
  <c r="U190" i="10"/>
  <c r="G190"/>
  <c r="BK185" i="14"/>
  <c r="BI185"/>
  <c r="BG185"/>
  <c r="AE185"/>
  <c r="BL188" i="6"/>
  <c r="BJ188"/>
  <c r="BF188"/>
  <c r="AF188"/>
  <c r="Q189" i="3"/>
  <c r="O189"/>
  <c r="M189"/>
  <c r="E189"/>
  <c r="O189" i="7"/>
  <c r="M189"/>
  <c r="M188" i="9"/>
  <c r="K188"/>
  <c r="U189" i="10"/>
  <c r="G189"/>
  <c r="AE178" i="15"/>
  <c r="BI183" i="14"/>
  <c r="BG183"/>
  <c r="BE183"/>
  <c r="AQ183"/>
  <c r="AE183"/>
  <c r="BL186" i="6"/>
  <c r="BJ186"/>
  <c r="BF186"/>
  <c r="AR186"/>
  <c r="AF186"/>
  <c r="W187" i="4"/>
  <c r="Q187"/>
  <c r="Q187" i="1"/>
  <c r="Q187" i="3"/>
  <c r="M187"/>
  <c r="E187"/>
  <c r="M187" i="7"/>
  <c r="E187"/>
  <c r="K186" i="9"/>
  <c r="U187" i="10"/>
  <c r="G187"/>
  <c r="K187" i="12"/>
  <c r="BL185" i="6"/>
  <c r="BF185"/>
  <c r="AF185"/>
  <c r="M185"/>
  <c r="G185"/>
  <c r="W186" i="4"/>
  <c r="W186" i="1"/>
  <c r="Q186" i="3"/>
  <c r="M186"/>
  <c r="U185" i="9"/>
  <c r="K185"/>
  <c r="U186" i="10"/>
  <c r="G186"/>
  <c r="BK181" i="14"/>
  <c r="BI181"/>
  <c r="AE181"/>
  <c r="BL184" i="6"/>
  <c r="BJ184"/>
  <c r="AF184"/>
  <c r="I184" i="5"/>
  <c r="G184"/>
  <c r="W185" i="4"/>
  <c r="Q185"/>
  <c r="G184" i="2"/>
  <c r="Q185" i="1"/>
  <c r="Q185" i="3"/>
  <c r="M185"/>
  <c r="E185"/>
  <c r="M185" i="7"/>
  <c r="E185"/>
  <c r="K185" i="8"/>
  <c r="E185"/>
  <c r="U184" i="9"/>
  <c r="M184"/>
  <c r="U185" i="10"/>
  <c r="G185"/>
  <c r="E185" i="12"/>
  <c r="AL183" i="5"/>
  <c r="W184" i="4"/>
  <c r="Q184"/>
  <c r="M184"/>
  <c r="Q184" i="1"/>
  <c r="M184"/>
  <c r="Q184" i="3"/>
  <c r="M184"/>
  <c r="M184" i="7"/>
  <c r="E184" i="12"/>
  <c r="U184" i="10"/>
  <c r="O184"/>
  <c r="G184"/>
  <c r="Y184" i="12"/>
  <c r="BK174" i="15"/>
  <c r="AE174"/>
  <c r="BK179" i="14"/>
  <c r="BI179"/>
  <c r="AE179"/>
  <c r="BL182" i="6"/>
  <c r="BJ182"/>
  <c r="BH182"/>
  <c r="AF182"/>
  <c r="W183" i="4"/>
  <c r="Q183"/>
  <c r="Q183" i="1"/>
  <c r="Q183" i="3"/>
  <c r="M183"/>
  <c r="M183" i="7"/>
  <c r="K182" i="9"/>
  <c r="U183" i="10"/>
  <c r="G183"/>
  <c r="BK178" i="14"/>
  <c r="BI178"/>
  <c r="BE178"/>
  <c r="AE178"/>
  <c r="BL181" i="6"/>
  <c r="BJ181"/>
  <c r="AF181"/>
  <c r="G181" i="5"/>
  <c r="Q182" i="4"/>
  <c r="Q182" i="1"/>
  <c r="M182" i="3"/>
  <c r="M182" i="7"/>
  <c r="E182" i="8"/>
  <c r="O181" i="9"/>
  <c r="K181"/>
  <c r="U182" i="10"/>
  <c r="G182"/>
  <c r="BK172" i="13"/>
  <c r="AE172"/>
  <c r="BK177" i="14"/>
  <c r="BE177"/>
  <c r="AE177"/>
  <c r="BL180" i="6"/>
  <c r="BF180"/>
  <c r="AF180"/>
  <c r="BK172" i="15"/>
  <c r="AE172"/>
  <c r="W181" i="4"/>
  <c r="M181"/>
  <c r="M181" i="1"/>
  <c r="M181" i="3"/>
  <c r="E181"/>
  <c r="M181" i="7"/>
  <c r="E181"/>
  <c r="U181" i="10"/>
  <c r="G181"/>
  <c r="Q181" i="12"/>
  <c r="BK176" i="14"/>
  <c r="BI176"/>
  <c r="BE176"/>
  <c r="AQ176"/>
  <c r="AE176"/>
  <c r="BL179" i="6"/>
  <c r="BF179"/>
  <c r="AR179"/>
  <c r="AF179"/>
  <c r="AL179" i="5"/>
  <c r="AB179"/>
  <c r="W180" i="4"/>
  <c r="Q180"/>
  <c r="I180"/>
  <c r="Q180" i="1"/>
  <c r="Q180" i="3"/>
  <c r="M180"/>
  <c r="M180" i="7"/>
  <c r="U179" i="9"/>
  <c r="O179"/>
  <c r="K179"/>
  <c r="U180" i="10"/>
  <c r="G180"/>
  <c r="BK175" i="14"/>
  <c r="BI175"/>
  <c r="BE175"/>
  <c r="AE175"/>
  <c r="M175"/>
  <c r="K175" s="1"/>
  <c r="AF178" i="6"/>
  <c r="Q179" i="4"/>
  <c r="Q179" i="1"/>
  <c r="Q179" i="3"/>
  <c r="M179"/>
  <c r="E179"/>
  <c r="M179" i="7"/>
  <c r="E179"/>
  <c r="U179" i="10"/>
  <c r="G179"/>
  <c r="BK173" i="14"/>
  <c r="BE173"/>
  <c r="AE173"/>
  <c r="BL176" i="6"/>
  <c r="BF176"/>
  <c r="AF176"/>
  <c r="I176" i="5"/>
  <c r="W177" i="4"/>
  <c r="Q177"/>
  <c r="Q177" i="1"/>
  <c r="Q177" i="3"/>
  <c r="M177"/>
  <c r="K177" i="8"/>
  <c r="M176" i="9"/>
  <c r="K176"/>
  <c r="U177" i="10"/>
  <c r="AB175" i="5"/>
  <c r="Q176" i="3"/>
  <c r="M176"/>
  <c r="E176"/>
  <c r="M176" i="7"/>
  <c r="K175" i="9"/>
  <c r="U176" i="10"/>
  <c r="G176"/>
  <c r="K176" i="12"/>
  <c r="W175" i="4"/>
  <c r="Q175"/>
  <c r="Q175" i="1"/>
  <c r="Q175" i="3"/>
  <c r="M175"/>
  <c r="E175"/>
  <c r="M175" i="7"/>
  <c r="E175"/>
  <c r="M174" i="9"/>
  <c r="K174"/>
  <c r="U175" i="10"/>
  <c r="G175"/>
  <c r="K175" i="12"/>
  <c r="BG165" i="13"/>
  <c r="BK170" i="14"/>
  <c r="BI170"/>
  <c r="BL173" i="6"/>
  <c r="BJ173"/>
  <c r="BF173"/>
  <c r="AF173"/>
  <c r="AE170" i="14"/>
  <c r="AE165" i="13"/>
  <c r="W174" i="4"/>
  <c r="Q174"/>
  <c r="W174" i="1"/>
  <c r="Q174"/>
  <c r="Q174" i="3"/>
  <c r="M174"/>
  <c r="E174"/>
  <c r="M174" i="7"/>
  <c r="E174"/>
  <c r="U174" i="10"/>
  <c r="G174"/>
  <c r="Q174" i="12"/>
  <c r="K174"/>
  <c r="BK164" i="15"/>
  <c r="BI164"/>
  <c r="AI164"/>
  <c r="AE164"/>
  <c r="BK169" i="14"/>
  <c r="BI169"/>
  <c r="AE169"/>
  <c r="Q173" i="4"/>
  <c r="Q173" i="1"/>
  <c r="Q173" i="3"/>
  <c r="M173"/>
  <c r="U172" i="10"/>
  <c r="G172"/>
  <c r="E172" i="12"/>
  <c r="BK163" i="13"/>
  <c r="AE163"/>
  <c r="BK168" i="14"/>
  <c r="BI168"/>
  <c r="AE168"/>
  <c r="BL171" i="6"/>
  <c r="BJ171"/>
  <c r="BH171"/>
  <c r="BN171" s="1"/>
  <c r="AF171"/>
  <c r="S171"/>
  <c r="G171" i="5"/>
  <c r="G171" i="2"/>
  <c r="Q172" i="3"/>
  <c r="E171" i="8"/>
  <c r="M171" i="9"/>
  <c r="U171" i="10"/>
  <c r="G171"/>
  <c r="BI167" i="14"/>
  <c r="BE167"/>
  <c r="AE167"/>
  <c r="AF170" i="6"/>
  <c r="W171" i="4"/>
  <c r="Q171"/>
  <c r="Q171" i="1"/>
  <c r="Q171" i="3"/>
  <c r="M171"/>
  <c r="E171"/>
  <c r="M171" i="7"/>
  <c r="E171"/>
  <c r="U170" i="10"/>
  <c r="G170"/>
  <c r="K170" i="12"/>
  <c r="I170"/>
  <c r="Q170"/>
  <c r="BK166" i="14"/>
  <c r="BI166"/>
  <c r="AE166"/>
  <c r="BL169" i="6"/>
  <c r="BJ169"/>
  <c r="AF169"/>
  <c r="W170" i="4"/>
  <c r="Q170" i="3"/>
  <c r="M170"/>
  <c r="E170"/>
  <c r="M170" i="7"/>
  <c r="U169" i="9"/>
  <c r="M169"/>
  <c r="K169"/>
  <c r="U169" i="10"/>
  <c r="E169" i="12"/>
  <c r="I168" i="5"/>
  <c r="Q169" i="4"/>
  <c r="I168" i="2"/>
  <c r="Q169" i="1"/>
  <c r="Q169" i="3"/>
  <c r="M169"/>
  <c r="M169" i="7"/>
  <c r="K168" i="8"/>
  <c r="M168" i="9"/>
  <c r="K168"/>
  <c r="U168" i="10"/>
  <c r="G168"/>
  <c r="I168" i="12"/>
  <c r="K168"/>
  <c r="AE159" i="13"/>
  <c r="AE164" i="14"/>
  <c r="AF167" i="6"/>
  <c r="AE159" i="15"/>
  <c r="M159" i="13"/>
  <c r="G159"/>
  <c r="M164" i="14"/>
  <c r="M167" i="6"/>
  <c r="W168" i="4"/>
  <c r="Q168"/>
  <c r="Q168" i="1"/>
  <c r="Q168" i="3"/>
  <c r="M168"/>
  <c r="E168"/>
  <c r="M168" i="7"/>
  <c r="E168"/>
  <c r="U167" i="10"/>
  <c r="M167"/>
  <c r="G167"/>
  <c r="BK163" i="14"/>
  <c r="BI163"/>
  <c r="AE163"/>
  <c r="BL166" i="6"/>
  <c r="AF166"/>
  <c r="Q167" i="3"/>
  <c r="M167"/>
  <c r="E167"/>
  <c r="M167" i="7"/>
  <c r="E167"/>
  <c r="K166" i="9"/>
  <c r="U166" i="10"/>
  <c r="G166"/>
  <c r="BK125" i="14"/>
  <c r="BE125"/>
  <c r="AE125"/>
  <c r="BL128" i="6"/>
  <c r="BF128"/>
  <c r="AF128"/>
  <c r="W128" i="4"/>
  <c r="Q128"/>
  <c r="Q128" i="1"/>
  <c r="Q128" i="3"/>
  <c r="M128"/>
  <c r="M128" i="7"/>
  <c r="U127" i="9"/>
  <c r="M127"/>
  <c r="K127"/>
  <c r="U128" i="10"/>
  <c r="BK156" i="15"/>
  <c r="AE156"/>
  <c r="BK161" i="14"/>
  <c r="BI161"/>
  <c r="AE161"/>
  <c r="BL164" i="6"/>
  <c r="BJ164"/>
  <c r="BF164"/>
  <c r="AF164"/>
  <c r="W164" i="4"/>
  <c r="Q164"/>
  <c r="Q165" i="1"/>
  <c r="K164" i="9"/>
  <c r="U164" i="10"/>
  <c r="G164"/>
  <c r="E164"/>
  <c r="K164" i="12"/>
  <c r="W162" i="4"/>
  <c r="Q162"/>
  <c r="Q162" i="3"/>
  <c r="M162"/>
  <c r="M162" i="7"/>
  <c r="U162" i="10"/>
  <c r="G162"/>
  <c r="S162" i="12"/>
  <c r="K160"/>
  <c r="BK156" i="14"/>
  <c r="BI156"/>
  <c r="BE156"/>
  <c r="AE156"/>
  <c r="BL159" i="6"/>
  <c r="BJ159"/>
  <c r="BF159"/>
  <c r="AF159"/>
  <c r="W160" i="4"/>
  <c r="Q160" i="3"/>
  <c r="M160"/>
  <c r="M160" i="7"/>
  <c r="K160" i="9"/>
  <c r="U160" i="10"/>
  <c r="G160"/>
  <c r="BK155" i="14"/>
  <c r="BI155"/>
  <c r="BE155"/>
  <c r="AE155"/>
  <c r="W159" i="4"/>
  <c r="W160" i="1"/>
  <c r="Q159" i="3"/>
  <c r="M159"/>
  <c r="M159" i="7"/>
  <c r="K159" i="9"/>
  <c r="M159"/>
  <c r="U159" i="10"/>
  <c r="G159"/>
  <c r="Q159" i="12"/>
  <c r="AE154" i="14"/>
  <c r="BF157" i="6"/>
  <c r="AF157"/>
  <c r="I158" i="5"/>
  <c r="G158"/>
  <c r="W158" i="4"/>
  <c r="Q158"/>
  <c r="Q159" i="1"/>
  <c r="Q158" i="3"/>
  <c r="M158"/>
  <c r="E158"/>
  <c r="M158" i="7"/>
  <c r="E158"/>
  <c r="K158" i="8"/>
  <c r="E158"/>
  <c r="M158" i="9"/>
  <c r="K158"/>
  <c r="U158" i="10"/>
  <c r="BK152" i="14"/>
  <c r="BI152"/>
  <c r="AE152"/>
  <c r="BL155" i="6"/>
  <c r="BF155"/>
  <c r="AF155"/>
  <c r="W156" i="4"/>
  <c r="Q156"/>
  <c r="Q156" i="1"/>
  <c r="Q156" i="3"/>
  <c r="M156"/>
  <c r="E156"/>
  <c r="M156" i="7"/>
  <c r="K156" i="9"/>
  <c r="U156" i="10"/>
  <c r="G156"/>
  <c r="Q156" i="12"/>
  <c r="BK147" i="15"/>
  <c r="AE147"/>
  <c r="BK151" i="14"/>
  <c r="BI151"/>
  <c r="AE151"/>
  <c r="BL154" i="6"/>
  <c r="BJ154"/>
  <c r="AF154"/>
  <c r="Q155" i="4"/>
  <c r="Q155" i="1"/>
  <c r="Q155" i="3"/>
  <c r="M155"/>
  <c r="E155"/>
  <c r="M155" i="7"/>
  <c r="U155" i="10"/>
  <c r="G155"/>
  <c r="E155" s="1"/>
  <c r="BK150" i="14"/>
  <c r="BI150"/>
  <c r="AE150"/>
  <c r="BL153" i="6"/>
  <c r="BJ153"/>
  <c r="AF153"/>
  <c r="K153"/>
  <c r="W153" i="4"/>
  <c r="Q153"/>
  <c r="Q153" i="1"/>
  <c r="M153" i="3"/>
  <c r="E153"/>
  <c r="M153" i="7"/>
  <c r="U153" i="10"/>
  <c r="G153"/>
  <c r="E153" i="12"/>
  <c r="BK149" i="14"/>
  <c r="BI149"/>
  <c r="AE149"/>
  <c r="BL152" i="6"/>
  <c r="BJ152"/>
  <c r="AF152"/>
  <c r="W152" i="4"/>
  <c r="AL152" i="5"/>
  <c r="G152"/>
  <c r="G152" i="2"/>
  <c r="Q152" i="3"/>
  <c r="E152"/>
  <c r="E152" i="7"/>
  <c r="E152" i="8"/>
  <c r="M152" i="9"/>
  <c r="K152"/>
  <c r="U152" i="10"/>
  <c r="G152"/>
  <c r="K152" i="12"/>
  <c r="BK146" i="14"/>
  <c r="BE146"/>
  <c r="AE146"/>
  <c r="BL149" i="6"/>
  <c r="BJ149"/>
  <c r="BH149"/>
  <c r="BF149"/>
  <c r="AF149"/>
  <c r="S149"/>
  <c r="W149" i="4"/>
  <c r="Q149"/>
  <c r="Q149" i="1"/>
  <c r="Q149" i="3"/>
  <c r="M149"/>
  <c r="E149"/>
  <c r="M149" i="7"/>
  <c r="E149"/>
  <c r="K149" i="9"/>
  <c r="U149" i="10"/>
  <c r="G149"/>
  <c r="AE144" i="15"/>
  <c r="AI144" i="13"/>
  <c r="AE144"/>
  <c r="BK148" i="14"/>
  <c r="BI148"/>
  <c r="BG148"/>
  <c r="AE148"/>
  <c r="W148"/>
  <c r="BL151" i="6"/>
  <c r="BJ151"/>
  <c r="BH151"/>
  <c r="BF151"/>
  <c r="AF151"/>
  <c r="W151" i="4"/>
  <c r="Q151"/>
  <c r="W151" i="1"/>
  <c r="Q151"/>
  <c r="Q151" i="3"/>
  <c r="M151"/>
  <c r="M151" i="7"/>
  <c r="U151" i="10"/>
  <c r="G151"/>
  <c r="BK120" i="14"/>
  <c r="BI120"/>
  <c r="BE120"/>
  <c r="AK120"/>
  <c r="AE120"/>
  <c r="S120"/>
  <c r="BL123" i="6"/>
  <c r="BJ123"/>
  <c r="BF123"/>
  <c r="AF123"/>
  <c r="S123"/>
  <c r="AL121" i="5"/>
  <c r="I121"/>
  <c r="W122" i="4"/>
  <c r="Q122"/>
  <c r="I121" i="2"/>
  <c r="W122" i="1"/>
  <c r="Q122"/>
  <c r="Q122" i="3"/>
  <c r="M122"/>
  <c r="E122"/>
  <c r="M122" i="7"/>
  <c r="E122"/>
  <c r="K122" i="8"/>
  <c r="M121" i="9"/>
  <c r="O121"/>
  <c r="K121"/>
  <c r="U122" i="10"/>
  <c r="G122"/>
  <c r="E122" s="1"/>
  <c r="K122" i="12"/>
  <c r="W127" i="4"/>
  <c r="Q127"/>
  <c r="Q127" i="1"/>
  <c r="Q127" i="3"/>
  <c r="G127" i="10"/>
  <c r="BF150" i="6"/>
  <c r="AF150"/>
  <c r="Q150" i="3"/>
  <c r="M150" i="9"/>
  <c r="K150"/>
  <c r="U150" i="10"/>
  <c r="G150"/>
  <c r="E150" i="12"/>
  <c r="AL148" i="5" l="1"/>
  <c r="W148" i="4"/>
  <c r="K148" i="9"/>
  <c r="U148" i="10"/>
  <c r="G148"/>
  <c r="S147" i="5"/>
  <c r="W147" i="4"/>
  <c r="Q147"/>
  <c r="W147" i="1"/>
  <c r="Q147"/>
  <c r="Q147" i="3"/>
  <c r="M147"/>
  <c r="M147" i="7"/>
  <c r="Q147" i="9"/>
  <c r="U147"/>
  <c r="O147"/>
  <c r="K147"/>
  <c r="U147" i="10" l="1"/>
  <c r="G147"/>
  <c r="E147" i="12"/>
  <c r="W146" i="4"/>
  <c r="Q146"/>
  <c r="W146" i="1"/>
  <c r="Q146"/>
  <c r="Q146" i="3"/>
  <c r="M146"/>
  <c r="E146"/>
  <c r="M146" i="7"/>
  <c r="E146"/>
  <c r="U146" i="10"/>
  <c r="BL145" i="6"/>
  <c r="BJ145"/>
  <c r="BH145"/>
  <c r="AF145"/>
  <c r="W145" i="4"/>
  <c r="Q145"/>
  <c r="Q145" i="1"/>
  <c r="Q145" i="3"/>
  <c r="O145" i="9"/>
  <c r="U145" i="10"/>
  <c r="G145"/>
  <c r="BK141" i="14"/>
  <c r="BI141"/>
  <c r="AE141"/>
  <c r="BL144" i="6"/>
  <c r="BJ144"/>
  <c r="AF144"/>
  <c r="W144" i="4"/>
  <c r="Q144"/>
  <c r="Q144" i="1"/>
  <c r="Q144" i="3"/>
  <c r="O144" i="9"/>
  <c r="E145" i="10"/>
  <c r="U144"/>
  <c r="G144"/>
  <c r="BE136" i="15"/>
  <c r="AE136"/>
  <c r="BK140" i="14"/>
  <c r="BE140"/>
  <c r="AE140"/>
  <c r="BL143" i="6"/>
  <c r="BF143"/>
  <c r="AF143"/>
  <c r="W143" i="4"/>
  <c r="AH143" i="5"/>
  <c r="Q143" i="4"/>
  <c r="Q143" i="1"/>
  <c r="Q143" i="3"/>
  <c r="M143"/>
  <c r="E143"/>
  <c r="M143" i="7"/>
  <c r="E143"/>
  <c r="O143" i="9"/>
  <c r="U143" i="10"/>
  <c r="G143"/>
  <c r="BK138" i="14"/>
  <c r="BE138"/>
  <c r="AE138"/>
  <c r="W138"/>
  <c r="BL141" i="6"/>
  <c r="BF141"/>
  <c r="AF141"/>
  <c r="W141" i="4"/>
  <c r="Q141" i="3"/>
  <c r="M141"/>
  <c r="E141"/>
  <c r="M141" i="7"/>
  <c r="M141" i="9"/>
  <c r="K141"/>
  <c r="U141" i="10"/>
  <c r="G141"/>
  <c r="E141" s="1"/>
  <c r="W140" i="4"/>
  <c r="Q140"/>
  <c r="W140" i="1"/>
  <c r="Q140"/>
  <c r="Q140" i="3"/>
  <c r="M140"/>
  <c r="S140" s="1"/>
  <c r="M140" i="7"/>
  <c r="S140" i="8"/>
  <c r="U140" i="9"/>
  <c r="K140"/>
  <c r="U140" i="10"/>
  <c r="G140"/>
  <c r="K140" i="12"/>
  <c r="G139" i="5"/>
  <c r="Q139" i="4"/>
  <c r="G139" i="2"/>
  <c r="Q139" i="1"/>
  <c r="Q139" i="3"/>
  <c r="M139"/>
  <c r="M139" i="7"/>
  <c r="E139" i="8"/>
  <c r="O139" i="9"/>
  <c r="K139"/>
  <c r="U139" i="10"/>
  <c r="G139"/>
  <c r="E139" i="12"/>
  <c r="BK131" i="15"/>
  <c r="AE131"/>
  <c r="BL138" i="6"/>
  <c r="BJ138"/>
  <c r="BF138"/>
  <c r="AF138"/>
  <c r="Q138" i="4"/>
  <c r="Q138" i="1"/>
  <c r="Q138" i="3"/>
  <c r="M138"/>
  <c r="E138"/>
  <c r="M138" i="7"/>
  <c r="M138" i="9"/>
  <c r="K138"/>
  <c r="U138" i="10"/>
  <c r="G138"/>
  <c r="W137" i="4"/>
  <c r="Q137" i="3"/>
  <c r="M137"/>
  <c r="E137"/>
  <c r="M137" i="7"/>
  <c r="E137"/>
  <c r="K137" i="9"/>
  <c r="U137" i="10"/>
  <c r="G137"/>
  <c r="AE133" i="14"/>
  <c r="AF136" i="6"/>
  <c r="W136" i="4"/>
  <c r="Q136"/>
  <c r="W136" i="1"/>
  <c r="Q136"/>
  <c r="Q136" i="3"/>
  <c r="M136"/>
  <c r="E136"/>
  <c r="M136" i="7"/>
  <c r="E136"/>
  <c r="U136" i="10"/>
  <c r="G136"/>
  <c r="Q136" i="12"/>
  <c r="BK128" i="15"/>
  <c r="AE128"/>
  <c r="BK132" i="14"/>
  <c r="BI132"/>
  <c r="AE132"/>
  <c r="I134" i="5"/>
  <c r="Q135" i="4"/>
  <c r="Q135" i="1"/>
  <c r="Q135" i="3"/>
  <c r="M135"/>
  <c r="E135"/>
  <c r="M135" i="7"/>
  <c r="E135"/>
  <c r="K135" i="8"/>
  <c r="M134" i="9"/>
  <c r="K134"/>
  <c r="U135" i="10"/>
  <c r="G135"/>
  <c r="Q135" i="12"/>
  <c r="BK127" i="15"/>
  <c r="BK131" i="14"/>
  <c r="BE131"/>
  <c r="AE131"/>
  <c r="AL133" i="5"/>
  <c r="W134" i="4"/>
  <c r="S134"/>
  <c r="Q134" i="3"/>
  <c r="M134"/>
  <c r="E134"/>
  <c r="M134" i="7"/>
  <c r="K133" i="9"/>
  <c r="U134" i="10"/>
  <c r="G134"/>
  <c r="BK126" i="15"/>
  <c r="AE126"/>
  <c r="BK130" i="14"/>
  <c r="BI130"/>
  <c r="BG130"/>
  <c r="BE130"/>
  <c r="AE130"/>
  <c r="BL133" i="6"/>
  <c r="BJ133"/>
  <c r="BH133"/>
  <c r="BF133"/>
  <c r="AF133"/>
  <c r="G132" i="5"/>
  <c r="W133" i="4"/>
  <c r="Q133"/>
  <c r="G133" i="2"/>
  <c r="Q133" i="1"/>
  <c r="Q133" i="3"/>
  <c r="M133"/>
  <c r="M133" i="7"/>
  <c r="K132" i="9"/>
  <c r="E133" i="8"/>
  <c r="O132" i="9"/>
  <c r="U133" i="10"/>
  <c r="G133"/>
  <c r="E133" s="1"/>
  <c r="S133" i="12"/>
  <c r="BK125" i="15"/>
  <c r="AE125"/>
  <c r="BL132" i="6"/>
  <c r="BJ132"/>
  <c r="AF132"/>
  <c r="W132" i="4"/>
  <c r="Q132"/>
  <c r="Q132" i="3" l="1"/>
  <c r="M132"/>
  <c r="E132"/>
  <c r="M132" i="7"/>
  <c r="U131" i="9"/>
  <c r="K131"/>
  <c r="U132" i="10"/>
  <c r="G132"/>
  <c r="I132" i="12"/>
  <c r="Y131"/>
  <c r="AL128" i="5"/>
  <c r="W129" i="4"/>
  <c r="Q129" i="3"/>
  <c r="M129"/>
  <c r="M129" i="7"/>
  <c r="K128" i="9"/>
  <c r="U129" i="10"/>
  <c r="G129"/>
  <c r="K129" i="12"/>
  <c r="W125" i="4" l="1"/>
  <c r="Q125"/>
  <c r="Q125" i="1"/>
  <c r="Q125" i="3"/>
  <c r="M125"/>
  <c r="E125"/>
  <c r="M125" i="7"/>
  <c r="E125"/>
  <c r="U125" i="10"/>
  <c r="G125"/>
  <c r="BK122" i="14"/>
  <c r="BE122"/>
  <c r="AE122"/>
  <c r="M122"/>
  <c r="G122"/>
  <c r="BL125" i="6"/>
  <c r="BF125"/>
  <c r="AF125"/>
  <c r="M125"/>
  <c r="G125"/>
  <c r="W124" i="4"/>
  <c r="Q124"/>
  <c r="Q124" i="1"/>
  <c r="Q124" i="3"/>
  <c r="M124"/>
  <c r="E124"/>
  <c r="M124" i="7"/>
  <c r="E124"/>
  <c r="U124" i="10"/>
  <c r="G124"/>
  <c r="BK121" i="14"/>
  <c r="BE121"/>
  <c r="AE121"/>
  <c r="M121"/>
  <c r="BL124" i="6"/>
  <c r="BJ124"/>
  <c r="BF124"/>
  <c r="AF124"/>
  <c r="M124"/>
  <c r="Q123" i="4"/>
  <c r="Q123" i="1"/>
  <c r="Q123" i="3"/>
  <c r="M123"/>
  <c r="M123" i="7"/>
  <c r="U123" i="10"/>
  <c r="G123"/>
  <c r="BK115" i="15"/>
  <c r="AE115"/>
  <c r="BK119" i="14"/>
  <c r="BI119"/>
  <c r="AE119"/>
  <c r="BL122" i="6"/>
  <c r="BJ122"/>
  <c r="AF122"/>
  <c r="W121" i="4"/>
  <c r="Q121" i="3"/>
  <c r="M121"/>
  <c r="E121"/>
  <c r="M121" i="7"/>
  <c r="M120" i="9"/>
  <c r="K120"/>
  <c r="U121" i="10"/>
  <c r="G121"/>
  <c r="E121"/>
  <c r="K121" i="12"/>
  <c r="E121"/>
  <c r="BK118" i="14"/>
  <c r="BI118"/>
  <c r="BG118"/>
  <c r="AE118"/>
  <c r="BL121" i="6"/>
  <c r="BH121"/>
  <c r="BF121"/>
  <c r="AF121"/>
  <c r="G119" i="5"/>
  <c r="W120" i="4"/>
  <c r="G119" i="2"/>
  <c r="Q120" i="3"/>
  <c r="M120"/>
  <c r="E120"/>
  <c r="E119" i="8"/>
  <c r="K119" i="9"/>
  <c r="M119"/>
  <c r="U119" i="10"/>
  <c r="G119"/>
  <c r="BK62" i="15"/>
  <c r="AE62"/>
  <c r="BK61" i="13"/>
  <c r="AI61"/>
  <c r="AE61"/>
  <c r="BK63" i="14"/>
  <c r="BE63"/>
  <c r="AE63"/>
  <c r="BL65" i="6"/>
  <c r="BF65"/>
  <c r="AF65"/>
  <c r="AP63" i="5"/>
  <c r="Q64" i="4"/>
  <c r="AK63" i="2" l="1"/>
  <c r="Q64" i="1"/>
  <c r="M64"/>
  <c r="Q64" i="3"/>
  <c r="M64"/>
  <c r="E64"/>
  <c r="M64" i="7"/>
  <c r="E64"/>
  <c r="M63" i="9"/>
  <c r="K63"/>
  <c r="O63" i="10"/>
  <c r="G63"/>
  <c r="E63" s="1"/>
  <c r="M63"/>
  <c r="U63"/>
  <c r="Y63" s="1"/>
  <c r="AB63" s="1"/>
  <c r="BK117" i="14"/>
  <c r="BI117"/>
  <c r="BG117"/>
  <c r="BE117"/>
  <c r="AE117"/>
  <c r="BL120" i="6"/>
  <c r="BH120"/>
  <c r="BF120"/>
  <c r="AF120"/>
  <c r="K120"/>
  <c r="W119" i="4"/>
  <c r="Q119"/>
  <c r="Q119" i="1"/>
  <c r="Q119" i="3"/>
  <c r="M119"/>
  <c r="E119"/>
  <c r="M119" i="7"/>
  <c r="U118" i="9"/>
  <c r="U118" i="10"/>
  <c r="G118"/>
  <c r="M118" i="12"/>
  <c r="BK112" i="13"/>
  <c r="BI112"/>
  <c r="BG112"/>
  <c r="AE112"/>
  <c r="BK116" i="14"/>
  <c r="BG116"/>
  <c r="AE116"/>
  <c r="BL119" i="6"/>
  <c r="BH119"/>
  <c r="AF119"/>
  <c r="BK112" i="15"/>
  <c r="AE112"/>
  <c r="S112" i="13"/>
  <c r="S116" i="14"/>
  <c r="S119" i="6"/>
  <c r="G117" i="5"/>
  <c r="W118" i="4"/>
  <c r="W118" i="1"/>
  <c r="M118" i="3"/>
  <c r="E117" i="8"/>
  <c r="U117" i="10" l="1"/>
  <c r="G117"/>
  <c r="BK114" i="14"/>
  <c r="BI114"/>
  <c r="BE114"/>
  <c r="AE114"/>
  <c r="BL117" i="6"/>
  <c r="BJ117"/>
  <c r="BF117"/>
  <c r="AF117"/>
  <c r="S117"/>
  <c r="W116" i="4"/>
  <c r="G115" i="5"/>
  <c r="Q116" i="4"/>
  <c r="G115" i="2"/>
  <c r="Q116" i="1"/>
  <c r="Q116" i="3"/>
  <c r="M116"/>
  <c r="E116"/>
  <c r="E116" i="7"/>
  <c r="E115" i="8"/>
  <c r="K115" i="9"/>
  <c r="U115" i="10"/>
  <c r="G115"/>
  <c r="BK113" i="14"/>
  <c r="BI113"/>
  <c r="BE113"/>
  <c r="AE113"/>
  <c r="AL114" i="5"/>
  <c r="AB114"/>
  <c r="W114" i="4"/>
  <c r="Q114"/>
  <c r="AG114" i="2"/>
  <c r="W115" i="1"/>
  <c r="Q115"/>
  <c r="Q115" i="3"/>
  <c r="K114" i="9"/>
  <c r="U114" i="10"/>
  <c r="G114"/>
  <c r="G113" i="5"/>
  <c r="W113" i="4"/>
  <c r="Q113"/>
  <c r="G113" i="2"/>
  <c r="Q114" i="1"/>
  <c r="M114" i="3"/>
  <c r="M114" i="7"/>
  <c r="E113" i="8"/>
  <c r="U113" i="9"/>
  <c r="K113"/>
  <c r="U113" i="10"/>
  <c r="G113"/>
  <c r="BK107" i="15"/>
  <c r="AE107"/>
  <c r="BK110" i="14"/>
  <c r="BI110"/>
  <c r="AK110"/>
  <c r="AE110"/>
  <c r="BL113" i="6"/>
  <c r="BJ113"/>
  <c r="AR113"/>
  <c r="AL113"/>
  <c r="AF113"/>
  <c r="W111" i="4"/>
  <c r="Q111"/>
  <c r="W112" i="1"/>
  <c r="Q112"/>
  <c r="Q111" i="3"/>
  <c r="M111"/>
  <c r="M111" i="7"/>
  <c r="U111" i="9"/>
  <c r="K111"/>
  <c r="U111" i="10"/>
  <c r="G111"/>
  <c r="BK106" i="15"/>
  <c r="AE106"/>
  <c r="BK106" i="13"/>
  <c r="BG106"/>
  <c r="AE106"/>
  <c r="BK109" i="14"/>
  <c r="BI109"/>
  <c r="AE109"/>
  <c r="BL112" i="6"/>
  <c r="BJ112"/>
  <c r="BF112"/>
  <c r="AF112"/>
  <c r="Q110" i="4"/>
  <c r="Q111" i="1"/>
  <c r="Q110" i="3"/>
  <c r="M110"/>
  <c r="M110" i="8"/>
  <c r="AD110"/>
  <c r="Q110"/>
  <c r="K110"/>
  <c r="I110"/>
  <c r="G110"/>
  <c r="E110"/>
  <c r="O110" i="9"/>
  <c r="K110"/>
  <c r="U110" i="10"/>
  <c r="G110"/>
  <c r="BL111" i="6"/>
  <c r="BF111"/>
  <c r="AF111"/>
  <c r="Q109" i="4"/>
  <c r="Q110" i="1"/>
  <c r="Q109" i="3"/>
  <c r="M109"/>
  <c r="M109" i="7"/>
  <c r="U109" i="10"/>
  <c r="G109"/>
  <c r="AL108" i="5"/>
  <c r="W108" i="4"/>
  <c r="Q108"/>
  <c r="I108"/>
  <c r="Q109" i="1"/>
  <c r="I109"/>
  <c r="Q108" i="3"/>
  <c r="M108"/>
  <c r="E108"/>
  <c r="M108" i="7"/>
  <c r="E108"/>
  <c r="O108" i="9"/>
  <c r="K108"/>
  <c r="U108" i="10"/>
  <c r="G108"/>
  <c r="Q108" i="12"/>
  <c r="I108"/>
  <c r="BL109" i="6"/>
  <c r="BJ109"/>
  <c r="BF109"/>
  <c r="AF109"/>
  <c r="Q107" i="5"/>
  <c r="Q107" i="4"/>
  <c r="Q107" i="2"/>
  <c r="Q107" i="1"/>
  <c r="Q107" i="3"/>
  <c r="M107"/>
  <c r="S107" i="8"/>
  <c r="Q107" i="9"/>
  <c r="K107"/>
  <c r="U107" i="10"/>
  <c r="G107"/>
  <c r="BK102" i="13"/>
  <c r="BE102"/>
  <c r="AE102"/>
  <c r="BK106" i="14"/>
  <c r="BI106"/>
  <c r="BE106"/>
  <c r="AE106"/>
  <c r="BL108" i="6"/>
  <c r="BF108"/>
  <c r="AF108"/>
  <c r="W106" i="4"/>
  <c r="Q106" i="3"/>
  <c r="M106"/>
  <c r="E106"/>
  <c r="M106" i="7"/>
  <c r="U106" i="10"/>
  <c r="G106"/>
  <c r="BI105" i="14"/>
  <c r="AE105"/>
  <c r="BH107" i="6"/>
  <c r="AF107"/>
  <c r="S107"/>
  <c r="AL105" i="5"/>
  <c r="G105"/>
  <c r="W105" i="4"/>
  <c r="W105" i="1"/>
  <c r="Q105" i="3"/>
  <c r="M105"/>
  <c r="M105" i="7"/>
  <c r="E105" i="8"/>
  <c r="O105" i="9"/>
  <c r="M105"/>
  <c r="K105"/>
  <c r="U105" i="10"/>
  <c r="G105"/>
  <c r="BK100" i="13"/>
  <c r="AE100"/>
  <c r="BG104" i="14"/>
  <c r="BK104"/>
  <c r="BI104"/>
  <c r="AE104"/>
  <c r="K104"/>
  <c r="BL106" i="6"/>
  <c r="BJ106"/>
  <c r="AF106"/>
  <c r="Q104" i="4"/>
  <c r="Q104" i="1"/>
  <c r="Q104" i="3"/>
  <c r="M104"/>
  <c r="E104"/>
  <c r="M104" i="7"/>
  <c r="E104"/>
  <c r="K104" i="9"/>
  <c r="U104" i="10"/>
  <c r="BK103" i="14"/>
  <c r="BI103"/>
  <c r="AE103"/>
  <c r="BL105" i="6"/>
  <c r="BH105"/>
  <c r="AF105"/>
  <c r="E103" i="5"/>
  <c r="W103" i="4"/>
  <c r="Q103"/>
  <c r="E103" i="2"/>
  <c r="Q103" i="1"/>
  <c r="Q103" i="3"/>
  <c r="M103"/>
  <c r="Q103" i="8"/>
  <c r="U103" i="10"/>
  <c r="G103"/>
  <c r="E103" i="12"/>
  <c r="W101" i="4"/>
  <c r="Q101" i="3"/>
  <c r="M101"/>
  <c r="M101" i="7"/>
  <c r="U101" i="9"/>
  <c r="M101"/>
  <c r="K101"/>
  <c r="U101" i="10"/>
  <c r="G101"/>
  <c r="E101" i="12"/>
  <c r="BK100" i="14"/>
  <c r="BI100"/>
  <c r="AE100"/>
  <c r="BL102" i="6"/>
  <c r="BF102"/>
  <c r="AF102"/>
  <c r="Q100" i="4"/>
  <c r="Q100" i="1"/>
  <c r="Q100" i="3"/>
  <c r="M100"/>
  <c r="E100"/>
  <c r="M100" i="7"/>
  <c r="E100"/>
  <c r="U100" i="10"/>
  <c r="G100"/>
  <c r="BK99" i="14"/>
  <c r="BI99"/>
  <c r="BG99"/>
  <c r="BE99"/>
  <c r="AE99"/>
  <c r="BL101" i="6"/>
  <c r="BJ101"/>
  <c r="AF101"/>
  <c r="W99" i="4"/>
  <c r="Q99"/>
  <c r="Q99" i="1"/>
  <c r="Q99" i="3"/>
  <c r="M99"/>
  <c r="E99"/>
  <c r="M99" i="7"/>
  <c r="K99" i="9"/>
  <c r="U99" i="10"/>
  <c r="G99"/>
  <c r="K99" i="12"/>
  <c r="E99"/>
  <c r="BL100" i="6"/>
  <c r="BH100"/>
  <c r="AF100"/>
  <c r="BK98" i="14"/>
  <c r="BI98"/>
  <c r="BG98"/>
  <c r="AE98"/>
  <c r="BK94" i="13"/>
  <c r="BG94"/>
  <c r="AK94"/>
  <c r="AE94"/>
  <c r="S94"/>
  <c r="S98" i="14"/>
  <c r="S100" i="6"/>
  <c r="W98" i="4"/>
  <c r="Q98"/>
  <c r="Q98" i="1"/>
  <c r="Q98" i="3"/>
  <c r="M98"/>
  <c r="M98" i="7"/>
  <c r="K98" i="9"/>
  <c r="U98" i="10"/>
  <c r="G98"/>
  <c r="E98" i="12"/>
  <c r="E64" i="15"/>
  <c r="W66" i="4"/>
  <c r="K65" i="9"/>
  <c r="U66" i="10"/>
  <c r="G66"/>
  <c r="W55" i="4"/>
  <c r="Q55"/>
  <c r="Q55" i="1"/>
  <c r="Q55" i="3"/>
  <c r="M55"/>
  <c r="E55"/>
  <c r="M55" i="7"/>
  <c r="E55"/>
  <c r="K55" i="9"/>
  <c r="U55" i="10"/>
  <c r="G55"/>
  <c r="BK97" i="14"/>
  <c r="BI97"/>
  <c r="AE97"/>
  <c r="BJ99" i="6"/>
  <c r="E97" i="5"/>
  <c r="W97" i="4"/>
  <c r="Q97"/>
  <c r="Q97" i="1"/>
  <c r="M97" i="3"/>
  <c r="Q97"/>
  <c r="E97"/>
  <c r="M97" i="7"/>
  <c r="Q97" i="8"/>
  <c r="O97" i="9"/>
  <c r="K97"/>
  <c r="U97" i="10"/>
  <c r="G97"/>
  <c r="BK96" i="14"/>
  <c r="BG96"/>
  <c r="AE96"/>
  <c r="BL98" i="6"/>
  <c r="AF98"/>
  <c r="Q96" i="4"/>
  <c r="Q96" i="1"/>
  <c r="Q96" i="3"/>
  <c r="M96"/>
  <c r="M96" i="7"/>
  <c r="W96" i="8"/>
  <c r="K96" i="9"/>
  <c r="U96" i="10"/>
  <c r="M96" i="12"/>
  <c r="E96"/>
  <c r="W95" i="4"/>
  <c r="Q95"/>
  <c r="W95" i="1"/>
  <c r="Q95"/>
  <c r="M95" i="3"/>
  <c r="U95" i="9"/>
  <c r="O95"/>
  <c r="M95"/>
  <c r="K95"/>
  <c r="U95" i="10"/>
  <c r="M95"/>
  <c r="G95"/>
  <c r="Q94" i="4"/>
  <c r="Q94" i="1"/>
  <c r="M94" i="3"/>
  <c r="M94" i="7"/>
  <c r="M94" i="9"/>
  <c r="K94"/>
  <c r="U94" i="10"/>
  <c r="G94"/>
  <c r="BK93" i="14"/>
  <c r="BI93"/>
  <c r="AE93"/>
  <c r="BL95" i="6"/>
  <c r="BJ95"/>
  <c r="AF95"/>
  <c r="Q93" i="4"/>
  <c r="Q93" i="1"/>
  <c r="Q93" i="3"/>
  <c r="M93"/>
  <c r="K93" i="9"/>
  <c r="M93"/>
  <c r="U93" i="10"/>
  <c r="G93"/>
  <c r="AL91" i="5"/>
  <c r="W91" i="4"/>
  <c r="Q91"/>
  <c r="Q91" i="1"/>
  <c r="Q91" i="3"/>
  <c r="E91"/>
  <c r="O91" i="9"/>
  <c r="M91"/>
  <c r="K91"/>
  <c r="U91" i="10"/>
  <c r="G91"/>
  <c r="Q91" i="12"/>
  <c r="BI86" i="13"/>
  <c r="BK86"/>
  <c r="BE86"/>
  <c r="AE86"/>
  <c r="BK90" i="14"/>
  <c r="BI90"/>
  <c r="AE90"/>
  <c r="BL92" i="6"/>
  <c r="BJ92"/>
  <c r="AJ92"/>
  <c r="AF92"/>
  <c r="G90" i="5"/>
  <c r="Q90" i="4"/>
  <c r="G90" i="2"/>
  <c r="Q90" i="1"/>
  <c r="Q90" i="3"/>
  <c r="M90"/>
  <c r="M90" i="7"/>
  <c r="E90" i="8"/>
  <c r="O90" i="9"/>
  <c r="M90"/>
  <c r="K90"/>
  <c r="U90" i="10"/>
  <c r="G90"/>
  <c r="Q90" i="12"/>
  <c r="BI89" i="14"/>
  <c r="BE89"/>
  <c r="AE89"/>
  <c r="BF91" i="6"/>
  <c r="AF91"/>
  <c r="W89" i="4"/>
  <c r="Q89"/>
  <c r="Q89" i="1"/>
  <c r="Q89" i="3"/>
  <c r="O89"/>
  <c r="M89"/>
  <c r="E89"/>
  <c r="O89" i="7"/>
  <c r="U89" i="9"/>
  <c r="O89"/>
  <c r="K89"/>
  <c r="U89" i="10"/>
  <c r="K89" i="12"/>
  <c r="BK88" i="14"/>
  <c r="BI88"/>
  <c r="AE88"/>
  <c r="BL90" i="6"/>
  <c r="BF90"/>
  <c r="AF90"/>
  <c r="I88" i="5"/>
  <c r="Q88" i="4"/>
  <c r="I88" i="2"/>
  <c r="Q88" i="1"/>
  <c r="Q88" i="3"/>
  <c r="M88"/>
  <c r="M88" i="7"/>
  <c r="K88" i="8"/>
  <c r="K88" i="9"/>
  <c r="U88" i="10"/>
  <c r="G88"/>
  <c r="E88" i="12"/>
  <c r="BK87" i="14"/>
  <c r="AE87"/>
  <c r="BL89" i="6"/>
  <c r="BJ89"/>
  <c r="BH89"/>
  <c r="AF89"/>
  <c r="S89"/>
  <c r="Q85" i="3"/>
  <c r="M85"/>
  <c r="M85" i="7"/>
  <c r="K85" i="9"/>
  <c r="U85" i="10"/>
  <c r="G85"/>
  <c r="BL86" i="6"/>
  <c r="BJ86"/>
  <c r="BF86"/>
  <c r="AF86"/>
  <c r="S86"/>
  <c r="AP84" i="5"/>
  <c r="W84" i="4"/>
  <c r="Q84"/>
  <c r="AH84" i="5"/>
  <c r="W84" i="1"/>
  <c r="Q84"/>
  <c r="M84" i="3"/>
  <c r="Q84"/>
  <c r="O84"/>
  <c r="E84"/>
  <c r="M84" i="7"/>
  <c r="E84"/>
  <c r="U84" i="9"/>
  <c r="K84"/>
  <c r="U84" i="10"/>
  <c r="E84" i="12"/>
  <c r="BK83" i="14"/>
  <c r="BI83"/>
  <c r="AE83"/>
  <c r="K83"/>
  <c r="W83" i="4"/>
  <c r="Q83" i="3"/>
  <c r="M83"/>
  <c r="M83" i="7"/>
  <c r="U83" i="9"/>
  <c r="M83"/>
  <c r="K83"/>
  <c r="U83" i="10"/>
  <c r="G83"/>
  <c r="K83" i="12"/>
  <c r="Q82" i="4"/>
  <c r="Q82" i="1"/>
  <c r="Q82" i="3"/>
  <c r="M82"/>
  <c r="E82"/>
  <c r="M82" i="7"/>
  <c r="E82"/>
  <c r="M82" i="9"/>
  <c r="K82"/>
  <c r="U82" i="10"/>
  <c r="G82"/>
  <c r="BK78" i="15"/>
  <c r="BK81" i="14"/>
  <c r="BE81"/>
  <c r="AE81"/>
  <c r="BL83" i="6"/>
  <c r="BF83"/>
  <c r="AF83"/>
  <c r="W81" i="4"/>
  <c r="Q81" i="3"/>
  <c r="K81" i="9"/>
  <c r="U81" i="10"/>
  <c r="G81"/>
  <c r="M81" i="12"/>
  <c r="BK78" i="14"/>
  <c r="BI78"/>
  <c r="BE78"/>
  <c r="AE78"/>
  <c r="BJ80" i="6"/>
  <c r="BF80"/>
  <c r="AF80"/>
  <c r="W79" i="4"/>
  <c r="Q79"/>
  <c r="W79" i="1"/>
  <c r="Q79"/>
  <c r="Q79" i="3"/>
  <c r="M79"/>
  <c r="E79"/>
  <c r="M79" i="7"/>
  <c r="E79"/>
  <c r="U79" i="9"/>
  <c r="U79" i="10"/>
  <c r="G79"/>
  <c r="Q79" i="12"/>
  <c r="AE75" i="15"/>
  <c r="BK77" i="14"/>
  <c r="BI77"/>
  <c r="AE77"/>
  <c r="BL79" i="6"/>
  <c r="BJ79"/>
  <c r="AF79"/>
  <c r="W78" i="4"/>
  <c r="Q78"/>
  <c r="Q78" i="1"/>
  <c r="Q78" i="3"/>
  <c r="M78"/>
  <c r="K78" i="9"/>
  <c r="U78" i="10"/>
  <c r="G78"/>
  <c r="BK75" i="14"/>
  <c r="AE75"/>
  <c r="BL77" i="6"/>
  <c r="BJ77"/>
  <c r="AF77"/>
  <c r="W76" i="4"/>
  <c r="Q76"/>
  <c r="Q76" i="1"/>
  <c r="Q76" i="3"/>
  <c r="M76"/>
  <c r="E76"/>
  <c r="M76" i="7"/>
  <c r="U76" i="9"/>
  <c r="K76"/>
  <c r="K76" i="12"/>
  <c r="U76" i="10"/>
  <c r="G76"/>
  <c r="U75" i="12"/>
  <c r="K75"/>
  <c r="BK73" i="14"/>
  <c r="BI73"/>
  <c r="BE73"/>
  <c r="AE73"/>
  <c r="BL75" i="6"/>
  <c r="BJ75"/>
  <c r="BF75"/>
  <c r="AF75"/>
  <c r="W74" i="4"/>
  <c r="Q74"/>
  <c r="Q74" i="1"/>
  <c r="Q74" i="3"/>
  <c r="M74"/>
  <c r="E74"/>
  <c r="E74" i="7"/>
  <c r="K74" i="9"/>
  <c r="K74" i="12"/>
  <c r="BI72" i="14"/>
  <c r="AE72"/>
  <c r="BJ74" i="6"/>
  <c r="AF74"/>
  <c r="Q73" i="4"/>
  <c r="Q73" i="1"/>
  <c r="Q73" i="3"/>
  <c r="M73"/>
  <c r="M73" i="9"/>
  <c r="K73"/>
  <c r="U73" i="10"/>
  <c r="G73"/>
  <c r="K73" i="12"/>
  <c r="BK70" i="14"/>
  <c r="BE70"/>
  <c r="AE70"/>
  <c r="BL72" i="6"/>
  <c r="BF72"/>
  <c r="AF72"/>
  <c r="Q71" i="3"/>
  <c r="M71"/>
  <c r="E71"/>
  <c r="M71" i="7"/>
  <c r="O70" i="9"/>
  <c r="M70"/>
  <c r="K70"/>
  <c r="U71" i="10"/>
  <c r="G71"/>
  <c r="E71" i="12"/>
  <c r="Q71"/>
  <c r="BK67" i="13"/>
  <c r="BG67"/>
  <c r="AE67"/>
  <c r="S67"/>
  <c r="BK69" i="14"/>
  <c r="BM69" s="1"/>
  <c r="AE69"/>
  <c r="BL71" i="6"/>
  <c r="BH71"/>
  <c r="AF71"/>
  <c r="S71"/>
  <c r="W70" i="4"/>
  <c r="Q70" i="3"/>
  <c r="M70"/>
  <c r="E70"/>
  <c r="M69" i="9"/>
  <c r="K69"/>
  <c r="U70" i="10"/>
  <c r="G70"/>
  <c r="BK68" i="14"/>
  <c r="BI68"/>
  <c r="AE68"/>
  <c r="BL70" i="6"/>
  <c r="BJ70"/>
  <c r="BF70"/>
  <c r="AF70"/>
  <c r="Q69" i="4"/>
  <c r="Q69" i="3"/>
  <c r="U68" i="9"/>
  <c r="M68"/>
  <c r="K68"/>
  <c r="U69" i="10"/>
  <c r="G69"/>
  <c r="BK66" i="15"/>
  <c r="BE66"/>
  <c r="AE66"/>
  <c r="AI66" s="1"/>
  <c r="BK67" i="14"/>
  <c r="BI67"/>
  <c r="BE67"/>
  <c r="AE67"/>
  <c r="BL69" i="6"/>
  <c r="BF69"/>
  <c r="AF69"/>
  <c r="E69"/>
  <c r="W68" i="4"/>
  <c r="G67" i="5"/>
  <c r="Q68" i="4"/>
  <c r="G67" i="2"/>
  <c r="W68" i="1"/>
  <c r="Q68"/>
  <c r="Q68" i="3"/>
  <c r="M68"/>
  <c r="M68" i="7"/>
  <c r="E68" i="8"/>
  <c r="U67" i="9"/>
  <c r="M67"/>
  <c r="K67"/>
  <c r="U68" i="10"/>
  <c r="G68"/>
  <c r="Q68" i="12"/>
  <c r="E68"/>
  <c r="AK66" i="14"/>
  <c r="BK66"/>
  <c r="BI66"/>
  <c r="AE66"/>
  <c r="BL68" i="6"/>
  <c r="BJ68"/>
  <c r="BF68"/>
  <c r="AF68"/>
  <c r="I66" i="5"/>
  <c r="Q67" i="4"/>
  <c r="I66" i="2"/>
  <c r="Q67" i="1"/>
  <c r="Q67" i="3"/>
  <c r="M67"/>
  <c r="E67"/>
  <c r="M67" i="7"/>
  <c r="E67"/>
  <c r="K67" i="8"/>
  <c r="M66" i="9"/>
  <c r="K66"/>
  <c r="U67" i="10"/>
  <c r="BK64" i="14"/>
  <c r="BI64"/>
  <c r="AE64"/>
  <c r="BL66" i="6"/>
  <c r="AF66"/>
  <c r="I64" i="5"/>
  <c r="W65" i="4"/>
  <c r="Q65"/>
  <c r="I64" i="2"/>
  <c r="Q65" i="1"/>
  <c r="Q65" i="3"/>
  <c r="M65"/>
  <c r="E65"/>
  <c r="M65" i="7"/>
  <c r="E65"/>
  <c r="K65" i="8"/>
  <c r="K64" i="9"/>
  <c r="U65" i="10"/>
  <c r="Q65" i="12"/>
  <c r="K65"/>
  <c r="E65"/>
  <c r="BK61" i="14"/>
  <c r="BG61"/>
  <c r="AE61"/>
  <c r="BL63" i="6"/>
  <c r="BJ63"/>
  <c r="AF63"/>
  <c r="Q62" i="4"/>
  <c r="Q62" i="1"/>
  <c r="Q62" i="3"/>
  <c r="M62"/>
  <c r="O61" i="9"/>
  <c r="M61"/>
  <c r="K61"/>
  <c r="U61" i="10"/>
  <c r="BK60" i="14"/>
  <c r="BI60"/>
  <c r="AE60"/>
  <c r="BL62" i="6"/>
  <c r="BJ62"/>
  <c r="AF62"/>
  <c r="Q60" i="4"/>
  <c r="Q61" i="1"/>
  <c r="Q61" i="3"/>
  <c r="K60" i="9"/>
  <c r="U60" i="10"/>
  <c r="M60"/>
  <c r="G60"/>
  <c r="BK59" i="14"/>
  <c r="BI59"/>
  <c r="AE59"/>
  <c r="BL61" i="6"/>
  <c r="BJ61"/>
  <c r="BF61"/>
  <c r="AF61"/>
  <c r="AL59" i="5"/>
  <c r="W59" i="4"/>
  <c r="Q59"/>
  <c r="I59"/>
  <c r="Q60" i="1"/>
  <c r="I60"/>
  <c r="Q59" i="3"/>
  <c r="M59"/>
  <c r="M59" i="7"/>
  <c r="O59" i="9"/>
  <c r="M59"/>
  <c r="K59"/>
  <c r="U59" i="10"/>
  <c r="G59"/>
  <c r="K59" i="12"/>
  <c r="BK56" i="13"/>
  <c r="AE56"/>
  <c r="BK58" i="14"/>
  <c r="BI58"/>
  <c r="BG58"/>
  <c r="AE58"/>
  <c r="BL60" i="6"/>
  <c r="AF60"/>
  <c r="Q58" i="4"/>
  <c r="Q59" i="1"/>
  <c r="Q58" i="3"/>
  <c r="M58"/>
  <c r="E58"/>
  <c r="M58" i="7"/>
  <c r="E58"/>
  <c r="K58" i="9"/>
  <c r="U58" i="10"/>
  <c r="BE57" i="13"/>
  <c r="AE57"/>
  <c r="BE57" i="14"/>
  <c r="AE57"/>
  <c r="BN84" i="6"/>
  <c r="BN85"/>
  <c r="BN86"/>
  <c r="BN87"/>
  <c r="BF59"/>
  <c r="AF59"/>
  <c r="AL57" i="5"/>
  <c r="W57" i="4"/>
  <c r="Q57"/>
  <c r="Q57" i="1"/>
  <c r="M57" i="3"/>
  <c r="E57"/>
  <c r="O57" i="9"/>
  <c r="U57"/>
  <c r="U57" i="12"/>
  <c r="O57"/>
  <c r="O57" i="10"/>
  <c r="G57"/>
  <c r="Y57" i="12"/>
  <c r="BK46" i="13"/>
  <c r="BE46"/>
  <c r="AE46"/>
  <c r="BK46" i="14"/>
  <c r="BG46"/>
  <c r="BE46"/>
  <c r="AE46"/>
  <c r="S46"/>
  <c r="E48" i="6"/>
  <c r="BL48"/>
  <c r="BJ48"/>
  <c r="BF48"/>
  <c r="AF48"/>
  <c r="AL46" i="5"/>
  <c r="W46" i="4"/>
  <c r="Q46"/>
  <c r="W46" i="1"/>
  <c r="Q46"/>
  <c r="M46" i="3"/>
  <c r="E46"/>
  <c r="M46" i="7"/>
  <c r="O46" i="9"/>
  <c r="K46"/>
  <c r="U46" i="10"/>
  <c r="G46"/>
  <c r="I46" i="12"/>
  <c r="BK55" i="13"/>
  <c r="BG55"/>
  <c r="BE55"/>
  <c r="AE55"/>
  <c r="BK56" i="14"/>
  <c r="BI56"/>
  <c r="AE56"/>
  <c r="K56"/>
  <c r="BL58" i="6"/>
  <c r="BJ58"/>
  <c r="BF58"/>
  <c r="AF58"/>
  <c r="W56" i="4"/>
  <c r="Q56"/>
  <c r="W56" i="1"/>
  <c r="Q56"/>
  <c r="Q56" i="3"/>
  <c r="M56"/>
  <c r="M56" i="7"/>
  <c r="M56" i="9"/>
  <c r="K56"/>
  <c r="U56" i="10"/>
  <c r="BK53" i="13"/>
  <c r="BG53"/>
  <c r="AE53"/>
  <c r="BL56" i="6"/>
  <c r="BH56"/>
  <c r="AF56"/>
  <c r="I54" i="5"/>
  <c r="Q54"/>
  <c r="AF54"/>
  <c r="AH54"/>
  <c r="AL54"/>
  <c r="W54" i="4"/>
  <c r="M54"/>
  <c r="W54" i="1"/>
  <c r="Q54" i="2"/>
  <c r="M54" i="1"/>
  <c r="Q54" i="3"/>
  <c r="O54"/>
  <c r="M54" i="7"/>
  <c r="Q54" i="9"/>
  <c r="K54" i="8"/>
  <c r="U54" i="10"/>
  <c r="I54"/>
  <c r="BK24" i="14"/>
  <c r="BE24"/>
  <c r="AE24"/>
  <c r="Q24" i="4"/>
  <c r="Q24" i="1"/>
  <c r="Q24" i="3"/>
  <c r="M24"/>
  <c r="M24" i="7"/>
  <c r="K24" i="9"/>
  <c r="U24" i="10"/>
  <c r="G24"/>
  <c r="BI53" i="14"/>
  <c r="AF55" i="6"/>
  <c r="W53" i="4"/>
  <c r="Q53"/>
  <c r="M53" i="3"/>
  <c r="U53" i="9"/>
  <c r="O53"/>
  <c r="M53"/>
  <c r="K53"/>
  <c r="U53" i="10"/>
  <c r="G53"/>
  <c r="BK52" i="14"/>
  <c r="BE52"/>
  <c r="AE52"/>
  <c r="BL54" i="6"/>
  <c r="BF54"/>
  <c r="AF54"/>
  <c r="O52" i="5"/>
  <c r="I52"/>
  <c r="G52"/>
  <c r="Q52" i="4"/>
  <c r="O52" i="2"/>
  <c r="G52"/>
  <c r="Q52" i="1"/>
  <c r="Q52" i="3"/>
  <c r="M52"/>
  <c r="E52"/>
  <c r="K52" i="8"/>
  <c r="I52"/>
  <c r="E52"/>
  <c r="M52" i="9"/>
  <c r="K52"/>
  <c r="U52" i="10"/>
  <c r="G52"/>
  <c r="BL53" i="6"/>
  <c r="BJ53"/>
  <c r="BH53"/>
  <c r="BF53"/>
  <c r="AF53"/>
  <c r="S53"/>
  <c r="K53"/>
  <c r="AL51" i="5"/>
  <c r="Q51"/>
  <c r="W51" i="4"/>
  <c r="Q51" i="2"/>
  <c r="M51" i="3"/>
  <c r="E51"/>
  <c r="M51" i="7"/>
  <c r="E51"/>
  <c r="O51" i="9"/>
  <c r="I51" i="10"/>
  <c r="G51"/>
  <c r="Q51" i="12"/>
  <c r="BK50" i="14"/>
  <c r="BE50"/>
  <c r="AE50"/>
  <c r="BL52" i="6"/>
  <c r="BH52"/>
  <c r="AF52"/>
  <c r="S52"/>
  <c r="G50" i="5"/>
  <c r="W50" i="4"/>
  <c r="G50" i="2"/>
  <c r="W50" i="1"/>
  <c r="Q50" i="3"/>
  <c r="M50"/>
  <c r="M50" i="7"/>
  <c r="E50" i="8"/>
  <c r="U50" i="9"/>
  <c r="M50"/>
  <c r="K50"/>
  <c r="U50" i="10"/>
  <c r="G50"/>
  <c r="Q50" i="12"/>
  <c r="E50"/>
  <c r="Q49" i="4"/>
  <c r="Q49" i="1"/>
  <c r="Q49" i="3"/>
  <c r="M49"/>
  <c r="M49" i="7"/>
  <c r="K49" i="9"/>
  <c r="U49" i="10"/>
  <c r="G49"/>
  <c r="BK48" i="14"/>
  <c r="BI48"/>
  <c r="AE48"/>
  <c r="E48"/>
  <c r="BL50" i="6"/>
  <c r="BJ50"/>
  <c r="AF50"/>
  <c r="Q48" i="4"/>
  <c r="Q48" i="1"/>
  <c r="Q48" i="3"/>
  <c r="M48"/>
  <c r="M48" i="7"/>
  <c r="U48" i="9"/>
  <c r="K48"/>
  <c r="U48" i="10"/>
  <c r="G48"/>
  <c r="BK48" i="15"/>
  <c r="AE48"/>
  <c r="W47" i="4"/>
  <c r="Q47" i="3"/>
  <c r="M47"/>
  <c r="U47" i="10"/>
  <c r="G47"/>
  <c r="BK46" i="15"/>
  <c r="BK45" i="14"/>
  <c r="AE45"/>
  <c r="AF47" i="6"/>
  <c r="W45" i="4"/>
  <c r="AH45" i="5"/>
  <c r="Q45" i="4"/>
  <c r="Q45" i="1"/>
  <c r="Q45" i="3"/>
  <c r="M45"/>
  <c r="M45" i="7"/>
  <c r="M45" i="9"/>
  <c r="K45"/>
  <c r="U45" i="10"/>
  <c r="I45" i="12"/>
  <c r="AE45" i="15"/>
  <c r="E45"/>
  <c r="BE44" i="14"/>
  <c r="AE44"/>
  <c r="BF46" i="6"/>
  <c r="AF46"/>
  <c r="W44" i="4"/>
  <c r="Q44"/>
  <c r="Q44" i="1"/>
  <c r="M44" i="3"/>
  <c r="E44"/>
  <c r="M44" i="7"/>
  <c r="U44" i="10"/>
  <c r="U44" i="12"/>
  <c r="O44"/>
  <c r="Q44" l="1"/>
  <c r="K44"/>
  <c r="BI43" i="14" l="1"/>
  <c r="AE43"/>
  <c r="AF45" i="6"/>
  <c r="W43" i="4"/>
  <c r="Q43"/>
  <c r="Q43" i="1"/>
  <c r="Q43" i="3"/>
  <c r="M43"/>
  <c r="E43"/>
  <c r="M43" i="7"/>
  <c r="E43"/>
  <c r="S43" i="9"/>
  <c r="K43"/>
  <c r="U43" i="10"/>
  <c r="BL43" i="6"/>
  <c r="BJ43"/>
  <c r="BH43"/>
  <c r="AF43"/>
  <c r="Q41" i="4"/>
  <c r="Q41" i="1"/>
  <c r="Q41" i="3"/>
  <c r="M41"/>
  <c r="E41"/>
  <c r="M41" i="9"/>
  <c r="K41"/>
  <c r="U41" i="10"/>
  <c r="G41"/>
  <c r="BK41" i="15"/>
  <c r="AE41"/>
  <c r="BK40" i="14"/>
  <c r="BI40"/>
  <c r="BE40"/>
  <c r="AE40"/>
  <c r="BL42" i="6"/>
  <c r="BJ42"/>
  <c r="BF42"/>
  <c r="AF42"/>
  <c r="G40" i="5"/>
  <c r="W40" i="4"/>
  <c r="Q40"/>
  <c r="G40" i="2"/>
  <c r="Q40" i="1"/>
  <c r="M40" i="3"/>
  <c r="AD40" i="9"/>
  <c r="E40" i="8"/>
  <c r="O40" i="9"/>
  <c r="M40"/>
  <c r="K40"/>
  <c r="U40" i="10"/>
  <c r="G40"/>
  <c r="Q40" i="12"/>
  <c r="BK40" i="15"/>
  <c r="AE40"/>
  <c r="BK39" i="13"/>
  <c r="AE39"/>
  <c r="BK39" i="14"/>
  <c r="BI39"/>
  <c r="AE39"/>
  <c r="BL41" i="6"/>
  <c r="AF41"/>
  <c r="W39" i="4"/>
  <c r="Q39"/>
  <c r="Q39" i="1"/>
  <c r="M39" i="3"/>
  <c r="U39" i="9"/>
  <c r="U39" i="10"/>
  <c r="BK39" i="15"/>
  <c r="AE39"/>
  <c r="W38" i="4"/>
  <c r="Q38"/>
  <c r="Q38" i="1"/>
  <c r="Q38" i="3"/>
  <c r="M38"/>
  <c r="E38"/>
  <c r="M38" i="7"/>
  <c r="E38"/>
  <c r="K38" i="9"/>
  <c r="M38"/>
  <c r="U38" i="10"/>
  <c r="G38"/>
  <c r="BM32" i="15"/>
  <c r="BM33"/>
  <c r="BM34"/>
  <c r="BM35"/>
  <c r="BM36"/>
  <c r="BM37"/>
  <c r="BM38"/>
  <c r="BK38"/>
  <c r="AE38"/>
  <c r="AY38"/>
  <c r="AI38"/>
  <c r="AS38" s="1"/>
  <c r="BN38"/>
  <c r="W38"/>
  <c r="K38"/>
  <c r="E38"/>
  <c r="BK37" i="14"/>
  <c r="BI37"/>
  <c r="AE37"/>
  <c r="BL38" i="6"/>
  <c r="BJ38"/>
  <c r="AF38"/>
  <c r="W37" i="4"/>
  <c r="Q37" i="3"/>
  <c r="M37"/>
  <c r="M37" i="7"/>
  <c r="U37" i="9"/>
  <c r="U37" i="10"/>
  <c r="G37"/>
  <c r="M37" i="12"/>
  <c r="I37"/>
  <c r="AL36" i="5"/>
  <c r="W36" i="4"/>
  <c r="Q36" i="3"/>
  <c r="M36"/>
  <c r="E36"/>
  <c r="M36" i="7"/>
  <c r="E36"/>
  <c r="K36" i="9"/>
  <c r="M36"/>
  <c r="U36" i="10"/>
  <c r="G36"/>
  <c r="Q36" i="12"/>
  <c r="G35" i="5"/>
  <c r="W35" i="4"/>
  <c r="Q35"/>
  <c r="G35" i="2"/>
  <c r="Q35" i="1"/>
  <c r="M35" i="3"/>
  <c r="Q35"/>
  <c r="M35" i="7"/>
  <c r="E35" i="8"/>
  <c r="M35" i="9"/>
  <c r="K35"/>
  <c r="U35" i="10"/>
  <c r="G35"/>
  <c r="K35" i="12"/>
  <c r="BK34" i="14"/>
  <c r="AE34"/>
  <c r="W34" i="4"/>
  <c r="Q34"/>
  <c r="Q34" i="1"/>
  <c r="Q34" i="3"/>
  <c r="M34"/>
  <c r="M34" i="9"/>
  <c r="K34"/>
  <c r="U34" i="10"/>
  <c r="G34"/>
  <c r="K34" i="12"/>
  <c r="G33" i="5"/>
  <c r="E33"/>
  <c r="W33" i="4"/>
  <c r="Q33"/>
  <c r="G33" i="2"/>
  <c r="E33"/>
  <c r="M33" i="7"/>
  <c r="E33"/>
  <c r="Q33" i="8"/>
  <c r="E33"/>
  <c r="U33" i="9"/>
  <c r="M33"/>
  <c r="K33"/>
  <c r="U33" i="10"/>
  <c r="G33"/>
  <c r="W31" i="4"/>
  <c r="Q31"/>
  <c r="W31" i="1"/>
  <c r="Q31"/>
  <c r="Q31" i="3"/>
  <c r="M31"/>
  <c r="M31" i="7"/>
  <c r="K31" i="9"/>
  <c r="U31" i="10"/>
  <c r="G31"/>
  <c r="E31" s="1"/>
  <c r="K31" i="12"/>
  <c r="AE31" i="15"/>
  <c r="BK30" i="14"/>
  <c r="BI30"/>
  <c r="BE30"/>
  <c r="AE30"/>
  <c r="BL32" i="6"/>
  <c r="BF32"/>
  <c r="AF32"/>
  <c r="W30" i="4"/>
  <c r="Q30"/>
  <c r="W30" i="1"/>
  <c r="Q30"/>
  <c r="Q30" i="3"/>
  <c r="E30"/>
  <c r="E30" i="7"/>
  <c r="O30" i="9"/>
  <c r="K30"/>
  <c r="U30" i="10"/>
  <c r="G30"/>
  <c r="BK29" i="14"/>
  <c r="BI29"/>
  <c r="AE29"/>
  <c r="BL31" i="6"/>
  <c r="BJ31"/>
  <c r="AF31"/>
  <c r="AL29" i="5"/>
  <c r="W29" i="4"/>
  <c r="Q29"/>
  <c r="Q29" i="1"/>
  <c r="Q29" i="3"/>
  <c r="M29"/>
  <c r="M29" i="7"/>
  <c r="K29" i="9"/>
  <c r="U29" i="10"/>
  <c r="G29"/>
  <c r="E29" i="12"/>
  <c r="Q29"/>
  <c r="BK28" i="14"/>
  <c r="BI28"/>
  <c r="AE28"/>
  <c r="BL30" i="6"/>
  <c r="BJ30"/>
  <c r="AF30"/>
  <c r="O28" i="5"/>
  <c r="G28"/>
  <c r="W28" i="4"/>
  <c r="G28" i="2"/>
  <c r="M28" i="3"/>
  <c r="E28"/>
  <c r="M28" i="7"/>
  <c r="E28"/>
  <c r="I28" i="8"/>
  <c r="E28"/>
  <c r="U28" i="9"/>
  <c r="U28" i="10"/>
  <c r="G28"/>
  <c r="BK27" i="14"/>
  <c r="BI27"/>
  <c r="AE27"/>
  <c r="G27"/>
  <c r="BL29" i="6"/>
  <c r="AF29"/>
  <c r="G29"/>
  <c r="E27" i="5"/>
  <c r="Q27" i="4"/>
  <c r="E27" i="2"/>
  <c r="Q27" i="1"/>
  <c r="Q27" i="3"/>
  <c r="M27"/>
  <c r="E27"/>
  <c r="E27" i="7"/>
  <c r="AD27" i="9"/>
  <c r="Q27" i="8"/>
  <c r="U27" i="10"/>
  <c r="G27"/>
  <c r="BK26" i="15"/>
  <c r="AE26"/>
  <c r="BL27" i="6"/>
  <c r="BJ27"/>
  <c r="BH27"/>
  <c r="AF27"/>
  <c r="Q25" i="3"/>
  <c r="M25"/>
  <c r="E25"/>
  <c r="G25" i="10"/>
  <c r="BE27" i="15"/>
  <c r="AE27"/>
  <c r="BK26" i="14"/>
  <c r="BE26"/>
  <c r="AE26"/>
  <c r="BL28" i="6"/>
  <c r="BF28"/>
  <c r="AF28"/>
  <c r="K28"/>
  <c r="E26" i="5"/>
  <c r="W26" i="4"/>
  <c r="Q26"/>
  <c r="E26" i="2"/>
  <c r="Q26" i="1"/>
  <c r="Q26" i="3"/>
  <c r="M26"/>
  <c r="E26"/>
  <c r="M26" i="7"/>
  <c r="O26" i="9"/>
  <c r="U26" i="10"/>
  <c r="G26"/>
  <c r="Q26" i="12"/>
  <c r="BK23" i="14"/>
  <c r="BI23"/>
  <c r="BE23"/>
  <c r="AE23"/>
  <c r="BL25" i="6"/>
  <c r="BJ25"/>
  <c r="BF25"/>
  <c r="AF25"/>
  <c r="G23" i="5"/>
  <c r="W23" i="4"/>
  <c r="Q23"/>
  <c r="W23" i="1"/>
  <c r="G23" i="2"/>
  <c r="Q23" i="1"/>
  <c r="M23" i="3"/>
  <c r="M23" i="7"/>
  <c r="E23" i="8"/>
  <c r="U23" i="9"/>
  <c r="M23"/>
  <c r="K23"/>
  <c r="U23" i="10"/>
  <c r="G23"/>
  <c r="W22" i="4" l="1"/>
  <c r="Q22" i="3"/>
  <c r="M22"/>
  <c r="U22" i="9"/>
  <c r="K22"/>
  <c r="U22" i="10"/>
  <c r="G22"/>
  <c r="AL21" i="5"/>
  <c r="G21"/>
  <c r="W21" i="4"/>
  <c r="I21"/>
  <c r="G21" i="2"/>
  <c r="I21" i="1"/>
  <c r="M21" i="3"/>
  <c r="E21"/>
  <c r="M21" i="7"/>
  <c r="E21"/>
  <c r="E21" i="8"/>
  <c r="O21" i="9"/>
  <c r="K21"/>
  <c r="U21" i="10"/>
  <c r="G21"/>
  <c r="BK20" i="14"/>
  <c r="BI20"/>
  <c r="BE20"/>
  <c r="AE20"/>
  <c r="AL20" i="5"/>
  <c r="W20" i="4"/>
  <c r="Q20"/>
  <c r="Q20" i="1"/>
  <c r="Q20" i="3"/>
  <c r="M20"/>
  <c r="U20" i="9"/>
  <c r="M20"/>
  <c r="K20"/>
  <c r="U20" i="10"/>
  <c r="O20" i="12"/>
  <c r="E20"/>
  <c r="BK20" i="15"/>
  <c r="BK19" i="14"/>
  <c r="BE19"/>
  <c r="AE19"/>
  <c r="BL21" i="6"/>
  <c r="BH21"/>
  <c r="BF21"/>
  <c r="AF21"/>
  <c r="W19" i="4"/>
  <c r="Q19"/>
  <c r="Q19" i="1"/>
  <c r="Q19" i="3"/>
  <c r="M19"/>
  <c r="E19"/>
  <c r="M19" i="7"/>
  <c r="E19"/>
  <c r="K19" i="9"/>
  <c r="U19" i="10"/>
  <c r="K19" i="12"/>
  <c r="BK17" i="14"/>
  <c r="BI17"/>
  <c r="BE17"/>
  <c r="AE17"/>
  <c r="BL19" i="6"/>
  <c r="BF19"/>
  <c r="AF19"/>
  <c r="W17" i="4"/>
  <c r="Q17"/>
  <c r="Q17" i="1"/>
  <c r="M17" i="3"/>
  <c r="E17"/>
  <c r="M17" i="7"/>
  <c r="E17"/>
  <c r="M17" i="9"/>
  <c r="K17"/>
  <c r="U17" i="10"/>
  <c r="G17"/>
  <c r="BK16" i="14"/>
  <c r="BI16"/>
  <c r="BE16"/>
  <c r="AE16"/>
  <c r="BL18" i="6"/>
  <c r="BJ18"/>
  <c r="AF18"/>
  <c r="W16" i="4"/>
  <c r="Q16"/>
  <c r="Q16" i="1"/>
  <c r="Q16" i="3"/>
  <c r="M16"/>
  <c r="M16" i="7"/>
  <c r="M16" i="9"/>
  <c r="K16"/>
  <c r="U16" i="10"/>
  <c r="E16" i="12"/>
  <c r="BL17" i="6"/>
  <c r="BK15" i="14"/>
  <c r="AE15"/>
  <c r="M15"/>
  <c r="G15"/>
  <c r="AF17" i="6"/>
  <c r="M17"/>
  <c r="G17"/>
  <c r="G15" i="5"/>
  <c r="G15" i="2"/>
  <c r="Q15" i="1"/>
  <c r="W15" i="4"/>
  <c r="Q15"/>
  <c r="I15"/>
  <c r="S15" s="1"/>
  <c r="Q15" i="3"/>
  <c r="M15"/>
  <c r="E15"/>
  <c r="E15" i="8"/>
  <c r="U15" i="9"/>
  <c r="O15"/>
  <c r="M15"/>
  <c r="U15" i="10"/>
  <c r="G15"/>
  <c r="E15" i="12"/>
  <c r="AE14" i="15"/>
  <c r="BE13" i="14"/>
  <c r="AE13"/>
  <c r="BJ15" i="6"/>
  <c r="BF15"/>
  <c r="AF15"/>
  <c r="W13" i="4"/>
  <c r="Q13"/>
  <c r="Q13" i="1"/>
  <c r="Q13" i="3"/>
  <c r="M13"/>
  <c r="U13" i="9"/>
  <c r="M13"/>
  <c r="K13"/>
  <c r="U13" i="10"/>
  <c r="G13"/>
  <c r="E13" i="12"/>
  <c r="BK13" i="13"/>
  <c r="BE13"/>
  <c r="AE13"/>
  <c r="BK12" i="14"/>
  <c r="BI12"/>
  <c r="BE12"/>
  <c r="AE12"/>
  <c r="BF14" i="6"/>
  <c r="AF14"/>
  <c r="Q12" i="4"/>
  <c r="Q12" i="1"/>
  <c r="Q12" i="3"/>
  <c r="M12"/>
  <c r="M12" i="7"/>
  <c r="U12" i="9"/>
  <c r="M12"/>
  <c r="K12"/>
  <c r="U12" i="10"/>
  <c r="G12"/>
  <c r="BK11" i="14"/>
  <c r="BI11"/>
  <c r="BE11"/>
  <c r="AE11"/>
  <c r="BL13" i="6"/>
  <c r="BH13"/>
  <c r="AF13"/>
  <c r="S13"/>
  <c r="Q11" i="4"/>
  <c r="Q11" i="1"/>
  <c r="Q11" i="3"/>
  <c r="M11"/>
  <c r="M11" i="7"/>
  <c r="M11" i="9"/>
  <c r="K11"/>
  <c r="U11" i="10"/>
  <c r="G11"/>
  <c r="S256" i="12"/>
  <c r="S255"/>
  <c r="S254"/>
  <c r="S253"/>
  <c r="S252"/>
  <c r="S251"/>
  <c r="S250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89"/>
  <c r="S188"/>
  <c r="S187"/>
  <c r="S186"/>
  <c r="S185"/>
  <c r="S184"/>
  <c r="S183"/>
  <c r="S182"/>
  <c r="S181"/>
  <c r="S180"/>
  <c r="S179"/>
  <c r="S178"/>
  <c r="S177"/>
  <c r="S176"/>
  <c r="S175"/>
  <c r="S174"/>
  <c r="S172"/>
  <c r="S171"/>
  <c r="S170"/>
  <c r="S169"/>
  <c r="S168"/>
  <c r="S167"/>
  <c r="S166"/>
  <c r="S165"/>
  <c r="S164"/>
  <c r="S163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Y136" s="1"/>
  <c r="S135"/>
  <c r="S134"/>
  <c r="S132"/>
  <c r="S131"/>
  <c r="W131" s="1"/>
  <c r="S129"/>
  <c r="S128"/>
  <c r="S127"/>
  <c r="S126"/>
  <c r="S125"/>
  <c r="S124"/>
  <c r="S123"/>
  <c r="S122"/>
  <c r="S121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8"/>
  <c r="S67"/>
  <c r="S66"/>
  <c r="S65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AI245" i="15"/>
  <c r="AS245" s="1"/>
  <c r="AY244"/>
  <c r="AI244"/>
  <c r="AS244" s="1"/>
  <c r="AY243"/>
  <c r="AS243"/>
  <c r="AI243"/>
  <c r="AI242"/>
  <c r="AS242" s="1"/>
  <c r="AI241"/>
  <c r="AS241" s="1"/>
  <c r="AY240"/>
  <c r="AI240"/>
  <c r="AS240" s="1"/>
  <c r="AY239"/>
  <c r="AS239"/>
  <c r="AI239"/>
  <c r="AY238"/>
  <c r="AI238"/>
  <c r="AS238" s="1"/>
  <c r="AY237"/>
  <c r="AS237"/>
  <c r="AI237"/>
  <c r="AY236"/>
  <c r="AI236"/>
  <c r="AS236" s="1"/>
  <c r="AY235"/>
  <c r="AS235"/>
  <c r="AI235"/>
  <c r="AY234"/>
  <c r="AI234"/>
  <c r="AS234" s="1"/>
  <c r="AY233"/>
  <c r="AS233"/>
  <c r="AI233"/>
  <c r="AI232"/>
  <c r="AS232" s="1"/>
  <c r="AI231"/>
  <c r="AS231" s="1"/>
  <c r="AY230"/>
  <c r="AI230"/>
  <c r="AS230" s="1"/>
  <c r="AY229"/>
  <c r="AS229"/>
  <c r="AI229"/>
  <c r="AY228"/>
  <c r="AI228"/>
  <c r="AS228" s="1"/>
  <c r="AY227"/>
  <c r="AS227"/>
  <c r="AI227"/>
  <c r="AI226"/>
  <c r="AS226" s="1"/>
  <c r="AI225"/>
  <c r="AS225" s="1"/>
  <c r="AI224"/>
  <c r="AS224" s="1"/>
  <c r="AY223"/>
  <c r="AS223"/>
  <c r="AI223"/>
  <c r="AY222"/>
  <c r="AI222"/>
  <c r="AS222" s="1"/>
  <c r="AY221"/>
  <c r="AS221"/>
  <c r="AI221"/>
  <c r="AY220"/>
  <c r="AI220"/>
  <c r="AS220" s="1"/>
  <c r="AI219"/>
  <c r="AS219" s="1"/>
  <c r="AI218"/>
  <c r="AS218" s="1"/>
  <c r="AY217"/>
  <c r="AS217"/>
  <c r="AI217"/>
  <c r="AY216"/>
  <c r="AI216"/>
  <c r="AS216" s="1"/>
  <c r="AY215"/>
  <c r="AS215"/>
  <c r="AI215"/>
  <c r="AY214"/>
  <c r="AI214"/>
  <c r="AS214" s="1"/>
  <c r="AY213"/>
  <c r="AS213"/>
  <c r="AI213"/>
  <c r="AI212"/>
  <c r="AS212" s="1"/>
  <c r="AI211"/>
  <c r="AS211" s="1"/>
  <c r="AI210"/>
  <c r="AS210" s="1"/>
  <c r="AY209"/>
  <c r="AS209"/>
  <c r="AI209"/>
  <c r="AI208"/>
  <c r="AS208" s="1"/>
  <c r="AY207"/>
  <c r="AS207"/>
  <c r="AI207"/>
  <c r="AY206"/>
  <c r="AI206"/>
  <c r="AS206" s="1"/>
  <c r="AY205"/>
  <c r="AS205"/>
  <c r="AI205"/>
  <c r="AY204"/>
  <c r="AI204"/>
  <c r="AS204" s="1"/>
  <c r="AY203"/>
  <c r="AS203"/>
  <c r="AI203"/>
  <c r="AY202"/>
  <c r="AI202"/>
  <c r="AS202" s="1"/>
  <c r="AS201"/>
  <c r="AI201"/>
  <c r="AI200"/>
  <c r="AS200" s="1"/>
  <c r="AI199"/>
  <c r="AS199" s="1"/>
  <c r="AI198"/>
  <c r="AS198" s="1"/>
  <c r="AI197"/>
  <c r="AS197" s="1"/>
  <c r="AI196"/>
  <c r="AS196" s="1"/>
  <c r="AI195"/>
  <c r="AS195" s="1"/>
  <c r="AI194"/>
  <c r="AS194" s="1"/>
  <c r="AI193"/>
  <c r="AS193" s="1"/>
  <c r="AI192"/>
  <c r="AS192" s="1"/>
  <c r="AI191"/>
  <c r="AS191" s="1"/>
  <c r="AI190"/>
  <c r="AS190" s="1"/>
  <c r="AI189"/>
  <c r="AS189" s="1"/>
  <c r="AI188"/>
  <c r="AS188" s="1"/>
  <c r="AI187"/>
  <c r="AS187" s="1"/>
  <c r="AI186"/>
  <c r="AS186" s="1"/>
  <c r="AI185"/>
  <c r="AS185" s="1"/>
  <c r="AI184"/>
  <c r="AS184" s="1"/>
  <c r="AI183"/>
  <c r="AS183" s="1"/>
  <c r="AI182"/>
  <c r="AS182" s="1"/>
  <c r="AI181"/>
  <c r="AS181" s="1"/>
  <c r="AI180"/>
  <c r="AS180" s="1"/>
  <c r="AI179"/>
  <c r="AS179" s="1"/>
  <c r="AI178"/>
  <c r="AS178" s="1"/>
  <c r="AI177"/>
  <c r="AS177" s="1"/>
  <c r="AI176"/>
  <c r="AS176" s="1"/>
  <c r="AS175"/>
  <c r="AI175"/>
  <c r="AI174"/>
  <c r="AS174" s="1"/>
  <c r="AI173"/>
  <c r="AS173" s="1"/>
  <c r="AI172"/>
  <c r="AS172" s="1"/>
  <c r="AI171"/>
  <c r="AS171" s="1"/>
  <c r="AI170"/>
  <c r="AS170" s="1"/>
  <c r="AI169"/>
  <c r="AS169" s="1"/>
  <c r="AI168"/>
  <c r="AS168" s="1"/>
  <c r="AS167"/>
  <c r="AI167"/>
  <c r="AI166"/>
  <c r="AS166" s="1"/>
  <c r="AI165"/>
  <c r="AS165" s="1"/>
  <c r="AS164"/>
  <c r="AI163"/>
  <c r="AS163" s="1"/>
  <c r="AI162"/>
  <c r="AS162" s="1"/>
  <c r="AI161"/>
  <c r="AS161" s="1"/>
  <c r="AI160"/>
  <c r="AS160" s="1"/>
  <c r="AI159"/>
  <c r="AS159" s="1"/>
  <c r="AI158"/>
  <c r="AS158" s="1"/>
  <c r="AI157"/>
  <c r="AS157" s="1"/>
  <c r="AI156"/>
  <c r="AS156" s="1"/>
  <c r="AY155"/>
  <c r="AS155"/>
  <c r="AI155"/>
  <c r="AY154"/>
  <c r="AI154"/>
  <c r="AS154" s="1"/>
  <c r="AY153"/>
  <c r="AS153"/>
  <c r="AI153"/>
  <c r="AY152"/>
  <c r="AI152"/>
  <c r="AS152" s="1"/>
  <c r="AY151"/>
  <c r="AS151"/>
  <c r="AI151"/>
  <c r="AI150"/>
  <c r="AS150" s="1"/>
  <c r="AS149"/>
  <c r="AI149"/>
  <c r="AI148"/>
  <c r="AS148" s="1"/>
  <c r="AI147"/>
  <c r="AS147" s="1"/>
  <c r="AI146"/>
  <c r="AS146" s="1"/>
  <c r="AI145"/>
  <c r="AS145" s="1"/>
  <c r="AI144"/>
  <c r="AS144" s="1"/>
  <c r="AY143"/>
  <c r="AS143"/>
  <c r="AI143"/>
  <c r="AY142"/>
  <c r="AI142"/>
  <c r="AS142" s="1"/>
  <c r="AY141"/>
  <c r="AS141"/>
  <c r="AI141"/>
  <c r="AY140"/>
  <c r="AI140"/>
  <c r="AS140" s="1"/>
  <c r="AY139"/>
  <c r="AS139"/>
  <c r="AI139"/>
  <c r="AY138"/>
  <c r="AI138"/>
  <c r="AS138" s="1"/>
  <c r="AY137"/>
  <c r="AS137"/>
  <c r="AI137"/>
  <c r="AI136"/>
  <c r="AS136" s="1"/>
  <c r="AY135"/>
  <c r="AS135"/>
  <c r="AI135"/>
  <c r="AY134"/>
  <c r="AI134"/>
  <c r="AS134" s="1"/>
  <c r="AY133"/>
  <c r="AS133"/>
  <c r="AI133"/>
  <c r="AY132"/>
  <c r="AI132"/>
  <c r="AS132" s="1"/>
  <c r="AS131"/>
  <c r="AI131"/>
  <c r="AY130"/>
  <c r="AI130"/>
  <c r="AS130" s="1"/>
  <c r="AY129"/>
  <c r="AS129"/>
  <c r="AI129"/>
  <c r="AI128"/>
  <c r="AS128" s="1"/>
  <c r="AI127"/>
  <c r="AS127" s="1"/>
  <c r="AI126"/>
  <c r="AS126" s="1"/>
  <c r="AS125"/>
  <c r="AI125"/>
  <c r="AI124"/>
  <c r="AS124" s="1"/>
  <c r="AY123"/>
  <c r="AS123"/>
  <c r="AI123"/>
  <c r="AI122"/>
  <c r="AS122" s="1"/>
  <c r="AI121"/>
  <c r="AS121" s="1"/>
  <c r="AI120"/>
  <c r="AS120" s="1"/>
  <c r="AS119"/>
  <c r="AI119"/>
  <c r="AI118"/>
  <c r="AS118" s="1"/>
  <c r="AY117"/>
  <c r="AS117"/>
  <c r="AI117"/>
  <c r="AY116"/>
  <c r="AI116"/>
  <c r="AS116" s="1"/>
  <c r="AI115"/>
  <c r="AS115" s="1"/>
  <c r="AY114"/>
  <c r="AI114"/>
  <c r="AS114" s="1"/>
  <c r="AS113"/>
  <c r="AI113"/>
  <c r="AI112"/>
  <c r="AS112" s="1"/>
  <c r="AS111"/>
  <c r="AI111"/>
  <c r="AY110"/>
  <c r="AI110"/>
  <c r="AS110" s="1"/>
  <c r="AY109"/>
  <c r="AS109"/>
  <c r="AI109"/>
  <c r="AY108"/>
  <c r="AI108"/>
  <c r="AS108" s="1"/>
  <c r="AI107"/>
  <c r="AS107" s="1"/>
  <c r="AI106"/>
  <c r="AS106" s="1"/>
  <c r="AI105"/>
  <c r="AS105" s="1"/>
  <c r="AI104"/>
  <c r="AS104" s="1"/>
  <c r="AI103"/>
  <c r="AS103" s="1"/>
  <c r="AI102"/>
  <c r="AS102" s="1"/>
  <c r="AI101"/>
  <c r="AS101" s="1"/>
  <c r="AI100"/>
  <c r="AS100" s="1"/>
  <c r="AI99"/>
  <c r="AS99" s="1"/>
  <c r="AI98"/>
  <c r="AS98" s="1"/>
  <c r="AI97"/>
  <c r="AS97" s="1"/>
  <c r="AI96"/>
  <c r="AS96" s="1"/>
  <c r="AI95"/>
  <c r="AS95" s="1"/>
  <c r="AI94"/>
  <c r="AS94" s="1"/>
  <c r="AI93"/>
  <c r="AS93" s="1"/>
  <c r="AI92"/>
  <c r="AS92" s="1"/>
  <c r="AS91"/>
  <c r="AI91"/>
  <c r="AI90"/>
  <c r="AS90" s="1"/>
  <c r="AI89"/>
  <c r="AS89" s="1"/>
  <c r="AI88"/>
  <c r="AS88" s="1"/>
  <c r="AI87"/>
  <c r="AS87" s="1"/>
  <c r="AI86"/>
  <c r="AS86" s="1"/>
  <c r="AI85"/>
  <c r="AS85" s="1"/>
  <c r="AI84"/>
  <c r="AS84" s="1"/>
  <c r="AY83"/>
  <c r="AS83"/>
  <c r="AI83"/>
  <c r="AY82"/>
  <c r="AI82"/>
  <c r="AS82" s="1"/>
  <c r="AY81"/>
  <c r="AS81"/>
  <c r="AI81"/>
  <c r="AY80"/>
  <c r="AI80"/>
  <c r="AS80" s="1"/>
  <c r="AY79"/>
  <c r="AS79"/>
  <c r="AI79"/>
  <c r="AI78"/>
  <c r="AS78" s="1"/>
  <c r="AI77"/>
  <c r="AS77" s="1"/>
  <c r="AY76"/>
  <c r="AI76"/>
  <c r="AS76" s="1"/>
  <c r="AI75"/>
  <c r="AS75" s="1"/>
  <c r="AI74"/>
  <c r="AS74" s="1"/>
  <c r="AI73"/>
  <c r="AS73" s="1"/>
  <c r="AY72"/>
  <c r="AI72"/>
  <c r="AS72" s="1"/>
  <c r="AY71"/>
  <c r="AS71"/>
  <c r="AI71"/>
  <c r="AY70"/>
  <c r="AI70"/>
  <c r="AS70" s="1"/>
  <c r="AY69"/>
  <c r="AS69"/>
  <c r="AI69"/>
  <c r="AY68"/>
  <c r="AI68"/>
  <c r="AS68" s="1"/>
  <c r="AY67"/>
  <c r="AS67"/>
  <c r="AI67"/>
  <c r="AS66"/>
  <c r="AY65"/>
  <c r="AS65"/>
  <c r="AI65"/>
  <c r="AI64"/>
  <c r="AS64" s="1"/>
  <c r="AY63"/>
  <c r="AS63"/>
  <c r="AI63"/>
  <c r="AI62"/>
  <c r="AS62" s="1"/>
  <c r="AI61"/>
  <c r="AS61" s="1"/>
  <c r="K115"/>
  <c r="E115"/>
  <c r="K114"/>
  <c r="E114"/>
  <c r="K113"/>
  <c r="E113"/>
  <c r="K112"/>
  <c r="E112"/>
  <c r="K111"/>
  <c r="E111"/>
  <c r="AY111" s="1"/>
  <c r="K110"/>
  <c r="E110"/>
  <c r="K109"/>
  <c r="E109"/>
  <c r="K108"/>
  <c r="E108"/>
  <c r="K107"/>
  <c r="E107"/>
  <c r="K106"/>
  <c r="E106"/>
  <c r="K105"/>
  <c r="E105"/>
  <c r="AY105" s="1"/>
  <c r="K104"/>
  <c r="E104"/>
  <c r="AY104" s="1"/>
  <c r="K103"/>
  <c r="E103"/>
  <c r="AY103" s="1"/>
  <c r="K102"/>
  <c r="E102"/>
  <c r="AY102" s="1"/>
  <c r="K101"/>
  <c r="E101"/>
  <c r="AY101" s="1"/>
  <c r="K100"/>
  <c r="E100"/>
  <c r="AY100" s="1"/>
  <c r="K99"/>
  <c r="E99"/>
  <c r="AY99" s="1"/>
  <c r="K98"/>
  <c r="E98"/>
  <c r="AY98" s="1"/>
  <c r="K97"/>
  <c r="E97"/>
  <c r="AY97" s="1"/>
  <c r="K96"/>
  <c r="E96"/>
  <c r="AY96" s="1"/>
  <c r="K95"/>
  <c r="E95"/>
  <c r="AY95" s="1"/>
  <c r="K94"/>
  <c r="E94"/>
  <c r="AY94" s="1"/>
  <c r="K93"/>
  <c r="E93"/>
  <c r="AY93" s="1"/>
  <c r="K92"/>
  <c r="E92"/>
  <c r="AY92" s="1"/>
  <c r="K91"/>
  <c r="E91"/>
  <c r="AY91" s="1"/>
  <c r="K90"/>
  <c r="E90"/>
  <c r="AY90" s="1"/>
  <c r="K89"/>
  <c r="E89"/>
  <c r="AY89" s="1"/>
  <c r="K88"/>
  <c r="E88"/>
  <c r="AY88" s="1"/>
  <c r="K87"/>
  <c r="E87"/>
  <c r="AY87" s="1"/>
  <c r="K86"/>
  <c r="E86"/>
  <c r="AY86" s="1"/>
  <c r="K85"/>
  <c r="E85"/>
  <c r="AY85" s="1"/>
  <c r="K84"/>
  <c r="E84"/>
  <c r="K83"/>
  <c r="E83"/>
  <c r="K82"/>
  <c r="E82"/>
  <c r="K81"/>
  <c r="E81"/>
  <c r="K80"/>
  <c r="E80"/>
  <c r="K79"/>
  <c r="E79"/>
  <c r="K78"/>
  <c r="E78"/>
  <c r="K77"/>
  <c r="E77"/>
  <c r="K76"/>
  <c r="E76"/>
  <c r="K75"/>
  <c r="E75"/>
  <c r="K74"/>
  <c r="E74"/>
  <c r="K73"/>
  <c r="E73"/>
  <c r="K72"/>
  <c r="E72"/>
  <c r="K71"/>
  <c r="E71"/>
  <c r="K70"/>
  <c r="E70"/>
  <c r="K69"/>
  <c r="E69"/>
  <c r="K68"/>
  <c r="E68"/>
  <c r="K67"/>
  <c r="E67"/>
  <c r="K66"/>
  <c r="E66"/>
  <c r="K65"/>
  <c r="E65"/>
  <c r="K64"/>
  <c r="AY64" s="1"/>
  <c r="K63"/>
  <c r="E63"/>
  <c r="K62"/>
  <c r="E62"/>
  <c r="K61"/>
  <c r="E61"/>
  <c r="K60"/>
  <c r="E60"/>
  <c r="K59"/>
  <c r="E59"/>
  <c r="K58"/>
  <c r="E58"/>
  <c r="K57"/>
  <c r="E57"/>
  <c r="K56"/>
  <c r="E56"/>
  <c r="K55"/>
  <c r="E55"/>
  <c r="K54"/>
  <c r="E54"/>
  <c r="K53"/>
  <c r="E53"/>
  <c r="K52"/>
  <c r="E52"/>
  <c r="K51"/>
  <c r="E51"/>
  <c r="K50"/>
  <c r="E50"/>
  <c r="K49"/>
  <c r="E49"/>
  <c r="K48"/>
  <c r="E48"/>
  <c r="K47"/>
  <c r="E47"/>
  <c r="K46"/>
  <c r="E46"/>
  <c r="K45"/>
  <c r="K44"/>
  <c r="E44"/>
  <c r="K43"/>
  <c r="E43"/>
  <c r="K42"/>
  <c r="E42"/>
  <c r="K41"/>
  <c r="E41"/>
  <c r="K40"/>
  <c r="E40"/>
  <c r="K39"/>
  <c r="E39"/>
  <c r="K37"/>
  <c r="E37"/>
  <c r="K36"/>
  <c r="E36"/>
  <c r="K35"/>
  <c r="E35"/>
  <c r="K34"/>
  <c r="E34"/>
  <c r="K33"/>
  <c r="E33"/>
  <c r="K32"/>
  <c r="E32"/>
  <c r="K31"/>
  <c r="E31"/>
  <c r="K30"/>
  <c r="E30"/>
  <c r="K29"/>
  <c r="E29"/>
  <c r="K245"/>
  <c r="E245"/>
  <c r="K244"/>
  <c r="E244"/>
  <c r="K243"/>
  <c r="E243"/>
  <c r="K242"/>
  <c r="E242"/>
  <c r="K241"/>
  <c r="E241"/>
  <c r="K240"/>
  <c r="E240"/>
  <c r="K239"/>
  <c r="E239"/>
  <c r="K238"/>
  <c r="E238"/>
  <c r="K237"/>
  <c r="E237"/>
  <c r="K236"/>
  <c r="E236"/>
  <c r="K235"/>
  <c r="E235"/>
  <c r="K234"/>
  <c r="E234"/>
  <c r="K233"/>
  <c r="E233"/>
  <c r="K232"/>
  <c r="E232"/>
  <c r="K231"/>
  <c r="E231"/>
  <c r="K230"/>
  <c r="E230"/>
  <c r="K229"/>
  <c r="E229"/>
  <c r="K228"/>
  <c r="E228"/>
  <c r="K227"/>
  <c r="E227"/>
  <c r="K226"/>
  <c r="E226"/>
  <c r="K225"/>
  <c r="E225"/>
  <c r="K224"/>
  <c r="E224"/>
  <c r="K223"/>
  <c r="E223"/>
  <c r="K222"/>
  <c r="E222"/>
  <c r="K221"/>
  <c r="E221"/>
  <c r="K220"/>
  <c r="E220"/>
  <c r="K219"/>
  <c r="E219"/>
  <c r="K218"/>
  <c r="E218"/>
  <c r="K217"/>
  <c r="E217"/>
  <c r="K216"/>
  <c r="E216"/>
  <c r="K215"/>
  <c r="E215"/>
  <c r="K214"/>
  <c r="E214"/>
  <c r="K213"/>
  <c r="E213"/>
  <c r="K212"/>
  <c r="E212"/>
  <c r="AY212" s="1"/>
  <c r="K211"/>
  <c r="E211"/>
  <c r="K210"/>
  <c r="E210"/>
  <c r="K209"/>
  <c r="E209"/>
  <c r="K208"/>
  <c r="E208"/>
  <c r="K207"/>
  <c r="E207"/>
  <c r="K206"/>
  <c r="E206"/>
  <c r="K205"/>
  <c r="E205"/>
  <c r="K204"/>
  <c r="E204"/>
  <c r="K203"/>
  <c r="E203"/>
  <c r="K202"/>
  <c r="E202"/>
  <c r="K201"/>
  <c r="E201"/>
  <c r="K200"/>
  <c r="E200"/>
  <c r="K199"/>
  <c r="E199"/>
  <c r="AY199" s="1"/>
  <c r="K198"/>
  <c r="E198"/>
  <c r="AY198" s="1"/>
  <c r="K197"/>
  <c r="E197"/>
  <c r="AY197" s="1"/>
  <c r="K196"/>
  <c r="E196"/>
  <c r="AY196" s="1"/>
  <c r="K195"/>
  <c r="E195"/>
  <c r="K194"/>
  <c r="E194"/>
  <c r="AY194" s="1"/>
  <c r="K193"/>
  <c r="E193"/>
  <c r="AY193" s="1"/>
  <c r="K192"/>
  <c r="E192"/>
  <c r="AY192" s="1"/>
  <c r="K191"/>
  <c r="E191"/>
  <c r="AY191" s="1"/>
  <c r="K190"/>
  <c r="E190"/>
  <c r="AY190" s="1"/>
  <c r="K189"/>
  <c r="E189"/>
  <c r="AY189" s="1"/>
  <c r="K188"/>
  <c r="E188"/>
  <c r="AY188" s="1"/>
  <c r="K187"/>
  <c r="E187"/>
  <c r="AY187" s="1"/>
  <c r="K186"/>
  <c r="E186"/>
  <c r="AY186" s="1"/>
  <c r="K185"/>
  <c r="E185"/>
  <c r="AY185" s="1"/>
  <c r="K184"/>
  <c r="E184"/>
  <c r="AY184" s="1"/>
  <c r="K183"/>
  <c r="E183"/>
  <c r="AY183" s="1"/>
  <c r="K182"/>
  <c r="E182"/>
  <c r="AY182" s="1"/>
  <c r="K181"/>
  <c r="E181"/>
  <c r="AY181" s="1"/>
  <c r="K180"/>
  <c r="E180"/>
  <c r="AY180" s="1"/>
  <c r="K179"/>
  <c r="E179"/>
  <c r="AY179" s="1"/>
  <c r="K178"/>
  <c r="E178"/>
  <c r="K177"/>
  <c r="E177"/>
  <c r="AY177" s="1"/>
  <c r="K176"/>
  <c r="E176"/>
  <c r="AY176" s="1"/>
  <c r="K175"/>
  <c r="E175"/>
  <c r="AY175" s="1"/>
  <c r="K174"/>
  <c r="E174"/>
  <c r="K173"/>
  <c r="E173"/>
  <c r="K172"/>
  <c r="E172"/>
  <c r="K171"/>
  <c r="E171"/>
  <c r="AY171" s="1"/>
  <c r="K170"/>
  <c r="E170"/>
  <c r="AY170" s="1"/>
  <c r="K169"/>
  <c r="E169"/>
  <c r="AY169" s="1"/>
  <c r="K168"/>
  <c r="E168"/>
  <c r="AY168" s="1"/>
  <c r="K167"/>
  <c r="E167"/>
  <c r="AY167" s="1"/>
  <c r="K166"/>
  <c r="E166"/>
  <c r="AY166" s="1"/>
  <c r="K165"/>
  <c r="E165"/>
  <c r="AY165" s="1"/>
  <c r="K164"/>
  <c r="E164"/>
  <c r="K163"/>
  <c r="E163"/>
  <c r="AY163" s="1"/>
  <c r="K162"/>
  <c r="E162"/>
  <c r="AY162" s="1"/>
  <c r="K161"/>
  <c r="E161"/>
  <c r="AY161" s="1"/>
  <c r="K160"/>
  <c r="E160"/>
  <c r="AY160" s="1"/>
  <c r="K159"/>
  <c r="E159"/>
  <c r="K158"/>
  <c r="E158"/>
  <c r="AY158" s="1"/>
  <c r="K157"/>
  <c r="E157"/>
  <c r="K156"/>
  <c r="E156"/>
  <c r="K155"/>
  <c r="E155"/>
  <c r="K154"/>
  <c r="E154"/>
  <c r="K153"/>
  <c r="E153"/>
  <c r="K152"/>
  <c r="E152"/>
  <c r="K151"/>
  <c r="E151"/>
  <c r="K150"/>
  <c r="E150"/>
  <c r="K149"/>
  <c r="E149"/>
  <c r="AY149" s="1"/>
  <c r="K148"/>
  <c r="E148"/>
  <c r="AY148" s="1"/>
  <c r="K147"/>
  <c r="E147"/>
  <c r="K146"/>
  <c r="E146"/>
  <c r="AY146" s="1"/>
  <c r="K145"/>
  <c r="E145"/>
  <c r="AY145" s="1"/>
  <c r="K144"/>
  <c r="E144"/>
  <c r="K143"/>
  <c r="E143"/>
  <c r="K142"/>
  <c r="E142"/>
  <c r="K141"/>
  <c r="E141"/>
  <c r="K140"/>
  <c r="E140"/>
  <c r="K139"/>
  <c r="E139"/>
  <c r="K138"/>
  <c r="E138"/>
  <c r="K137"/>
  <c r="E137"/>
  <c r="K136"/>
  <c r="E136"/>
  <c r="K135"/>
  <c r="E135"/>
  <c r="K134"/>
  <c r="E134"/>
  <c r="K133"/>
  <c r="E133"/>
  <c r="K132"/>
  <c r="E132"/>
  <c r="K131"/>
  <c r="E131"/>
  <c r="K130"/>
  <c r="E130"/>
  <c r="K129"/>
  <c r="E129"/>
  <c r="K128"/>
  <c r="E128"/>
  <c r="K127"/>
  <c r="E127"/>
  <c r="K126"/>
  <c r="E126"/>
  <c r="K125"/>
  <c r="E125"/>
  <c r="K124"/>
  <c r="E124"/>
  <c r="AY124" s="1"/>
  <c r="K123"/>
  <c r="E123"/>
  <c r="K122"/>
  <c r="E122"/>
  <c r="AI233" i="13"/>
  <c r="AS233" s="1"/>
  <c r="AY232"/>
  <c r="AS232"/>
  <c r="AI232"/>
  <c r="AY231"/>
  <c r="AI231"/>
  <c r="AS231" s="1"/>
  <c r="AY230"/>
  <c r="AS230"/>
  <c r="AI230"/>
  <c r="AY229"/>
  <c r="AI229"/>
  <c r="AS229" s="1"/>
  <c r="AY228"/>
  <c r="AS228"/>
  <c r="AI228"/>
  <c r="AY227"/>
  <c r="AI227"/>
  <c r="AS227" s="1"/>
  <c r="AY226"/>
  <c r="AS226"/>
  <c r="AI226"/>
  <c r="AI225"/>
  <c r="AS225" s="1"/>
  <c r="AI224"/>
  <c r="AS224" s="1"/>
  <c r="AY223"/>
  <c r="AI223"/>
  <c r="AS223" s="1"/>
  <c r="AY222"/>
  <c r="AS222"/>
  <c r="AI222"/>
  <c r="AY221"/>
  <c r="AI221"/>
  <c r="AS221" s="1"/>
  <c r="AY220"/>
  <c r="AS220"/>
  <c r="AI220"/>
  <c r="AY219"/>
  <c r="AI219"/>
  <c r="AS219" s="1"/>
  <c r="AY218"/>
  <c r="AS218"/>
  <c r="AI218"/>
  <c r="AY217"/>
  <c r="AI217"/>
  <c r="AS217" s="1"/>
  <c r="AY216"/>
  <c r="AS216"/>
  <c r="AI216"/>
  <c r="AY215"/>
  <c r="AI215"/>
  <c r="AS215" s="1"/>
  <c r="AY214"/>
  <c r="AS214"/>
  <c r="AI214"/>
  <c r="AY213"/>
  <c r="AI213"/>
  <c r="AS213" s="1"/>
  <c r="AY212"/>
  <c r="AS212"/>
  <c r="AI212"/>
  <c r="AY211"/>
  <c r="AI211"/>
  <c r="AS211" s="1"/>
  <c r="AY210"/>
  <c r="AS210"/>
  <c r="AI210"/>
  <c r="AY209"/>
  <c r="AI209"/>
  <c r="AS209" s="1"/>
  <c r="AI208"/>
  <c r="AS208" s="1"/>
  <c r="AY207"/>
  <c r="AI207"/>
  <c r="AS207" s="1"/>
  <c r="AY206"/>
  <c r="AS206"/>
  <c r="AI206"/>
  <c r="AY205"/>
  <c r="AI205"/>
  <c r="AS205" s="1"/>
  <c r="AY204"/>
  <c r="AS204"/>
  <c r="AI204"/>
  <c r="AY203"/>
  <c r="AI203"/>
  <c r="AS203" s="1"/>
  <c r="AY202"/>
  <c r="AS202"/>
  <c r="AI202"/>
  <c r="AY201"/>
  <c r="AI201"/>
  <c r="AS201" s="1"/>
  <c r="AI200"/>
  <c r="AS200" s="1"/>
  <c r="AI199"/>
  <c r="AS199" s="1"/>
  <c r="AY198"/>
  <c r="AS198"/>
  <c r="AI198"/>
  <c r="AY197"/>
  <c r="AI197"/>
  <c r="AS197" s="1"/>
  <c r="AY196"/>
  <c r="AS196"/>
  <c r="AI196"/>
  <c r="AY195"/>
  <c r="AI195"/>
  <c r="AS195" s="1"/>
  <c r="AY194"/>
  <c r="AS194"/>
  <c r="AI194"/>
  <c r="AY193"/>
  <c r="AI193"/>
  <c r="AS193" s="1"/>
  <c r="AY192"/>
  <c r="AS192"/>
  <c r="AI192"/>
  <c r="AY191"/>
  <c r="AI191"/>
  <c r="AS191" s="1"/>
  <c r="AI190"/>
  <c r="AS190" s="1"/>
  <c r="AY189"/>
  <c r="AI189"/>
  <c r="AS189" s="1"/>
  <c r="AY188"/>
  <c r="AS188"/>
  <c r="AI188"/>
  <c r="AY187"/>
  <c r="AI187"/>
  <c r="AS187" s="1"/>
  <c r="AY186"/>
  <c r="AS186"/>
  <c r="AI186"/>
  <c r="AY185"/>
  <c r="AI185"/>
  <c r="AS185" s="1"/>
  <c r="AY184"/>
  <c r="AS184"/>
  <c r="AI184"/>
  <c r="AY183"/>
  <c r="AI183"/>
  <c r="AS183" s="1"/>
  <c r="AY182"/>
  <c r="AS182"/>
  <c r="AI182"/>
  <c r="AY181"/>
  <c r="AI181"/>
  <c r="AS181" s="1"/>
  <c r="AY180"/>
  <c r="AS180"/>
  <c r="AI180"/>
  <c r="AY179"/>
  <c r="AI179"/>
  <c r="AS179" s="1"/>
  <c r="AY178"/>
  <c r="AS178"/>
  <c r="AI178"/>
  <c r="AY177"/>
  <c r="AI177"/>
  <c r="AS177" s="1"/>
  <c r="AY176"/>
  <c r="AS176"/>
  <c r="AI176"/>
  <c r="AY175"/>
  <c r="AI175"/>
  <c r="AS175" s="1"/>
  <c r="AY174"/>
  <c r="AS174"/>
  <c r="AI174"/>
  <c r="AY173"/>
  <c r="AI173"/>
  <c r="AS173" s="1"/>
  <c r="AI172"/>
  <c r="AS172" s="1"/>
  <c r="AY171"/>
  <c r="AI171"/>
  <c r="AS171" s="1"/>
  <c r="AY170"/>
  <c r="AS170"/>
  <c r="AI170"/>
  <c r="AY169"/>
  <c r="AI169"/>
  <c r="AS169" s="1"/>
  <c r="AY168"/>
  <c r="AS168"/>
  <c r="AI168"/>
  <c r="AY167"/>
  <c r="AI167"/>
  <c r="AS167" s="1"/>
  <c r="AY166"/>
  <c r="AS166"/>
  <c r="AI166"/>
  <c r="AI165"/>
  <c r="AS165" s="1"/>
  <c r="AY164"/>
  <c r="AS164"/>
  <c r="AI164"/>
  <c r="AI163"/>
  <c r="AS163" s="1"/>
  <c r="AY162"/>
  <c r="AS162"/>
  <c r="AI162"/>
  <c r="AY161"/>
  <c r="AI161"/>
  <c r="AS161" s="1"/>
  <c r="AY160"/>
  <c r="AS160"/>
  <c r="AI160"/>
  <c r="AI159"/>
  <c r="AS159" s="1"/>
  <c r="AY158"/>
  <c r="AS158"/>
  <c r="AI158"/>
  <c r="AY157"/>
  <c r="AI157"/>
  <c r="AS157" s="1"/>
  <c r="AY156"/>
  <c r="AS156"/>
  <c r="AI156"/>
  <c r="AY155"/>
  <c r="AI155"/>
  <c r="AS155" s="1"/>
  <c r="AY154"/>
  <c r="AS154"/>
  <c r="AI154"/>
  <c r="AY153"/>
  <c r="AI153"/>
  <c r="AS153" s="1"/>
  <c r="AY152"/>
  <c r="AS152"/>
  <c r="AI152"/>
  <c r="AY151"/>
  <c r="AI151"/>
  <c r="AS151" s="1"/>
  <c r="AY150"/>
  <c r="AS150"/>
  <c r="AI150"/>
  <c r="AI149"/>
  <c r="AS149" s="1"/>
  <c r="AY148"/>
  <c r="AS148"/>
  <c r="AI148"/>
  <c r="AY147"/>
  <c r="AI147"/>
  <c r="AS147" s="1"/>
  <c r="AY146"/>
  <c r="AS146"/>
  <c r="AI146"/>
  <c r="AY145"/>
  <c r="AI145"/>
  <c r="AS145" s="1"/>
  <c r="AS144"/>
  <c r="AY143"/>
  <c r="AI143"/>
  <c r="AS143" s="1"/>
  <c r="AY142"/>
  <c r="AS142"/>
  <c r="AI142"/>
  <c r="AY141"/>
  <c r="AI141"/>
  <c r="AS141" s="1"/>
  <c r="AY140"/>
  <c r="AS140"/>
  <c r="AI140"/>
  <c r="AY139"/>
  <c r="AI139"/>
  <c r="AS139" s="1"/>
  <c r="AY138"/>
  <c r="AS138"/>
  <c r="AI138"/>
  <c r="AY137"/>
  <c r="AI137"/>
  <c r="AS137" s="1"/>
  <c r="AY136"/>
  <c r="AS136"/>
  <c r="AI136"/>
  <c r="AY135"/>
  <c r="AI135"/>
  <c r="AS135" s="1"/>
  <c r="AY134"/>
  <c r="AS134"/>
  <c r="AI134"/>
  <c r="AY133"/>
  <c r="AI133"/>
  <c r="AS133" s="1"/>
  <c r="AY132"/>
  <c r="AS132"/>
  <c r="AI132"/>
  <c r="AY131"/>
  <c r="AI131"/>
  <c r="AS131" s="1"/>
  <c r="AY130"/>
  <c r="AS130"/>
  <c r="AI130"/>
  <c r="AY129"/>
  <c r="AI129"/>
  <c r="AS129" s="1"/>
  <c r="AY128"/>
  <c r="AS128"/>
  <c r="AI128"/>
  <c r="AY127"/>
  <c r="AI127"/>
  <c r="AS127" s="1"/>
  <c r="AY126"/>
  <c r="AS126"/>
  <c r="AI126"/>
  <c r="AY125"/>
  <c r="AI125"/>
  <c r="AS125" s="1"/>
  <c r="AY124"/>
  <c r="AS124"/>
  <c r="AI124"/>
  <c r="AY123"/>
  <c r="AI123"/>
  <c r="AS123" s="1"/>
  <c r="AY122"/>
  <c r="AS122"/>
  <c r="AI122"/>
  <c r="AY121"/>
  <c r="AI121"/>
  <c r="AS121" s="1"/>
  <c r="AY120"/>
  <c r="AS120"/>
  <c r="AI120"/>
  <c r="AY119"/>
  <c r="AI119"/>
  <c r="AS119" s="1"/>
  <c r="AY118"/>
  <c r="AS118"/>
  <c r="AI118"/>
  <c r="AY117"/>
  <c r="AI117"/>
  <c r="AS117" s="1"/>
  <c r="AY116"/>
  <c r="AS116"/>
  <c r="AI116"/>
  <c r="AY115"/>
  <c r="AI115"/>
  <c r="AS115" s="1"/>
  <c r="AY114"/>
  <c r="AS114"/>
  <c r="AI114"/>
  <c r="AY113"/>
  <c r="AI113"/>
  <c r="AS113" s="1"/>
  <c r="AI112"/>
  <c r="AS112" s="1"/>
  <c r="AY111"/>
  <c r="AI111"/>
  <c r="AS111" s="1"/>
  <c r="AY110"/>
  <c r="AS110"/>
  <c r="AI110"/>
  <c r="AY109"/>
  <c r="AI109"/>
  <c r="AS109" s="1"/>
  <c r="AY108"/>
  <c r="AS108"/>
  <c r="AI108"/>
  <c r="AY107"/>
  <c r="AI107"/>
  <c r="AS107" s="1"/>
  <c r="AI106"/>
  <c r="AS106" s="1"/>
  <c r="AY105"/>
  <c r="AI105"/>
  <c r="AS105" s="1"/>
  <c r="AY104"/>
  <c r="AS104"/>
  <c r="AI104"/>
  <c r="AY103"/>
  <c r="AI103"/>
  <c r="AS103" s="1"/>
  <c r="AI102"/>
  <c r="AS102" s="1"/>
  <c r="AY101"/>
  <c r="AI101"/>
  <c r="AS101" s="1"/>
  <c r="AI100"/>
  <c r="AS100" s="1"/>
  <c r="AY99"/>
  <c r="AI99"/>
  <c r="AS99" s="1"/>
  <c r="AY98"/>
  <c r="AS98"/>
  <c r="AI98"/>
  <c r="AY97"/>
  <c r="AI97"/>
  <c r="AS97" s="1"/>
  <c r="AY96"/>
  <c r="AS96"/>
  <c r="AI96"/>
  <c r="AY95"/>
  <c r="AI95"/>
  <c r="AS95" s="1"/>
  <c r="AI94"/>
  <c r="AS94" s="1"/>
  <c r="AY93"/>
  <c r="AI93"/>
  <c r="AS93" s="1"/>
  <c r="AY92"/>
  <c r="AS92"/>
  <c r="AI92"/>
  <c r="AY91"/>
  <c r="AI91"/>
  <c r="AS91" s="1"/>
  <c r="AY90"/>
  <c r="AS90"/>
  <c r="AI90"/>
  <c r="AY89"/>
  <c r="AI89"/>
  <c r="AS89" s="1"/>
  <c r="AY88"/>
  <c r="AS88"/>
  <c r="AI88"/>
  <c r="AY87"/>
  <c r="AI87"/>
  <c r="AS87" s="1"/>
  <c r="AI86"/>
  <c r="AS86" s="1"/>
  <c r="AY85"/>
  <c r="AI85"/>
  <c r="AS85" s="1"/>
  <c r="AY84"/>
  <c r="AS84"/>
  <c r="AI84"/>
  <c r="AY83"/>
  <c r="AI83"/>
  <c r="AS83" s="1"/>
  <c r="AY82"/>
  <c r="AS82"/>
  <c r="AI82"/>
  <c r="AY81"/>
  <c r="AI81"/>
  <c r="AS81" s="1"/>
  <c r="AY80"/>
  <c r="AS80"/>
  <c r="AI80"/>
  <c r="AY79"/>
  <c r="AI79"/>
  <c r="AS79" s="1"/>
  <c r="AY78"/>
  <c r="AS78"/>
  <c r="AI78"/>
  <c r="AY77"/>
  <c r="AI77"/>
  <c r="AS77" s="1"/>
  <c r="AY76"/>
  <c r="AS76"/>
  <c r="AI76"/>
  <c r="AY75"/>
  <c r="AI75"/>
  <c r="AS75" s="1"/>
  <c r="AY74"/>
  <c r="AS74"/>
  <c r="AI74"/>
  <c r="AY73"/>
  <c r="AI73"/>
  <c r="AS73" s="1"/>
  <c r="AY72"/>
  <c r="AS72"/>
  <c r="AI72"/>
  <c r="AY71"/>
  <c r="AI71"/>
  <c r="AS71" s="1"/>
  <c r="AY70"/>
  <c r="AS70"/>
  <c r="AI70"/>
  <c r="AY69"/>
  <c r="AI69"/>
  <c r="AS69" s="1"/>
  <c r="AY68"/>
  <c r="AS68"/>
  <c r="AI68"/>
  <c r="AI67"/>
  <c r="AS67" s="1"/>
  <c r="AI66"/>
  <c r="AS66" s="1"/>
  <c r="AI65"/>
  <c r="AS65" s="1"/>
  <c r="AI64"/>
  <c r="AS64" s="1"/>
  <c r="AI63"/>
  <c r="AS63" s="1"/>
  <c r="AI62"/>
  <c r="AS62" s="1"/>
  <c r="AS61"/>
  <c r="AY60"/>
  <c r="AS60"/>
  <c r="AI60"/>
  <c r="AY59"/>
  <c r="AI59"/>
  <c r="AS59" s="1"/>
  <c r="AY58"/>
  <c r="AS58"/>
  <c r="AI58"/>
  <c r="AI57"/>
  <c r="AS57" s="1"/>
  <c r="AI56"/>
  <c r="AS56" s="1"/>
  <c r="AI55"/>
  <c r="AS55" s="1"/>
  <c r="AI54"/>
  <c r="AS54" s="1"/>
  <c r="AI53"/>
  <c r="AS53" s="1"/>
  <c r="AI52"/>
  <c r="AS52" s="1"/>
  <c r="AI51"/>
  <c r="AS51" s="1"/>
  <c r="AI50"/>
  <c r="AS50" s="1"/>
  <c r="AI49"/>
  <c r="AS49" s="1"/>
  <c r="AI48"/>
  <c r="AS48" s="1"/>
  <c r="AI47"/>
  <c r="AS47" s="1"/>
  <c r="AI46"/>
  <c r="AS46" s="1"/>
  <c r="AY45"/>
  <c r="AI45"/>
  <c r="AS45" s="1"/>
  <c r="AY44"/>
  <c r="AS44"/>
  <c r="AI44"/>
  <c r="AY43"/>
  <c r="AI43"/>
  <c r="AS43" s="1"/>
  <c r="AY42"/>
  <c r="AS42"/>
  <c r="AI42"/>
  <c r="AY41"/>
  <c r="AI41"/>
  <c r="AS41" s="1"/>
  <c r="AY40"/>
  <c r="AS40"/>
  <c r="AI40"/>
  <c r="AI39"/>
  <c r="AS39" s="1"/>
  <c r="W233"/>
  <c r="K233"/>
  <c r="E233"/>
  <c r="W232"/>
  <c r="K232"/>
  <c r="E232"/>
  <c r="W231"/>
  <c r="K231"/>
  <c r="E231"/>
  <c r="W230"/>
  <c r="K230"/>
  <c r="E230"/>
  <c r="W229"/>
  <c r="K229"/>
  <c r="E229"/>
  <c r="W228"/>
  <c r="K228"/>
  <c r="E228"/>
  <c r="W227"/>
  <c r="K227"/>
  <c r="E227"/>
  <c r="W226"/>
  <c r="K226"/>
  <c r="E226"/>
  <c r="W225"/>
  <c r="K225"/>
  <c r="E225"/>
  <c r="W224"/>
  <c r="K224"/>
  <c r="E224"/>
  <c r="W223"/>
  <c r="K223"/>
  <c r="E223"/>
  <c r="W222"/>
  <c r="K222"/>
  <c r="E222"/>
  <c r="W221"/>
  <c r="K221"/>
  <c r="E221"/>
  <c r="W220"/>
  <c r="K220"/>
  <c r="E220"/>
  <c r="W219"/>
  <c r="K219"/>
  <c r="E219"/>
  <c r="W218"/>
  <c r="K218"/>
  <c r="E218"/>
  <c r="W217"/>
  <c r="K217"/>
  <c r="E217"/>
  <c r="W216"/>
  <c r="K216"/>
  <c r="E216"/>
  <c r="W215"/>
  <c r="K215"/>
  <c r="E215"/>
  <c r="W214"/>
  <c r="K214"/>
  <c r="E214"/>
  <c r="W213"/>
  <c r="K213"/>
  <c r="E213"/>
  <c r="W212"/>
  <c r="K212"/>
  <c r="E212"/>
  <c r="W211"/>
  <c r="K211"/>
  <c r="E211"/>
  <c r="W210"/>
  <c r="K210"/>
  <c r="E210"/>
  <c r="W209"/>
  <c r="K209"/>
  <c r="E209"/>
  <c r="W208"/>
  <c r="K208"/>
  <c r="E208"/>
  <c r="W207"/>
  <c r="K207"/>
  <c r="E207"/>
  <c r="W206"/>
  <c r="K206"/>
  <c r="E206"/>
  <c r="W205"/>
  <c r="K205"/>
  <c r="E205"/>
  <c r="W204"/>
  <c r="K204"/>
  <c r="E204"/>
  <c r="W203"/>
  <c r="K203"/>
  <c r="E203"/>
  <c r="W202"/>
  <c r="K202"/>
  <c r="E202"/>
  <c r="W201"/>
  <c r="K201"/>
  <c r="E201"/>
  <c r="W200"/>
  <c r="K200"/>
  <c r="E200"/>
  <c r="W199"/>
  <c r="E199"/>
  <c r="AY199" s="1"/>
  <c r="W198"/>
  <c r="K198"/>
  <c r="E198"/>
  <c r="W197"/>
  <c r="K197"/>
  <c r="E197"/>
  <c r="W196"/>
  <c r="K196"/>
  <c r="E196"/>
  <c r="W195"/>
  <c r="K195"/>
  <c r="E195"/>
  <c r="W194"/>
  <c r="K194"/>
  <c r="E194"/>
  <c r="W193"/>
  <c r="K193"/>
  <c r="E193"/>
  <c r="W192"/>
  <c r="K192"/>
  <c r="E192"/>
  <c r="W191"/>
  <c r="K191"/>
  <c r="E191"/>
  <c r="W190"/>
  <c r="K190"/>
  <c r="E190"/>
  <c r="W189"/>
  <c r="K189"/>
  <c r="E189"/>
  <c r="W188"/>
  <c r="K188"/>
  <c r="E188"/>
  <c r="W187"/>
  <c r="K187"/>
  <c r="E187"/>
  <c r="W186"/>
  <c r="K186"/>
  <c r="E186"/>
  <c r="W185"/>
  <c r="K185"/>
  <c r="E185"/>
  <c r="W184"/>
  <c r="K184"/>
  <c r="E184"/>
  <c r="W183"/>
  <c r="K183"/>
  <c r="E183"/>
  <c r="W182"/>
  <c r="K182"/>
  <c r="E182"/>
  <c r="W181"/>
  <c r="K181"/>
  <c r="E181"/>
  <c r="W180"/>
  <c r="K180"/>
  <c r="E180"/>
  <c r="W179"/>
  <c r="K179"/>
  <c r="E179"/>
  <c r="W178"/>
  <c r="K178"/>
  <c r="E178"/>
  <c r="W177"/>
  <c r="K177"/>
  <c r="E177"/>
  <c r="W176"/>
  <c r="K176"/>
  <c r="E176"/>
  <c r="W175"/>
  <c r="K175"/>
  <c r="E175"/>
  <c r="W174"/>
  <c r="K174"/>
  <c r="E174"/>
  <c r="W173"/>
  <c r="K173"/>
  <c r="E173"/>
  <c r="W172"/>
  <c r="K172"/>
  <c r="E172"/>
  <c r="W171"/>
  <c r="K171"/>
  <c r="E171"/>
  <c r="W170"/>
  <c r="K170"/>
  <c r="E170"/>
  <c r="W169"/>
  <c r="K169"/>
  <c r="E169"/>
  <c r="W168"/>
  <c r="K168"/>
  <c r="E168"/>
  <c r="W167"/>
  <c r="K167"/>
  <c r="E167"/>
  <c r="W166"/>
  <c r="K166"/>
  <c r="E166"/>
  <c r="W165"/>
  <c r="K165"/>
  <c r="E165"/>
  <c r="W164"/>
  <c r="K164"/>
  <c r="E164"/>
  <c r="W163"/>
  <c r="K163"/>
  <c r="E163"/>
  <c r="W162"/>
  <c r="K162"/>
  <c r="E162"/>
  <c r="W161"/>
  <c r="K161"/>
  <c r="E161"/>
  <c r="W160"/>
  <c r="K160"/>
  <c r="E160"/>
  <c r="W159"/>
  <c r="K159"/>
  <c r="E159"/>
  <c r="W158"/>
  <c r="K158"/>
  <c r="E158"/>
  <c r="W157"/>
  <c r="K157"/>
  <c r="E157"/>
  <c r="W156"/>
  <c r="K156"/>
  <c r="E156"/>
  <c r="W155"/>
  <c r="K155"/>
  <c r="E155"/>
  <c r="W154"/>
  <c r="K154"/>
  <c r="E154"/>
  <c r="W153"/>
  <c r="K153"/>
  <c r="E153"/>
  <c r="W152"/>
  <c r="K152"/>
  <c r="E152"/>
  <c r="W151"/>
  <c r="K151"/>
  <c r="E151"/>
  <c r="W150"/>
  <c r="K150"/>
  <c r="E150"/>
  <c r="W149"/>
  <c r="K149"/>
  <c r="E149"/>
  <c r="W148"/>
  <c r="K148"/>
  <c r="E148"/>
  <c r="W147"/>
  <c r="K147"/>
  <c r="E147"/>
  <c r="W146"/>
  <c r="K146"/>
  <c r="E146"/>
  <c r="W145"/>
  <c r="K145"/>
  <c r="E145"/>
  <c r="W144"/>
  <c r="K144"/>
  <c r="E144"/>
  <c r="W143"/>
  <c r="K143"/>
  <c r="E143"/>
  <c r="W142"/>
  <c r="K142"/>
  <c r="E142"/>
  <c r="W141"/>
  <c r="K141"/>
  <c r="E141"/>
  <c r="W140"/>
  <c r="K140"/>
  <c r="E140"/>
  <c r="W139"/>
  <c r="K139"/>
  <c r="E139"/>
  <c r="W138"/>
  <c r="K138"/>
  <c r="E138"/>
  <c r="W137"/>
  <c r="K137"/>
  <c r="E137"/>
  <c r="W136"/>
  <c r="K136"/>
  <c r="E136"/>
  <c r="W135"/>
  <c r="K135"/>
  <c r="E135"/>
  <c r="W134"/>
  <c r="K134"/>
  <c r="E134"/>
  <c r="W133"/>
  <c r="K133"/>
  <c r="E133"/>
  <c r="W132"/>
  <c r="K132"/>
  <c r="E132"/>
  <c r="W131"/>
  <c r="K131"/>
  <c r="E131"/>
  <c r="W130"/>
  <c r="K130"/>
  <c r="E130"/>
  <c r="W129"/>
  <c r="K129"/>
  <c r="E129"/>
  <c r="W128"/>
  <c r="K128"/>
  <c r="E128"/>
  <c r="W127"/>
  <c r="K127"/>
  <c r="E127"/>
  <c r="W126"/>
  <c r="K126"/>
  <c r="E126"/>
  <c r="W125"/>
  <c r="K125"/>
  <c r="E125"/>
  <c r="W124"/>
  <c r="K124"/>
  <c r="E124"/>
  <c r="W123"/>
  <c r="K123"/>
  <c r="E123"/>
  <c r="W122"/>
  <c r="K122"/>
  <c r="E122"/>
  <c r="W121"/>
  <c r="K121"/>
  <c r="E121"/>
  <c r="W120"/>
  <c r="K120"/>
  <c r="E120"/>
  <c r="W119"/>
  <c r="K119"/>
  <c r="E119"/>
  <c r="W118"/>
  <c r="K118"/>
  <c r="E118"/>
  <c r="W117"/>
  <c r="K117"/>
  <c r="E117"/>
  <c r="W116"/>
  <c r="K116"/>
  <c r="E116"/>
  <c r="W115"/>
  <c r="K115"/>
  <c r="E115"/>
  <c r="W114"/>
  <c r="K114"/>
  <c r="E114"/>
  <c r="W113"/>
  <c r="K113"/>
  <c r="E113"/>
  <c r="W112"/>
  <c r="K112"/>
  <c r="E112"/>
  <c r="W111"/>
  <c r="K111"/>
  <c r="E111"/>
  <c r="W110"/>
  <c r="K110"/>
  <c r="E110"/>
  <c r="W109"/>
  <c r="K109"/>
  <c r="E109"/>
  <c r="W108"/>
  <c r="K108"/>
  <c r="E108"/>
  <c r="W107"/>
  <c r="K107"/>
  <c r="E107"/>
  <c r="W106"/>
  <c r="K106"/>
  <c r="E106"/>
  <c r="W105"/>
  <c r="K105"/>
  <c r="E105"/>
  <c r="W104"/>
  <c r="K104"/>
  <c r="E104"/>
  <c r="W103"/>
  <c r="K103"/>
  <c r="E103"/>
  <c r="W102"/>
  <c r="K102"/>
  <c r="E102"/>
  <c r="W101"/>
  <c r="K101"/>
  <c r="E101"/>
  <c r="W100"/>
  <c r="K100"/>
  <c r="E100"/>
  <c r="W99"/>
  <c r="K99"/>
  <c r="E99"/>
  <c r="W98"/>
  <c r="K98"/>
  <c r="E98"/>
  <c r="W97"/>
  <c r="K97"/>
  <c r="E97"/>
  <c r="W96"/>
  <c r="K96"/>
  <c r="E96"/>
  <c r="W95"/>
  <c r="K95"/>
  <c r="E95"/>
  <c r="W94"/>
  <c r="K94"/>
  <c r="E94"/>
  <c r="W93"/>
  <c r="K93"/>
  <c r="E93"/>
  <c r="W92"/>
  <c r="K92"/>
  <c r="E92"/>
  <c r="W91"/>
  <c r="K91"/>
  <c r="E91"/>
  <c r="W90"/>
  <c r="K90"/>
  <c r="E90"/>
  <c r="W89"/>
  <c r="K89"/>
  <c r="E89"/>
  <c r="W88"/>
  <c r="K88"/>
  <c r="E88"/>
  <c r="W87"/>
  <c r="K87"/>
  <c r="E87"/>
  <c r="W86"/>
  <c r="K86"/>
  <c r="E86"/>
  <c r="W85"/>
  <c r="K85"/>
  <c r="E85"/>
  <c r="W84"/>
  <c r="K84"/>
  <c r="E84"/>
  <c r="W83"/>
  <c r="K83"/>
  <c r="E83"/>
  <c r="W82"/>
  <c r="K82"/>
  <c r="E82"/>
  <c r="W81"/>
  <c r="K81"/>
  <c r="E81"/>
  <c r="W80"/>
  <c r="K80"/>
  <c r="E80"/>
  <c r="W79"/>
  <c r="K79"/>
  <c r="E79"/>
  <c r="W78"/>
  <c r="K78"/>
  <c r="E78"/>
  <c r="W77"/>
  <c r="K77"/>
  <c r="E77"/>
  <c r="W76"/>
  <c r="K76"/>
  <c r="E76"/>
  <c r="W75"/>
  <c r="K75"/>
  <c r="E75"/>
  <c r="W74"/>
  <c r="K74"/>
  <c r="E74"/>
  <c r="W73"/>
  <c r="K73"/>
  <c r="E73"/>
  <c r="W72"/>
  <c r="K72"/>
  <c r="E72"/>
  <c r="W71"/>
  <c r="K71"/>
  <c r="E71"/>
  <c r="W70"/>
  <c r="K70"/>
  <c r="E70"/>
  <c r="W69"/>
  <c r="K69"/>
  <c r="E69"/>
  <c r="W68"/>
  <c r="K68"/>
  <c r="E68"/>
  <c r="W67"/>
  <c r="K67"/>
  <c r="E67"/>
  <c r="W66"/>
  <c r="K66"/>
  <c r="E66"/>
  <c r="AY66" s="1"/>
  <c r="W65"/>
  <c r="K65"/>
  <c r="E65"/>
  <c r="W64"/>
  <c r="K64"/>
  <c r="E64"/>
  <c r="AY64" s="1"/>
  <c r="W63"/>
  <c r="K63"/>
  <c r="E63"/>
  <c r="W62"/>
  <c r="K62"/>
  <c r="E62"/>
  <c r="AY62" s="1"/>
  <c r="W61"/>
  <c r="K61"/>
  <c r="E61"/>
  <c r="W60"/>
  <c r="K60"/>
  <c r="E60"/>
  <c r="W59"/>
  <c r="K59"/>
  <c r="E59"/>
  <c r="W58"/>
  <c r="K58"/>
  <c r="E58"/>
  <c r="W57"/>
  <c r="K57"/>
  <c r="E57"/>
  <c r="W56"/>
  <c r="K56"/>
  <c r="E56"/>
  <c r="W55"/>
  <c r="K55"/>
  <c r="E55"/>
  <c r="W54"/>
  <c r="K54"/>
  <c r="E54"/>
  <c r="AY54" s="1"/>
  <c r="W53"/>
  <c r="K53"/>
  <c r="E53"/>
  <c r="W52"/>
  <c r="K52"/>
  <c r="E52"/>
  <c r="W51"/>
  <c r="K51"/>
  <c r="E51"/>
  <c r="W50"/>
  <c r="K50"/>
  <c r="E50"/>
  <c r="AY50" s="1"/>
  <c r="W49"/>
  <c r="K49"/>
  <c r="E49"/>
  <c r="W48"/>
  <c r="K48"/>
  <c r="E48"/>
  <c r="W47"/>
  <c r="K47"/>
  <c r="E47"/>
  <c r="AY47" s="1"/>
  <c r="W46"/>
  <c r="K46"/>
  <c r="E46"/>
  <c r="W45"/>
  <c r="K45"/>
  <c r="E45"/>
  <c r="W44"/>
  <c r="K44"/>
  <c r="E44"/>
  <c r="W43"/>
  <c r="K43"/>
  <c r="E43"/>
  <c r="W42"/>
  <c r="K42"/>
  <c r="E42"/>
  <c r="W41"/>
  <c r="K41"/>
  <c r="E41"/>
  <c r="W40"/>
  <c r="K40"/>
  <c r="E40"/>
  <c r="W39"/>
  <c r="K39"/>
  <c r="E39"/>
  <c r="AI88" i="14"/>
  <c r="AI251"/>
  <c r="AI250"/>
  <c r="AI249"/>
  <c r="AI248"/>
  <c r="AI247"/>
  <c r="AI246"/>
  <c r="AI245"/>
  <c r="AI244"/>
  <c r="AI243"/>
  <c r="AI242"/>
  <c r="AI241"/>
  <c r="AI240"/>
  <c r="AI239"/>
  <c r="AI238"/>
  <c r="AI237"/>
  <c r="AI236"/>
  <c r="AI235"/>
  <c r="AI233"/>
  <c r="AI232"/>
  <c r="AI231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08"/>
  <c r="AI207"/>
  <c r="AI206"/>
  <c r="AI205"/>
  <c r="AI204"/>
  <c r="AI203"/>
  <c r="AI202"/>
  <c r="AI201"/>
  <c r="AI200"/>
  <c r="AI199"/>
  <c r="AI198"/>
  <c r="AI197"/>
  <c r="AI196"/>
  <c r="AI195"/>
  <c r="AI194"/>
  <c r="AI193"/>
  <c r="AI192"/>
  <c r="AI191"/>
  <c r="AI190"/>
  <c r="AI189"/>
  <c r="AI188"/>
  <c r="AI187"/>
  <c r="AI186"/>
  <c r="AI185"/>
  <c r="AI184"/>
  <c r="AI183"/>
  <c r="AI182"/>
  <c r="AI181"/>
  <c r="AI180"/>
  <c r="AI179"/>
  <c r="AI178"/>
  <c r="AI177"/>
  <c r="AI175"/>
  <c r="AI174"/>
  <c r="AI173"/>
  <c r="AI172"/>
  <c r="AI171"/>
  <c r="AI170"/>
  <c r="AI169"/>
  <c r="AI168"/>
  <c r="AI167"/>
  <c r="AI166"/>
  <c r="AI165"/>
  <c r="AI164"/>
  <c r="AI163"/>
  <c r="AI162"/>
  <c r="AI161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7"/>
  <c r="AI86"/>
  <c r="AI85"/>
  <c r="AI84"/>
  <c r="AI83"/>
  <c r="AI82"/>
  <c r="AI81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K251"/>
  <c r="E251"/>
  <c r="K250"/>
  <c r="E250"/>
  <c r="K249"/>
  <c r="E249"/>
  <c r="K248"/>
  <c r="E248"/>
  <c r="K247"/>
  <c r="E247"/>
  <c r="K246"/>
  <c r="E246"/>
  <c r="K245"/>
  <c r="E245"/>
  <c r="K244"/>
  <c r="E244"/>
  <c r="K243"/>
  <c r="E243"/>
  <c r="K242"/>
  <c r="E242"/>
  <c r="K241"/>
  <c r="E241"/>
  <c r="K240"/>
  <c r="E240"/>
  <c r="K239"/>
  <c r="E239"/>
  <c r="K238"/>
  <c r="E238"/>
  <c r="K237"/>
  <c r="E237"/>
  <c r="K236"/>
  <c r="E236"/>
  <c r="K235"/>
  <c r="E235"/>
  <c r="K233"/>
  <c r="E233"/>
  <c r="K232"/>
  <c r="E232"/>
  <c r="K231"/>
  <c r="E231"/>
  <c r="K230"/>
  <c r="E230"/>
  <c r="K229"/>
  <c r="E229"/>
  <c r="K228"/>
  <c r="E228"/>
  <c r="K227"/>
  <c r="E227"/>
  <c r="K226"/>
  <c r="E226"/>
  <c r="K225"/>
  <c r="E225"/>
  <c r="K224"/>
  <c r="E224"/>
  <c r="K223"/>
  <c r="E223"/>
  <c r="K222"/>
  <c r="E222"/>
  <c r="K221"/>
  <c r="E221"/>
  <c r="K220"/>
  <c r="E220"/>
  <c r="K219"/>
  <c r="E219"/>
  <c r="K218"/>
  <c r="E218"/>
  <c r="K217"/>
  <c r="E217"/>
  <c r="K216"/>
  <c r="E216"/>
  <c r="K215"/>
  <c r="E215"/>
  <c r="K214"/>
  <c r="E214"/>
  <c r="K213"/>
  <c r="E213"/>
  <c r="K212"/>
  <c r="E212"/>
  <c r="K211"/>
  <c r="E211"/>
  <c r="K210"/>
  <c r="E210"/>
  <c r="K209"/>
  <c r="E209"/>
  <c r="K208"/>
  <c r="E208"/>
  <c r="K207"/>
  <c r="E207"/>
  <c r="K206"/>
  <c r="E206"/>
  <c r="K205"/>
  <c r="E205"/>
  <c r="K204"/>
  <c r="E204"/>
  <c r="K203"/>
  <c r="E203"/>
  <c r="K202"/>
  <c r="E202"/>
  <c r="K201"/>
  <c r="E201"/>
  <c r="K200"/>
  <c r="E200"/>
  <c r="K199"/>
  <c r="E199"/>
  <c r="K198"/>
  <c r="E198"/>
  <c r="K197"/>
  <c r="E197"/>
  <c r="K196"/>
  <c r="E196"/>
  <c r="K195"/>
  <c r="E195"/>
  <c r="K194"/>
  <c r="E194"/>
  <c r="K193"/>
  <c r="E193"/>
  <c r="K192"/>
  <c r="E192"/>
  <c r="K191"/>
  <c r="E191"/>
  <c r="K190"/>
  <c r="E190"/>
  <c r="K189"/>
  <c r="E189"/>
  <c r="K188"/>
  <c r="E188"/>
  <c r="K187"/>
  <c r="E187"/>
  <c r="K186"/>
  <c r="E186"/>
  <c r="K185"/>
  <c r="E185"/>
  <c r="K184"/>
  <c r="E184"/>
  <c r="K183"/>
  <c r="E183"/>
  <c r="K182"/>
  <c r="E182"/>
  <c r="K181"/>
  <c r="E181"/>
  <c r="K180"/>
  <c r="E180"/>
  <c r="K179"/>
  <c r="E179"/>
  <c r="K178"/>
  <c r="E178"/>
  <c r="K177"/>
  <c r="E177"/>
  <c r="E175"/>
  <c r="K174"/>
  <c r="E174"/>
  <c r="K173"/>
  <c r="E173"/>
  <c r="K172"/>
  <c r="E172"/>
  <c r="K171"/>
  <c r="E171"/>
  <c r="K170"/>
  <c r="E170"/>
  <c r="K169"/>
  <c r="E169"/>
  <c r="K168"/>
  <c r="E168"/>
  <c r="K167"/>
  <c r="E167"/>
  <c r="K166"/>
  <c r="E166"/>
  <c r="K165"/>
  <c r="E165"/>
  <c r="K164"/>
  <c r="E164"/>
  <c r="K163"/>
  <c r="E163"/>
  <c r="K162"/>
  <c r="E162"/>
  <c r="K161"/>
  <c r="E161"/>
  <c r="K159"/>
  <c r="E159"/>
  <c r="K158"/>
  <c r="E158"/>
  <c r="K157"/>
  <c r="E157"/>
  <c r="K156"/>
  <c r="E156"/>
  <c r="K155"/>
  <c r="E155"/>
  <c r="K154"/>
  <c r="E154"/>
  <c r="K153"/>
  <c r="E153"/>
  <c r="K152"/>
  <c r="E152"/>
  <c r="K151"/>
  <c r="E151"/>
  <c r="K150"/>
  <c r="E150"/>
  <c r="K149"/>
  <c r="E149"/>
  <c r="K148"/>
  <c r="E148"/>
  <c r="K147"/>
  <c r="E147"/>
  <c r="K146"/>
  <c r="E146"/>
  <c r="K145"/>
  <c r="E145"/>
  <c r="K144"/>
  <c r="E144"/>
  <c r="K143"/>
  <c r="E143"/>
  <c r="K142"/>
  <c r="E142"/>
  <c r="K141"/>
  <c r="E141"/>
  <c r="K140"/>
  <c r="E140"/>
  <c r="K139"/>
  <c r="E139"/>
  <c r="K138"/>
  <c r="E138"/>
  <c r="K137"/>
  <c r="E137"/>
  <c r="K136"/>
  <c r="E136"/>
  <c r="K135"/>
  <c r="E135"/>
  <c r="K134"/>
  <c r="E134"/>
  <c r="K133"/>
  <c r="E133"/>
  <c r="K132"/>
  <c r="E132"/>
  <c r="K131"/>
  <c r="E131"/>
  <c r="K130"/>
  <c r="E130"/>
  <c r="K129"/>
  <c r="E129"/>
  <c r="K128"/>
  <c r="E128"/>
  <c r="K127"/>
  <c r="E127"/>
  <c r="K126"/>
  <c r="E126"/>
  <c r="K125"/>
  <c r="E125"/>
  <c r="K124"/>
  <c r="E124"/>
  <c r="K123"/>
  <c r="E123"/>
  <c r="K122"/>
  <c r="E122"/>
  <c r="K121"/>
  <c r="E121"/>
  <c r="K120"/>
  <c r="E120"/>
  <c r="K119"/>
  <c r="E119"/>
  <c r="K118"/>
  <c r="E118"/>
  <c r="K117"/>
  <c r="E117"/>
  <c r="K116"/>
  <c r="E116"/>
  <c r="K115"/>
  <c r="E115"/>
  <c r="K114"/>
  <c r="E114"/>
  <c r="K113"/>
  <c r="E113"/>
  <c r="K112"/>
  <c r="E112"/>
  <c r="K111"/>
  <c r="E111"/>
  <c r="K110"/>
  <c r="E110"/>
  <c r="K109"/>
  <c r="E109"/>
  <c r="K108"/>
  <c r="E108"/>
  <c r="K107"/>
  <c r="E107"/>
  <c r="K106"/>
  <c r="E106"/>
  <c r="K105"/>
  <c r="E105"/>
  <c r="E104"/>
  <c r="K103"/>
  <c r="E103"/>
  <c r="K102"/>
  <c r="E102"/>
  <c r="K101"/>
  <c r="E101"/>
  <c r="K100"/>
  <c r="E100"/>
  <c r="K99"/>
  <c r="E99"/>
  <c r="K98"/>
  <c r="E98"/>
  <c r="K97"/>
  <c r="E97"/>
  <c r="K96"/>
  <c r="E96"/>
  <c r="K95"/>
  <c r="E95"/>
  <c r="K94"/>
  <c r="E94"/>
  <c r="K93"/>
  <c r="E93"/>
  <c r="K92"/>
  <c r="E92"/>
  <c r="K91"/>
  <c r="E91"/>
  <c r="K90"/>
  <c r="E90"/>
  <c r="K89"/>
  <c r="E89"/>
  <c r="K87"/>
  <c r="E87"/>
  <c r="K86"/>
  <c r="E86"/>
  <c r="K85"/>
  <c r="E85"/>
  <c r="K84"/>
  <c r="E84"/>
  <c r="E83"/>
  <c r="K82"/>
  <c r="E82"/>
  <c r="K81"/>
  <c r="E81"/>
  <c r="E79"/>
  <c r="K78"/>
  <c r="E78"/>
  <c r="K77"/>
  <c r="E77"/>
  <c r="K76"/>
  <c r="E76"/>
  <c r="K75"/>
  <c r="E75"/>
  <c r="K74"/>
  <c r="E74"/>
  <c r="K73"/>
  <c r="E73"/>
  <c r="K72"/>
  <c r="E72"/>
  <c r="K71"/>
  <c r="E71"/>
  <c r="K70"/>
  <c r="E70"/>
  <c r="K69"/>
  <c r="E69"/>
  <c r="K68"/>
  <c r="E68"/>
  <c r="K67"/>
  <c r="E67"/>
  <c r="K66"/>
  <c r="E66"/>
  <c r="K65"/>
  <c r="E65"/>
  <c r="K64"/>
  <c r="E64"/>
  <c r="K63"/>
  <c r="E63"/>
  <c r="K62"/>
  <c r="E62"/>
  <c r="K61"/>
  <c r="E61"/>
  <c r="K60"/>
  <c r="E60"/>
  <c r="K59"/>
  <c r="E59"/>
  <c r="K58"/>
  <c r="E58"/>
  <c r="K57"/>
  <c r="E57"/>
  <c r="E56"/>
  <c r="K55"/>
  <c r="E55"/>
  <c r="K54"/>
  <c r="E54"/>
  <c r="K53"/>
  <c r="E53"/>
  <c r="K52"/>
  <c r="E52"/>
  <c r="K51"/>
  <c r="E51"/>
  <c r="K50"/>
  <c r="E50"/>
  <c r="K49"/>
  <c r="E49"/>
  <c r="K48"/>
  <c r="K47"/>
  <c r="E47"/>
  <c r="K46"/>
  <c r="E46"/>
  <c r="K45"/>
  <c r="E45"/>
  <c r="K44"/>
  <c r="E44"/>
  <c r="K43"/>
  <c r="E43"/>
  <c r="K42"/>
  <c r="E42"/>
  <c r="K41"/>
  <c r="E41"/>
  <c r="K40"/>
  <c r="E40"/>
  <c r="K39"/>
  <c r="E39"/>
  <c r="K38"/>
  <c r="E38"/>
  <c r="K37"/>
  <c r="E37"/>
  <c r="K36"/>
  <c r="E36"/>
  <c r="K35"/>
  <c r="E35"/>
  <c r="K34"/>
  <c r="E34"/>
  <c r="K33"/>
  <c r="E33"/>
  <c r="K32"/>
  <c r="E32"/>
  <c r="K31"/>
  <c r="E31"/>
  <c r="K30"/>
  <c r="E30"/>
  <c r="K29"/>
  <c r="E29"/>
  <c r="K28"/>
  <c r="E28"/>
  <c r="K27"/>
  <c r="E27"/>
  <c r="K26"/>
  <c r="E26"/>
  <c r="K25"/>
  <c r="E25"/>
  <c r="K24"/>
  <c r="E24"/>
  <c r="K23"/>
  <c r="E23"/>
  <c r="K22"/>
  <c r="E22"/>
  <c r="K21"/>
  <c r="E21"/>
  <c r="K20"/>
  <c r="E20"/>
  <c r="K19"/>
  <c r="E19"/>
  <c r="K18"/>
  <c r="E18"/>
  <c r="K17"/>
  <c r="E17"/>
  <c r="K16"/>
  <c r="E16"/>
  <c r="K15"/>
  <c r="E15"/>
  <c r="K14"/>
  <c r="E14"/>
  <c r="K13"/>
  <c r="E13"/>
  <c r="K12"/>
  <c r="E12"/>
  <c r="AJ255" i="6"/>
  <c r="AT255" s="1"/>
  <c r="AJ254"/>
  <c r="AT254" s="1"/>
  <c r="AJ253"/>
  <c r="AT253" s="1"/>
  <c r="AJ252"/>
  <c r="AT252" s="1"/>
  <c r="AJ251"/>
  <c r="AT251" s="1"/>
  <c r="AJ250"/>
  <c r="AT250" s="1"/>
  <c r="AJ249"/>
  <c r="AT249" s="1"/>
  <c r="AJ248"/>
  <c r="AT248" s="1"/>
  <c r="AJ247"/>
  <c r="AT247" s="1"/>
  <c r="AJ246"/>
  <c r="AT246" s="1"/>
  <c r="AJ245"/>
  <c r="AT245" s="1"/>
  <c r="AJ244"/>
  <c r="AT244" s="1"/>
  <c r="AJ243"/>
  <c r="AT243" s="1"/>
  <c r="AJ242"/>
  <c r="AT242" s="1"/>
  <c r="AJ241"/>
  <c r="AT241" s="1"/>
  <c r="AJ240"/>
  <c r="AT240" s="1"/>
  <c r="AJ239"/>
  <c r="AT239" s="1"/>
  <c r="AJ238"/>
  <c r="AT238" s="1"/>
  <c r="AJ236"/>
  <c r="AT236" s="1"/>
  <c r="AJ235"/>
  <c r="AT235" s="1"/>
  <c r="AJ234"/>
  <c r="AT234" s="1"/>
  <c r="AJ233"/>
  <c r="AT233" s="1"/>
  <c r="AJ232"/>
  <c r="AT232" s="1"/>
  <c r="AJ231"/>
  <c r="AT231" s="1"/>
  <c r="AJ230"/>
  <c r="AT230" s="1"/>
  <c r="AJ229"/>
  <c r="AT229" s="1"/>
  <c r="AJ228"/>
  <c r="AT228" s="1"/>
  <c r="AJ227"/>
  <c r="AT227" s="1"/>
  <c r="AJ226"/>
  <c r="AT226" s="1"/>
  <c r="AJ225"/>
  <c r="AT225" s="1"/>
  <c r="AJ224"/>
  <c r="AT224" s="1"/>
  <c r="AJ223"/>
  <c r="AT223" s="1"/>
  <c r="AJ222"/>
  <c r="AT222" s="1"/>
  <c r="AJ221"/>
  <c r="AT221" s="1"/>
  <c r="AJ220"/>
  <c r="AT220" s="1"/>
  <c r="AJ219"/>
  <c r="AT219" s="1"/>
  <c r="AT218"/>
  <c r="AJ217"/>
  <c r="AT217" s="1"/>
  <c r="AJ216"/>
  <c r="AT216" s="1"/>
  <c r="AJ215"/>
  <c r="AT215" s="1"/>
  <c r="AJ214"/>
  <c r="AT214" s="1"/>
  <c r="AJ213"/>
  <c r="AT213" s="1"/>
  <c r="AJ212"/>
  <c r="AT212" s="1"/>
  <c r="AJ211"/>
  <c r="AT211" s="1"/>
  <c r="AJ210"/>
  <c r="AT210" s="1"/>
  <c r="AJ209"/>
  <c r="AT209" s="1"/>
  <c r="AJ208"/>
  <c r="AT208" s="1"/>
  <c r="AJ207"/>
  <c r="AT207" s="1"/>
  <c r="AJ206"/>
  <c r="AT206" s="1"/>
  <c r="AJ205"/>
  <c r="AT205" s="1"/>
  <c r="AJ204"/>
  <c r="AT204" s="1"/>
  <c r="AJ203"/>
  <c r="AT203" s="1"/>
  <c r="AJ202"/>
  <c r="AT202" s="1"/>
  <c r="AJ201"/>
  <c r="AT201" s="1"/>
  <c r="AJ200"/>
  <c r="AT200" s="1"/>
  <c r="AJ199"/>
  <c r="AT199" s="1"/>
  <c r="AJ198"/>
  <c r="AT198" s="1"/>
  <c r="AJ197"/>
  <c r="AT197" s="1"/>
  <c r="AJ196"/>
  <c r="AT196" s="1"/>
  <c r="AJ195"/>
  <c r="AT195" s="1"/>
  <c r="AJ194"/>
  <c r="AT194" s="1"/>
  <c r="AJ193"/>
  <c r="AT193" s="1"/>
  <c r="AJ192"/>
  <c r="AT192" s="1"/>
  <c r="AJ191"/>
  <c r="AT191" s="1"/>
  <c r="AJ190"/>
  <c r="AT190" s="1"/>
  <c r="AJ189"/>
  <c r="AT189" s="1"/>
  <c r="AJ188"/>
  <c r="AT188" s="1"/>
  <c r="AJ187"/>
  <c r="AT187" s="1"/>
  <c r="AJ186"/>
  <c r="AT186" s="1"/>
  <c r="AJ185"/>
  <c r="AT185" s="1"/>
  <c r="AJ184"/>
  <c r="AT184" s="1"/>
  <c r="AJ183"/>
  <c r="AT183" s="1"/>
  <c r="AJ182"/>
  <c r="AT182" s="1"/>
  <c r="AJ181"/>
  <c r="AT181" s="1"/>
  <c r="AJ179"/>
  <c r="AT179" s="1"/>
  <c r="AJ178"/>
  <c r="AT178" s="1"/>
  <c r="AJ177"/>
  <c r="AT177" s="1"/>
  <c r="AJ176"/>
  <c r="AT176" s="1"/>
  <c r="AJ175"/>
  <c r="AT175" s="1"/>
  <c r="AJ174"/>
  <c r="AT174" s="1"/>
  <c r="AJ173"/>
  <c r="AT173" s="1"/>
  <c r="AJ172"/>
  <c r="AT172" s="1"/>
  <c r="AJ171"/>
  <c r="AT171" s="1"/>
  <c r="AJ170"/>
  <c r="AT170" s="1"/>
  <c r="AJ169"/>
  <c r="AT169" s="1"/>
  <c r="AJ168"/>
  <c r="AT168" s="1"/>
  <c r="AJ167"/>
  <c r="AT167" s="1"/>
  <c r="AJ166"/>
  <c r="AT166" s="1"/>
  <c r="AJ165"/>
  <c r="AT165" s="1"/>
  <c r="AJ164"/>
  <c r="AT164" s="1"/>
  <c r="AJ162"/>
  <c r="AT162" s="1"/>
  <c r="AJ161"/>
  <c r="AT161" s="1"/>
  <c r="AJ160"/>
  <c r="AT160" s="1"/>
  <c r="AJ159"/>
  <c r="AT159" s="1"/>
  <c r="AJ158"/>
  <c r="AT158" s="1"/>
  <c r="AJ157"/>
  <c r="AT157" s="1"/>
  <c r="AJ156"/>
  <c r="AT156" s="1"/>
  <c r="AJ155"/>
  <c r="AT155" s="1"/>
  <c r="AJ154"/>
  <c r="AT154" s="1"/>
  <c r="AJ153"/>
  <c r="AT153" s="1"/>
  <c r="AJ152"/>
  <c r="AT152" s="1"/>
  <c r="AJ151"/>
  <c r="AT151" s="1"/>
  <c r="AJ150"/>
  <c r="AT150" s="1"/>
  <c r="AJ149"/>
  <c r="AT149" s="1"/>
  <c r="AJ148"/>
  <c r="AT148" s="1"/>
  <c r="AJ147"/>
  <c r="AT147" s="1"/>
  <c r="AJ146"/>
  <c r="AT146" s="1"/>
  <c r="AJ145"/>
  <c r="AT145" s="1"/>
  <c r="AJ144"/>
  <c r="AT144" s="1"/>
  <c r="AJ143"/>
  <c r="AT143" s="1"/>
  <c r="AJ142"/>
  <c r="AT142" s="1"/>
  <c r="AJ141"/>
  <c r="AT141" s="1"/>
  <c r="AJ140"/>
  <c r="AT140" s="1"/>
  <c r="AJ139"/>
  <c r="AT139" s="1"/>
  <c r="AJ138"/>
  <c r="AT138" s="1"/>
  <c r="AJ137"/>
  <c r="AT137" s="1"/>
  <c r="AJ136"/>
  <c r="AT136" s="1"/>
  <c r="AJ135"/>
  <c r="AT135" s="1"/>
  <c r="AJ134"/>
  <c r="AT134" s="1"/>
  <c r="AJ133"/>
  <c r="AT133" s="1"/>
  <c r="AJ132"/>
  <c r="AT132" s="1"/>
  <c r="AJ131"/>
  <c r="AT131" s="1"/>
  <c r="AJ130"/>
  <c r="AT130" s="1"/>
  <c r="AJ129"/>
  <c r="AT129" s="1"/>
  <c r="AJ128"/>
  <c r="AT128" s="1"/>
  <c r="AJ127"/>
  <c r="AT127" s="1"/>
  <c r="AJ126"/>
  <c r="AT126" s="1"/>
  <c r="AJ125"/>
  <c r="AT125" s="1"/>
  <c r="AJ124"/>
  <c r="AT124" s="1"/>
  <c r="AJ123"/>
  <c r="AT123" s="1"/>
  <c r="AJ122"/>
  <c r="AT122" s="1"/>
  <c r="AJ121"/>
  <c r="AT121" s="1"/>
  <c r="AJ120"/>
  <c r="AT120" s="1"/>
  <c r="AJ119"/>
  <c r="AT119" s="1"/>
  <c r="AJ118"/>
  <c r="AT118" s="1"/>
  <c r="AJ117"/>
  <c r="AT117" s="1"/>
  <c r="AJ116"/>
  <c r="AT116" s="1"/>
  <c r="AJ115"/>
  <c r="AT115" s="1"/>
  <c r="AJ114"/>
  <c r="AT114" s="1"/>
  <c r="AJ113"/>
  <c r="AT113" s="1"/>
  <c r="AJ112"/>
  <c r="AT112" s="1"/>
  <c r="AJ111"/>
  <c r="AT111" s="1"/>
  <c r="AJ110"/>
  <c r="AT110" s="1"/>
  <c r="AJ109"/>
  <c r="AT109" s="1"/>
  <c r="AJ108"/>
  <c r="AT108" s="1"/>
  <c r="AJ107"/>
  <c r="AT107" s="1"/>
  <c r="AJ106"/>
  <c r="AT106" s="1"/>
  <c r="AJ105"/>
  <c r="AT105" s="1"/>
  <c r="AJ104"/>
  <c r="AT104" s="1"/>
  <c r="AJ103"/>
  <c r="AT103" s="1"/>
  <c r="AJ102"/>
  <c r="AT102" s="1"/>
  <c r="AJ101"/>
  <c r="AT101" s="1"/>
  <c r="AJ100"/>
  <c r="AT100" s="1"/>
  <c r="AJ99"/>
  <c r="AT99" s="1"/>
  <c r="AJ98"/>
  <c r="AT98" s="1"/>
  <c r="AJ97"/>
  <c r="AT97" s="1"/>
  <c r="AJ96"/>
  <c r="AT96" s="1"/>
  <c r="AJ95"/>
  <c r="AT95" s="1"/>
  <c r="AJ94"/>
  <c r="AT94" s="1"/>
  <c r="AJ93"/>
  <c r="AT93" s="1"/>
  <c r="AT92"/>
  <c r="AJ91"/>
  <c r="AT91" s="1"/>
  <c r="AJ89"/>
  <c r="AT89" s="1"/>
  <c r="AJ88"/>
  <c r="AT88" s="1"/>
  <c r="AJ87"/>
  <c r="AT87" s="1"/>
  <c r="AJ86"/>
  <c r="AT86" s="1"/>
  <c r="AJ85"/>
  <c r="AT85" s="1"/>
  <c r="AJ84"/>
  <c r="AT84" s="1"/>
  <c r="AJ83"/>
  <c r="AT83" s="1"/>
  <c r="AJ81"/>
  <c r="AT81" s="1"/>
  <c r="AJ80"/>
  <c r="AT80" s="1"/>
  <c r="AJ79"/>
  <c r="AT79" s="1"/>
  <c r="AJ78"/>
  <c r="AT78" s="1"/>
  <c r="AJ77"/>
  <c r="AT77" s="1"/>
  <c r="AJ76"/>
  <c r="AT76" s="1"/>
  <c r="AJ75"/>
  <c r="AT75" s="1"/>
  <c r="AJ74"/>
  <c r="AT74" s="1"/>
  <c r="AJ73"/>
  <c r="AT73" s="1"/>
  <c r="AJ72"/>
  <c r="AT72" s="1"/>
  <c r="AJ71"/>
  <c r="AT71" s="1"/>
  <c r="AJ70"/>
  <c r="AT70" s="1"/>
  <c r="AJ69"/>
  <c r="AT69" s="1"/>
  <c r="AJ68"/>
  <c r="AT68" s="1"/>
  <c r="AJ67"/>
  <c r="AT67" s="1"/>
  <c r="AJ66"/>
  <c r="AT66" s="1"/>
  <c r="AJ65"/>
  <c r="AT65" s="1"/>
  <c r="AJ64"/>
  <c r="AT64" s="1"/>
  <c r="AJ63"/>
  <c r="AT63" s="1"/>
  <c r="AJ62"/>
  <c r="AT62" s="1"/>
  <c r="AJ61"/>
  <c r="AT61" s="1"/>
  <c r="AJ60"/>
  <c r="AT60" s="1"/>
  <c r="AJ59"/>
  <c r="AT59" s="1"/>
  <c r="AJ58"/>
  <c r="AT58" s="1"/>
  <c r="AJ57"/>
  <c r="AT57" s="1"/>
  <c r="AJ56"/>
  <c r="AT56" s="1"/>
  <c r="AJ55"/>
  <c r="AT55" s="1"/>
  <c r="AJ54"/>
  <c r="AT54" s="1"/>
  <c r="AJ53"/>
  <c r="AT53" s="1"/>
  <c r="AJ52"/>
  <c r="AT52" s="1"/>
  <c r="AJ51"/>
  <c r="AT51" s="1"/>
  <c r="AJ50"/>
  <c r="AT50" s="1"/>
  <c r="AJ49"/>
  <c r="AT49" s="1"/>
  <c r="AJ48"/>
  <c r="AT48" s="1"/>
  <c r="AJ47"/>
  <c r="AT47" s="1"/>
  <c r="AJ46"/>
  <c r="AT46" s="1"/>
  <c r="AJ45"/>
  <c r="AT45" s="1"/>
  <c r="AJ44"/>
  <c r="AT44" s="1"/>
  <c r="AJ43"/>
  <c r="AT43" s="1"/>
  <c r="AJ42"/>
  <c r="AT42" s="1"/>
  <c r="AJ41"/>
  <c r="AT41" s="1"/>
  <c r="AJ40"/>
  <c r="AT40" s="1"/>
  <c r="AJ39"/>
  <c r="AT39" s="1"/>
  <c r="AJ38"/>
  <c r="AT38" s="1"/>
  <c r="AJ37"/>
  <c r="AT37" s="1"/>
  <c r="AJ36"/>
  <c r="AT36" s="1"/>
  <c r="AJ35"/>
  <c r="AT35" s="1"/>
  <c r="AJ34"/>
  <c r="AT34" s="1"/>
  <c r="AJ33"/>
  <c r="AT33" s="1"/>
  <c r="AJ32"/>
  <c r="AT32" s="1"/>
  <c r="AJ31"/>
  <c r="AT31" s="1"/>
  <c r="AJ30"/>
  <c r="AT30" s="1"/>
  <c r="AJ29"/>
  <c r="AT29" s="1"/>
  <c r="AJ28"/>
  <c r="AT28" s="1"/>
  <c r="AJ27"/>
  <c r="AT27" s="1"/>
  <c r="AJ26"/>
  <c r="AT26" s="1"/>
  <c r="AJ25"/>
  <c r="AT25" s="1"/>
  <c r="AJ24"/>
  <c r="AT24" s="1"/>
  <c r="AJ23"/>
  <c r="AT23" s="1"/>
  <c r="AJ22"/>
  <c r="AT22" s="1"/>
  <c r="AJ21"/>
  <c r="AT21" s="1"/>
  <c r="AJ20"/>
  <c r="AT20" s="1"/>
  <c r="AJ19"/>
  <c r="AT19" s="1"/>
  <c r="AJ18"/>
  <c r="AT18" s="1"/>
  <c r="AJ17"/>
  <c r="AT17" s="1"/>
  <c r="AJ16"/>
  <c r="AT16" s="1"/>
  <c r="AJ15"/>
  <c r="AT15" s="1"/>
  <c r="AJ14"/>
  <c r="AT14" s="1"/>
  <c r="K255"/>
  <c r="E255"/>
  <c r="K254"/>
  <c r="E254"/>
  <c r="K253"/>
  <c r="E253"/>
  <c r="K252"/>
  <c r="E252"/>
  <c r="K251"/>
  <c r="E251"/>
  <c r="K250"/>
  <c r="E250"/>
  <c r="K249"/>
  <c r="E249"/>
  <c r="K248"/>
  <c r="E248"/>
  <c r="K247"/>
  <c r="E247"/>
  <c r="K246"/>
  <c r="E246"/>
  <c r="K245"/>
  <c r="E245"/>
  <c r="K244"/>
  <c r="E244"/>
  <c r="K243"/>
  <c r="E243"/>
  <c r="K242"/>
  <c r="E242"/>
  <c r="K241"/>
  <c r="E241"/>
  <c r="K240"/>
  <c r="E240"/>
  <c r="K239"/>
  <c r="E239"/>
  <c r="K238"/>
  <c r="E238"/>
  <c r="K236"/>
  <c r="E236"/>
  <c r="K235"/>
  <c r="E235"/>
  <c r="K234"/>
  <c r="E234"/>
  <c r="K233"/>
  <c r="E233"/>
  <c r="K232"/>
  <c r="E232"/>
  <c r="K231"/>
  <c r="E231"/>
  <c r="K230"/>
  <c r="E230"/>
  <c r="K229"/>
  <c r="E229"/>
  <c r="K228"/>
  <c r="E228"/>
  <c r="K227"/>
  <c r="E227"/>
  <c r="K226"/>
  <c r="E226"/>
  <c r="K225"/>
  <c r="E225"/>
  <c r="K224"/>
  <c r="E224"/>
  <c r="K223"/>
  <c r="E223"/>
  <c r="K222"/>
  <c r="E222"/>
  <c r="K221"/>
  <c r="E221"/>
  <c r="K220"/>
  <c r="E220"/>
  <c r="K219"/>
  <c r="E219"/>
  <c r="K218"/>
  <c r="E218"/>
  <c r="K217"/>
  <c r="E217"/>
  <c r="K216"/>
  <c r="E216"/>
  <c r="K215"/>
  <c r="E215"/>
  <c r="K214"/>
  <c r="E214"/>
  <c r="K213"/>
  <c r="E213"/>
  <c r="K212"/>
  <c r="E212"/>
  <c r="K211"/>
  <c r="E211"/>
  <c r="K210"/>
  <c r="E210"/>
  <c r="K209"/>
  <c r="E209"/>
  <c r="K208"/>
  <c r="E208"/>
  <c r="K207"/>
  <c r="E207"/>
  <c r="K206"/>
  <c r="E206"/>
  <c r="K205"/>
  <c r="E205"/>
  <c r="K204"/>
  <c r="E204"/>
  <c r="K203"/>
  <c r="E203"/>
  <c r="K202"/>
  <c r="E202"/>
  <c r="E201"/>
  <c r="K200"/>
  <c r="E200"/>
  <c r="K199"/>
  <c r="E199"/>
  <c r="E198"/>
  <c r="K197"/>
  <c r="E197"/>
  <c r="K196"/>
  <c r="E196"/>
  <c r="K195"/>
  <c r="E195"/>
  <c r="K194"/>
  <c r="E194"/>
  <c r="K193"/>
  <c r="E193"/>
  <c r="K192"/>
  <c r="K191"/>
  <c r="E191"/>
  <c r="K190"/>
  <c r="E190"/>
  <c r="K189"/>
  <c r="E189"/>
  <c r="K188"/>
  <c r="E188"/>
  <c r="K187"/>
  <c r="E187"/>
  <c r="K186"/>
  <c r="E186"/>
  <c r="K185"/>
  <c r="E185"/>
  <c r="K184"/>
  <c r="E184"/>
  <c r="K183"/>
  <c r="E183"/>
  <c r="K182"/>
  <c r="E182"/>
  <c r="K181"/>
  <c r="E181"/>
  <c r="K179"/>
  <c r="E179"/>
  <c r="K178"/>
  <c r="E178"/>
  <c r="K177"/>
  <c r="E177"/>
  <c r="K176"/>
  <c r="E176"/>
  <c r="K175"/>
  <c r="E175"/>
  <c r="K174"/>
  <c r="E174"/>
  <c r="K173"/>
  <c r="E173"/>
  <c r="K171"/>
  <c r="E171"/>
  <c r="K170"/>
  <c r="E170"/>
  <c r="K169"/>
  <c r="E169"/>
  <c r="K168"/>
  <c r="E168"/>
  <c r="K167"/>
  <c r="E167"/>
  <c r="K166"/>
  <c r="E166"/>
  <c r="E165"/>
  <c r="K164"/>
  <c r="E164"/>
  <c r="K162"/>
  <c r="E162"/>
  <c r="K161"/>
  <c r="E161"/>
  <c r="K160"/>
  <c r="E160"/>
  <c r="K159"/>
  <c r="E159"/>
  <c r="K158"/>
  <c r="E158"/>
  <c r="K157"/>
  <c r="E157"/>
  <c r="K156"/>
  <c r="E156"/>
  <c r="K155"/>
  <c r="E155"/>
  <c r="K154"/>
  <c r="E154"/>
  <c r="E153"/>
  <c r="K152"/>
  <c r="E152"/>
  <c r="K151"/>
  <c r="E151"/>
  <c r="K150"/>
  <c r="E150"/>
  <c r="K149"/>
  <c r="E149"/>
  <c r="K148"/>
  <c r="E148"/>
  <c r="K147"/>
  <c r="E147"/>
  <c r="K146"/>
  <c r="E146"/>
  <c r="K145"/>
  <c r="E145"/>
  <c r="K144"/>
  <c r="E144"/>
  <c r="K143"/>
  <c r="E143"/>
  <c r="K142"/>
  <c r="E142"/>
  <c r="K141"/>
  <c r="E141"/>
  <c r="K140"/>
  <c r="E140"/>
  <c r="K139"/>
  <c r="E139"/>
  <c r="K138"/>
  <c r="E138"/>
  <c r="K137"/>
  <c r="E137"/>
  <c r="K136"/>
  <c r="E136"/>
  <c r="K135"/>
  <c r="E135"/>
  <c r="K134"/>
  <c r="E134"/>
  <c r="K133"/>
  <c r="E133"/>
  <c r="K132"/>
  <c r="E132"/>
  <c r="K131"/>
  <c r="E131"/>
  <c r="E130"/>
  <c r="K129"/>
  <c r="E129"/>
  <c r="K128"/>
  <c r="E128"/>
  <c r="K127"/>
  <c r="E127"/>
  <c r="K126"/>
  <c r="E126"/>
  <c r="K125"/>
  <c r="E125"/>
  <c r="K124"/>
  <c r="E124"/>
  <c r="K123"/>
  <c r="E123"/>
  <c r="K122"/>
  <c r="E122"/>
  <c r="K121"/>
  <c r="E121"/>
  <c r="E120"/>
  <c r="K119"/>
  <c r="E119"/>
  <c r="K118"/>
  <c r="E118"/>
  <c r="K117"/>
  <c r="E117"/>
  <c r="K116"/>
  <c r="E116"/>
  <c r="K115"/>
  <c r="E115"/>
  <c r="K114"/>
  <c r="E114"/>
  <c r="K113"/>
  <c r="E113"/>
  <c r="K112"/>
  <c r="E112"/>
  <c r="K111"/>
  <c r="E111"/>
  <c r="K110"/>
  <c r="E110"/>
  <c r="K109"/>
  <c r="E109"/>
  <c r="K108"/>
  <c r="E108"/>
  <c r="K107"/>
  <c r="E107"/>
  <c r="K106"/>
  <c r="E106"/>
  <c r="K105"/>
  <c r="E105"/>
  <c r="K104"/>
  <c r="E104"/>
  <c r="K103"/>
  <c r="E103"/>
  <c r="K102"/>
  <c r="E102"/>
  <c r="K101"/>
  <c r="E101"/>
  <c r="K100"/>
  <c r="E100"/>
  <c r="K99"/>
  <c r="E99"/>
  <c r="K98"/>
  <c r="E98"/>
  <c r="K97"/>
  <c r="E97"/>
  <c r="K96"/>
  <c r="E96"/>
  <c r="K95"/>
  <c r="E95"/>
  <c r="K94"/>
  <c r="E94"/>
  <c r="K93"/>
  <c r="E93"/>
  <c r="K92"/>
  <c r="E92"/>
  <c r="K91"/>
  <c r="E91"/>
  <c r="K89"/>
  <c r="E89"/>
  <c r="K88"/>
  <c r="E88"/>
  <c r="K87"/>
  <c r="E87"/>
  <c r="K86"/>
  <c r="E86"/>
  <c r="K85"/>
  <c r="E85"/>
  <c r="K84"/>
  <c r="E84"/>
  <c r="K83"/>
  <c r="E83"/>
  <c r="E81"/>
  <c r="K80"/>
  <c r="E80"/>
  <c r="K79"/>
  <c r="E79"/>
  <c r="K78"/>
  <c r="E78"/>
  <c r="K77"/>
  <c r="E77"/>
  <c r="K76"/>
  <c r="E76"/>
  <c r="K75"/>
  <c r="E75"/>
  <c r="K74"/>
  <c r="E74"/>
  <c r="K73"/>
  <c r="E73"/>
  <c r="K72"/>
  <c r="E72"/>
  <c r="K71"/>
  <c r="E71"/>
  <c r="K70"/>
  <c r="E70"/>
  <c r="K69"/>
  <c r="K68"/>
  <c r="E68"/>
  <c r="K67"/>
  <c r="E67"/>
  <c r="K66"/>
  <c r="E66"/>
  <c r="K65"/>
  <c r="E65"/>
  <c r="K64"/>
  <c r="E64"/>
  <c r="K63"/>
  <c r="E63"/>
  <c r="K62"/>
  <c r="E62"/>
  <c r="K61"/>
  <c r="E61"/>
  <c r="K60"/>
  <c r="E60"/>
  <c r="K59"/>
  <c r="E59"/>
  <c r="K58"/>
  <c r="E58"/>
  <c r="K57"/>
  <c r="E57"/>
  <c r="K56"/>
  <c r="E56"/>
  <c r="K55"/>
  <c r="E55"/>
  <c r="K54"/>
  <c r="E54"/>
  <c r="E53"/>
  <c r="K52"/>
  <c r="E52"/>
  <c r="K51"/>
  <c r="E51"/>
  <c r="K50"/>
  <c r="E50"/>
  <c r="K49"/>
  <c r="E49"/>
  <c r="K48"/>
  <c r="K47"/>
  <c r="E47"/>
  <c r="K46"/>
  <c r="E46"/>
  <c r="K45"/>
  <c r="E45"/>
  <c r="K44"/>
  <c r="E44"/>
  <c r="K43"/>
  <c r="E43"/>
  <c r="K42"/>
  <c r="E42"/>
  <c r="K41"/>
  <c r="E41"/>
  <c r="K40"/>
  <c r="E40"/>
  <c r="K39"/>
  <c r="E39"/>
  <c r="K38"/>
  <c r="E38"/>
  <c r="K37"/>
  <c r="E37"/>
  <c r="K36"/>
  <c r="E36"/>
  <c r="K35"/>
  <c r="E35"/>
  <c r="K34"/>
  <c r="E34"/>
  <c r="K33"/>
  <c r="E33"/>
  <c r="K32"/>
  <c r="E32"/>
  <c r="K31"/>
  <c r="E31"/>
  <c r="K30"/>
  <c r="E30"/>
  <c r="K29"/>
  <c r="E29"/>
  <c r="E28"/>
  <c r="K27"/>
  <c r="E27"/>
  <c r="K26"/>
  <c r="E26"/>
  <c r="K25"/>
  <c r="E25"/>
  <c r="K24"/>
  <c r="E24"/>
  <c r="K23"/>
  <c r="E23"/>
  <c r="K22"/>
  <c r="E22"/>
  <c r="K21"/>
  <c r="E21"/>
  <c r="K20"/>
  <c r="E20"/>
  <c r="K19"/>
  <c r="E19"/>
  <c r="K18"/>
  <c r="E18"/>
  <c r="K17"/>
  <c r="E17"/>
  <c r="K16"/>
  <c r="E16"/>
  <c r="K15"/>
  <c r="E15"/>
  <c r="K14"/>
  <c r="E14"/>
  <c r="E12"/>
  <c r="AH195" i="5"/>
  <c r="AH133"/>
  <c r="AH70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2"/>
  <c r="AH141"/>
  <c r="AH140"/>
  <c r="AH139"/>
  <c r="AH138"/>
  <c r="AH137"/>
  <c r="AH136"/>
  <c r="AH134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3"/>
  <c r="AH82"/>
  <c r="AH81"/>
  <c r="AH80"/>
  <c r="AH79"/>
  <c r="AH78"/>
  <c r="AH77"/>
  <c r="AH76"/>
  <c r="AH75"/>
  <c r="AH74"/>
  <c r="AH73"/>
  <c r="AH71"/>
  <c r="AH69"/>
  <c r="AH68"/>
  <c r="AH67"/>
  <c r="AH66"/>
  <c r="AH65"/>
  <c r="AH64"/>
  <c r="AH63"/>
  <c r="AH62"/>
  <c r="AH61"/>
  <c r="AH60"/>
  <c r="AH59"/>
  <c r="AH58"/>
  <c r="AH57"/>
  <c r="AH56"/>
  <c r="AH55"/>
  <c r="AH53"/>
  <c r="AH52"/>
  <c r="AH51"/>
  <c r="AH50"/>
  <c r="AH49"/>
  <c r="AH48"/>
  <c r="AH47"/>
  <c r="AH46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S196" i="4"/>
  <c r="S131"/>
  <c r="S70"/>
  <c r="S10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3"/>
  <c r="S132"/>
  <c r="S130"/>
  <c r="S129"/>
  <c r="S128"/>
  <c r="S127"/>
  <c r="S126"/>
  <c r="S125"/>
  <c r="S124"/>
  <c r="S123"/>
  <c r="S122"/>
  <c r="S121"/>
  <c r="S120"/>
  <c r="S119"/>
  <c r="S118"/>
  <c r="S117"/>
  <c r="S116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69"/>
  <c r="S68"/>
  <c r="S67"/>
  <c r="S66"/>
  <c r="S65"/>
  <c r="S64"/>
  <c r="S63"/>
  <c r="S62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4"/>
  <c r="S13"/>
  <c r="S12"/>
  <c r="AC196" i="2"/>
  <c r="AC131"/>
  <c r="AC70"/>
  <c r="AC69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30"/>
  <c r="AC129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195"/>
  <c r="AC194"/>
  <c r="AC193"/>
  <c r="AC192"/>
  <c r="AC191"/>
  <c r="AC190"/>
  <c r="AC189"/>
  <c r="AC188"/>
  <c r="AC187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255"/>
  <c r="AC254"/>
  <c r="AC253"/>
  <c r="AC252"/>
  <c r="AC251"/>
  <c r="AC250"/>
  <c r="AC249"/>
  <c r="AC248"/>
  <c r="AC247"/>
  <c r="AC246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9"/>
  <c r="AC198"/>
  <c r="AC197"/>
  <c r="S256" i="1"/>
  <c r="S255"/>
  <c r="S254"/>
  <c r="S253"/>
  <c r="S252"/>
  <c r="S251"/>
  <c r="S250"/>
  <c r="S249"/>
  <c r="S248"/>
  <c r="S247"/>
  <c r="S246"/>
  <c r="S245"/>
  <c r="S244"/>
  <c r="S243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5"/>
  <c r="S64"/>
  <c r="S63"/>
  <c r="S62"/>
  <c r="S61"/>
  <c r="S60"/>
  <c r="S59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66"/>
  <c r="S242"/>
  <c r="S184"/>
  <c r="S126"/>
  <c r="S67"/>
  <c r="S69" i="3"/>
  <c r="S68"/>
  <c r="S67"/>
  <c r="S66"/>
  <c r="S65"/>
  <c r="S64"/>
  <c r="S63"/>
  <c r="S62"/>
  <c r="S61"/>
  <c r="S59"/>
  <c r="S58"/>
  <c r="S57"/>
  <c r="S56"/>
  <c r="S55"/>
  <c r="S54"/>
  <c r="AR54" i="5" s="1"/>
  <c r="S53" i="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30"/>
  <c r="S129"/>
  <c r="S128"/>
  <c r="S127"/>
  <c r="S126"/>
  <c r="U126" s="1"/>
  <c r="S125"/>
  <c r="S124"/>
  <c r="S123"/>
  <c r="S122"/>
  <c r="S121"/>
  <c r="S120"/>
  <c r="S119"/>
  <c r="S118"/>
  <c r="S117"/>
  <c r="S116"/>
  <c r="S115"/>
  <c r="S114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39"/>
  <c r="S138"/>
  <c r="S137"/>
  <c r="S136"/>
  <c r="S135"/>
  <c r="S134"/>
  <c r="S133"/>
  <c r="S132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31"/>
  <c r="S70"/>
  <c r="S10"/>
  <c r="W197" i="8"/>
  <c r="W134"/>
  <c r="W71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3"/>
  <c r="W132"/>
  <c r="W131"/>
  <c r="W130"/>
  <c r="W129"/>
  <c r="W128"/>
  <c r="W127"/>
  <c r="W126"/>
  <c r="W125"/>
  <c r="W124"/>
  <c r="W123"/>
  <c r="W122"/>
  <c r="W121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0"/>
  <c r="W69"/>
  <c r="W68"/>
  <c r="W67"/>
  <c r="W66"/>
  <c r="W65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AC68" i="9"/>
  <c r="AA68"/>
  <c r="AC67"/>
  <c r="AA67"/>
  <c r="AC66"/>
  <c r="AA66"/>
  <c r="AC65"/>
  <c r="AA65"/>
  <c r="AC64"/>
  <c r="AA64"/>
  <c r="AC63"/>
  <c r="AA63"/>
  <c r="AC62"/>
  <c r="AA62"/>
  <c r="AC61"/>
  <c r="AA61"/>
  <c r="AC60"/>
  <c r="AA60"/>
  <c r="AC59"/>
  <c r="AA59"/>
  <c r="AC58"/>
  <c r="AA58"/>
  <c r="AC57"/>
  <c r="AA57"/>
  <c r="AC56"/>
  <c r="AA56"/>
  <c r="AC55"/>
  <c r="AA55"/>
  <c r="AC54"/>
  <c r="AA54"/>
  <c r="AC53"/>
  <c r="AA53"/>
  <c r="AC52"/>
  <c r="AA52"/>
  <c r="AC51"/>
  <c r="AA51"/>
  <c r="AC50"/>
  <c r="AA50"/>
  <c r="AC49"/>
  <c r="AA49"/>
  <c r="AC48"/>
  <c r="AA48"/>
  <c r="AC47"/>
  <c r="AA47"/>
  <c r="AC46"/>
  <c r="AA46"/>
  <c r="AC45"/>
  <c r="AA45"/>
  <c r="AC44"/>
  <c r="AA44"/>
  <c r="AC43"/>
  <c r="AA43"/>
  <c r="AC42"/>
  <c r="AA42"/>
  <c r="AC41"/>
  <c r="AA41"/>
  <c r="AC40"/>
  <c r="AA40"/>
  <c r="AC39"/>
  <c r="AA39"/>
  <c r="AC38"/>
  <c r="AA38"/>
  <c r="AC37"/>
  <c r="AA37"/>
  <c r="AC36"/>
  <c r="AA36"/>
  <c r="AC35"/>
  <c r="AA35"/>
  <c r="AC34"/>
  <c r="AA34"/>
  <c r="AC33"/>
  <c r="AA33"/>
  <c r="AC32"/>
  <c r="AA32"/>
  <c r="AC31"/>
  <c r="AA31"/>
  <c r="AC30"/>
  <c r="AA30"/>
  <c r="AC29"/>
  <c r="AA29"/>
  <c r="AC28"/>
  <c r="AA28"/>
  <c r="AC27"/>
  <c r="AA27"/>
  <c r="AC26"/>
  <c r="AA26"/>
  <c r="AC25"/>
  <c r="AA25"/>
  <c r="AC24"/>
  <c r="AA24"/>
  <c r="AC23"/>
  <c r="AA23"/>
  <c r="AC22"/>
  <c r="AA22"/>
  <c r="AC21"/>
  <c r="AA21"/>
  <c r="AC20"/>
  <c r="AA20"/>
  <c r="AC19"/>
  <c r="AA19"/>
  <c r="AC18"/>
  <c r="AA18"/>
  <c r="AC17"/>
  <c r="AA17"/>
  <c r="AC16"/>
  <c r="AA16"/>
  <c r="AC15"/>
  <c r="AA15"/>
  <c r="AC14"/>
  <c r="AA14"/>
  <c r="AC13"/>
  <c r="AA13"/>
  <c r="AC11"/>
  <c r="AA11"/>
  <c r="AC129"/>
  <c r="AA129"/>
  <c r="AC128"/>
  <c r="AA128"/>
  <c r="AC127"/>
  <c r="AA127"/>
  <c r="AC126"/>
  <c r="AA126"/>
  <c r="AC125"/>
  <c r="AA125"/>
  <c r="AC124"/>
  <c r="AA124"/>
  <c r="AC123"/>
  <c r="AA123"/>
  <c r="AC122"/>
  <c r="AA122"/>
  <c r="AC121"/>
  <c r="AA121"/>
  <c r="AC120"/>
  <c r="AA120"/>
  <c r="AC119"/>
  <c r="AA119"/>
  <c r="AC118"/>
  <c r="AA118"/>
  <c r="AC117"/>
  <c r="AA117"/>
  <c r="AC116"/>
  <c r="AA116"/>
  <c r="AC115"/>
  <c r="AA115"/>
  <c r="AC114"/>
  <c r="AA114"/>
  <c r="AC113"/>
  <c r="AA113"/>
  <c r="AC112"/>
  <c r="AA112"/>
  <c r="AC111"/>
  <c r="AA111"/>
  <c r="AC110"/>
  <c r="AA110"/>
  <c r="AC109"/>
  <c r="AA109"/>
  <c r="AC108"/>
  <c r="AA108"/>
  <c r="AC107"/>
  <c r="AA107"/>
  <c r="AC106"/>
  <c r="AA106"/>
  <c r="AC105"/>
  <c r="AA105"/>
  <c r="AC104"/>
  <c r="AA104"/>
  <c r="AC103"/>
  <c r="AA103"/>
  <c r="AC102"/>
  <c r="AA102"/>
  <c r="AC101"/>
  <c r="AA101"/>
  <c r="AC100"/>
  <c r="AA100"/>
  <c r="AC99"/>
  <c r="AA99"/>
  <c r="AC98"/>
  <c r="AA98"/>
  <c r="AC97"/>
  <c r="AA97"/>
  <c r="AC96"/>
  <c r="AA96"/>
  <c r="AC95"/>
  <c r="AA95"/>
  <c r="AC94"/>
  <c r="AA94"/>
  <c r="AC93"/>
  <c r="AA93"/>
  <c r="AC92"/>
  <c r="AA92"/>
  <c r="AC91"/>
  <c r="AA91"/>
  <c r="AC90"/>
  <c r="AA90"/>
  <c r="AC89"/>
  <c r="AA89"/>
  <c r="AC88"/>
  <c r="AA88"/>
  <c r="AC87"/>
  <c r="AA87"/>
  <c r="AC86"/>
  <c r="AA86"/>
  <c r="AC85"/>
  <c r="AA85"/>
  <c r="AC84"/>
  <c r="AA84"/>
  <c r="AC83"/>
  <c r="AA83"/>
  <c r="AC82"/>
  <c r="AA82"/>
  <c r="AC81"/>
  <c r="AA81"/>
  <c r="AC80"/>
  <c r="AA80"/>
  <c r="AC79"/>
  <c r="AA79"/>
  <c r="AC78"/>
  <c r="AA78"/>
  <c r="AC77"/>
  <c r="AA77"/>
  <c r="AC76"/>
  <c r="AA76"/>
  <c r="AC75"/>
  <c r="AA75"/>
  <c r="AC74"/>
  <c r="AA74"/>
  <c r="AC73"/>
  <c r="AA73"/>
  <c r="AC71"/>
  <c r="AA71"/>
  <c r="AC70"/>
  <c r="AA70"/>
  <c r="AC194"/>
  <c r="AA194"/>
  <c r="AC193"/>
  <c r="AA193"/>
  <c r="AC192"/>
  <c r="AA192"/>
  <c r="AC191"/>
  <c r="AA191"/>
  <c r="AC190"/>
  <c r="AA190"/>
  <c r="AC189"/>
  <c r="AA189"/>
  <c r="AC188"/>
  <c r="AA188"/>
  <c r="AC187"/>
  <c r="AA187"/>
  <c r="AC186"/>
  <c r="AA186"/>
  <c r="AC185"/>
  <c r="AA185"/>
  <c r="AC184"/>
  <c r="AA184"/>
  <c r="AC183"/>
  <c r="AA183"/>
  <c r="AC182"/>
  <c r="AA182"/>
  <c r="AC181"/>
  <c r="AA181"/>
  <c r="AC180"/>
  <c r="AA180"/>
  <c r="AC179"/>
  <c r="AA179"/>
  <c r="AC178"/>
  <c r="AA178"/>
  <c r="AC177"/>
  <c r="AA177"/>
  <c r="AC176"/>
  <c r="AA176"/>
  <c r="AC175"/>
  <c r="AA175"/>
  <c r="AC174"/>
  <c r="AA174"/>
  <c r="AC173"/>
  <c r="AA173"/>
  <c r="AC172"/>
  <c r="AA172"/>
  <c r="AC171"/>
  <c r="AA171"/>
  <c r="AC170"/>
  <c r="AA170"/>
  <c r="AC169"/>
  <c r="AA169"/>
  <c r="AC168"/>
  <c r="AA168"/>
  <c r="AC167"/>
  <c r="AA167"/>
  <c r="AC166"/>
  <c r="AA166"/>
  <c r="AC165"/>
  <c r="AA165"/>
  <c r="AC164"/>
  <c r="AA164"/>
  <c r="AC163"/>
  <c r="AA163"/>
  <c r="AC162"/>
  <c r="AA162"/>
  <c r="AC161"/>
  <c r="AA161"/>
  <c r="AC160"/>
  <c r="AA160"/>
  <c r="AC159"/>
  <c r="AA159"/>
  <c r="AC158"/>
  <c r="AA158"/>
  <c r="AC157"/>
  <c r="AA157"/>
  <c r="AC156"/>
  <c r="AA156"/>
  <c r="AC155"/>
  <c r="AA155"/>
  <c r="AC154"/>
  <c r="AA154"/>
  <c r="AC153"/>
  <c r="AA153"/>
  <c r="AC152"/>
  <c r="AA152"/>
  <c r="AC151"/>
  <c r="AA151"/>
  <c r="AC150"/>
  <c r="AA150"/>
  <c r="AC149"/>
  <c r="AA149"/>
  <c r="AC148"/>
  <c r="AA148"/>
  <c r="AC147"/>
  <c r="AA147"/>
  <c r="AC146"/>
  <c r="AA146"/>
  <c r="AC145"/>
  <c r="AA145"/>
  <c r="AC144"/>
  <c r="AA144"/>
  <c r="AC143"/>
  <c r="AA143"/>
  <c r="AC142"/>
  <c r="AA142"/>
  <c r="AC141"/>
  <c r="AA141"/>
  <c r="AC140"/>
  <c r="AA140"/>
  <c r="AC139"/>
  <c r="AA139"/>
  <c r="AC138"/>
  <c r="AA138"/>
  <c r="AC137"/>
  <c r="AA137"/>
  <c r="AC136"/>
  <c r="AA136"/>
  <c r="AC134"/>
  <c r="AA134"/>
  <c r="AC133"/>
  <c r="AA133"/>
  <c r="AC132"/>
  <c r="AA132"/>
  <c r="AC131"/>
  <c r="AA131"/>
  <c r="AC255"/>
  <c r="AA255"/>
  <c r="AC254"/>
  <c r="AA254"/>
  <c r="AC253"/>
  <c r="AA253"/>
  <c r="AC252"/>
  <c r="AA252"/>
  <c r="AC251"/>
  <c r="AA251"/>
  <c r="AC250"/>
  <c r="AA250"/>
  <c r="AC249"/>
  <c r="AA249"/>
  <c r="AC248"/>
  <c r="AA248"/>
  <c r="AC247"/>
  <c r="AA247"/>
  <c r="AC246"/>
  <c r="AA246"/>
  <c r="AC245"/>
  <c r="AA245"/>
  <c r="AC244"/>
  <c r="AA244"/>
  <c r="AC243"/>
  <c r="AA243"/>
  <c r="AC242"/>
  <c r="AA242"/>
  <c r="AC241"/>
  <c r="AA241"/>
  <c r="AC240"/>
  <c r="AA240"/>
  <c r="AC239"/>
  <c r="AA239"/>
  <c r="AC238"/>
  <c r="AA238"/>
  <c r="AC237"/>
  <c r="AA237"/>
  <c r="AC236"/>
  <c r="AA236"/>
  <c r="AC235"/>
  <c r="AA235"/>
  <c r="AC234"/>
  <c r="AA234"/>
  <c r="AC233"/>
  <c r="AA233"/>
  <c r="AC232"/>
  <c r="AA232"/>
  <c r="AC231"/>
  <c r="AA231"/>
  <c r="AC230"/>
  <c r="AA230"/>
  <c r="AC229"/>
  <c r="AA229"/>
  <c r="AC228"/>
  <c r="AA228"/>
  <c r="AE232" s="1"/>
  <c r="AC227"/>
  <c r="AA227"/>
  <c r="AC226"/>
  <c r="AA226"/>
  <c r="AC225"/>
  <c r="AA225"/>
  <c r="AC224"/>
  <c r="AA224"/>
  <c r="AC223"/>
  <c r="AA223"/>
  <c r="AC222"/>
  <c r="AA222"/>
  <c r="AC221"/>
  <c r="AA221"/>
  <c r="AC220"/>
  <c r="AA220"/>
  <c r="AC219"/>
  <c r="AA219"/>
  <c r="AC218"/>
  <c r="AA218"/>
  <c r="AC217"/>
  <c r="AA217"/>
  <c r="AC216"/>
  <c r="AA216"/>
  <c r="AC215"/>
  <c r="AA215"/>
  <c r="AC214"/>
  <c r="AA214"/>
  <c r="AC213"/>
  <c r="AA213"/>
  <c r="AC212"/>
  <c r="AA212"/>
  <c r="AC211"/>
  <c r="AA211"/>
  <c r="AC210"/>
  <c r="AA210"/>
  <c r="AC209"/>
  <c r="AA209"/>
  <c r="AC208"/>
  <c r="AA208"/>
  <c r="AC207"/>
  <c r="AA207"/>
  <c r="AC206"/>
  <c r="AA206"/>
  <c r="AC205"/>
  <c r="AA205"/>
  <c r="AC204"/>
  <c r="AA204"/>
  <c r="AC203"/>
  <c r="AA203"/>
  <c r="AC202"/>
  <c r="AA202"/>
  <c r="AC201"/>
  <c r="AA201"/>
  <c r="AC200"/>
  <c r="AA200"/>
  <c r="AC199"/>
  <c r="AA199"/>
  <c r="AC198"/>
  <c r="AA198"/>
  <c r="Y196" i="10"/>
  <c r="M196"/>
  <c r="E196"/>
  <c r="Y132"/>
  <c r="M132"/>
  <c r="E132"/>
  <c r="Y70"/>
  <c r="M70"/>
  <c r="E70"/>
  <c r="Y256"/>
  <c r="M256"/>
  <c r="Y255"/>
  <c r="M255"/>
  <c r="E255"/>
  <c r="Y254"/>
  <c r="M254"/>
  <c r="E254"/>
  <c r="Y253"/>
  <c r="M253"/>
  <c r="E253"/>
  <c r="Y252"/>
  <c r="M252"/>
  <c r="E252"/>
  <c r="Y251"/>
  <c r="M251"/>
  <c r="E251"/>
  <c r="Y250"/>
  <c r="M250"/>
  <c r="E250"/>
  <c r="Y249"/>
  <c r="M249"/>
  <c r="E249"/>
  <c r="Y248"/>
  <c r="M248"/>
  <c r="E248"/>
  <c r="Y247"/>
  <c r="M247"/>
  <c r="E247"/>
  <c r="Y246"/>
  <c r="M246"/>
  <c r="E246"/>
  <c r="Y245"/>
  <c r="M245"/>
  <c r="E245"/>
  <c r="Y244"/>
  <c r="M244"/>
  <c r="E244"/>
  <c r="Y243"/>
  <c r="M243"/>
  <c r="E243"/>
  <c r="Y242"/>
  <c r="M242"/>
  <c r="E242"/>
  <c r="Y241"/>
  <c r="M241"/>
  <c r="E241"/>
  <c r="Y240"/>
  <c r="M240"/>
  <c r="E240"/>
  <c r="Y239"/>
  <c r="M239"/>
  <c r="E239"/>
  <c r="Y238"/>
  <c r="M238"/>
  <c r="E238"/>
  <c r="Y237"/>
  <c r="M237"/>
  <c r="E237"/>
  <c r="Y236"/>
  <c r="M236"/>
  <c r="E236"/>
  <c r="Y235"/>
  <c r="M235"/>
  <c r="E235"/>
  <c r="Y234"/>
  <c r="M234"/>
  <c r="E234"/>
  <c r="Y233"/>
  <c r="M233"/>
  <c r="E233"/>
  <c r="Y232"/>
  <c r="M232"/>
  <c r="E232"/>
  <c r="Y231"/>
  <c r="M231"/>
  <c r="E231"/>
  <c r="Y230"/>
  <c r="M230"/>
  <c r="E230"/>
  <c r="Y229"/>
  <c r="M229"/>
  <c r="E229"/>
  <c r="Y227"/>
  <c r="M227"/>
  <c r="E227"/>
  <c r="Y226"/>
  <c r="M226"/>
  <c r="Y225"/>
  <c r="M225"/>
  <c r="E225"/>
  <c r="Y224"/>
  <c r="M224"/>
  <c r="E224"/>
  <c r="Y223"/>
  <c r="M223"/>
  <c r="E223"/>
  <c r="Y222"/>
  <c r="M222"/>
  <c r="E222"/>
  <c r="Y221"/>
  <c r="M221"/>
  <c r="E221"/>
  <c r="Y220"/>
  <c r="M220"/>
  <c r="E220"/>
  <c r="Y219"/>
  <c r="M219"/>
  <c r="E219"/>
  <c r="Y218"/>
  <c r="M218"/>
  <c r="E218"/>
  <c r="Y217"/>
  <c r="M217"/>
  <c r="E217"/>
  <c r="Y216"/>
  <c r="M216"/>
  <c r="E216"/>
  <c r="Y215"/>
  <c r="M215"/>
  <c r="E215"/>
  <c r="Y214"/>
  <c r="M214"/>
  <c r="E214"/>
  <c r="Y213"/>
  <c r="M213"/>
  <c r="Y212"/>
  <c r="M212"/>
  <c r="Y211"/>
  <c r="M211"/>
  <c r="E211"/>
  <c r="Y210"/>
  <c r="M210"/>
  <c r="E210"/>
  <c r="Y209"/>
  <c r="M209"/>
  <c r="E209"/>
  <c r="Y208"/>
  <c r="M208"/>
  <c r="E208"/>
  <c r="Y207"/>
  <c r="M207"/>
  <c r="E207"/>
  <c r="Y206"/>
  <c r="M206"/>
  <c r="E206"/>
  <c r="Y205"/>
  <c r="M205"/>
  <c r="E205"/>
  <c r="Y204"/>
  <c r="M204"/>
  <c r="E204"/>
  <c r="Y203"/>
  <c r="M203"/>
  <c r="E203"/>
  <c r="Y202"/>
  <c r="M202"/>
  <c r="E202"/>
  <c r="Y201"/>
  <c r="M201"/>
  <c r="E201"/>
  <c r="Y200"/>
  <c r="E200"/>
  <c r="Y199"/>
  <c r="M199"/>
  <c r="E199"/>
  <c r="Y198"/>
  <c r="M198"/>
  <c r="E198"/>
  <c r="Y197"/>
  <c r="M197"/>
  <c r="E197"/>
  <c r="Y195"/>
  <c r="M195"/>
  <c r="E195"/>
  <c r="Y194"/>
  <c r="M194"/>
  <c r="E194"/>
  <c r="Y193"/>
  <c r="M193"/>
  <c r="E193"/>
  <c r="Y192"/>
  <c r="M192"/>
  <c r="E192"/>
  <c r="Y191"/>
  <c r="M191"/>
  <c r="E191"/>
  <c r="Y190"/>
  <c r="M190"/>
  <c r="E190"/>
  <c r="Y189"/>
  <c r="M189"/>
  <c r="E189"/>
  <c r="Y188"/>
  <c r="M188"/>
  <c r="E188"/>
  <c r="Y187"/>
  <c r="M187"/>
  <c r="E187"/>
  <c r="Y186"/>
  <c r="M186"/>
  <c r="E186"/>
  <c r="Y185"/>
  <c r="M185"/>
  <c r="E185"/>
  <c r="Y184"/>
  <c r="M184"/>
  <c r="E184"/>
  <c r="Y183"/>
  <c r="M183"/>
  <c r="E183"/>
  <c r="Y182"/>
  <c r="M182"/>
  <c r="E182"/>
  <c r="Y181"/>
  <c r="M181"/>
  <c r="E181"/>
  <c r="Y180"/>
  <c r="M180"/>
  <c r="E180"/>
  <c r="Y179"/>
  <c r="M179"/>
  <c r="E179"/>
  <c r="Y178"/>
  <c r="M178"/>
  <c r="E178"/>
  <c r="Y177"/>
  <c r="M177"/>
  <c r="E177"/>
  <c r="Y176"/>
  <c r="M176"/>
  <c r="E176"/>
  <c r="Y175"/>
  <c r="M175"/>
  <c r="E175"/>
  <c r="Y174"/>
  <c r="M174"/>
  <c r="E174"/>
  <c r="Y172"/>
  <c r="M172"/>
  <c r="E172"/>
  <c r="Y171"/>
  <c r="M171"/>
  <c r="E171"/>
  <c r="Y170"/>
  <c r="M170"/>
  <c r="E170"/>
  <c r="Y169"/>
  <c r="M169"/>
  <c r="E169"/>
  <c r="Y168"/>
  <c r="M168"/>
  <c r="E168"/>
  <c r="Y167"/>
  <c r="E167"/>
  <c r="Y166"/>
  <c r="M166"/>
  <c r="E166"/>
  <c r="Y165"/>
  <c r="M165"/>
  <c r="E165"/>
  <c r="Y164"/>
  <c r="M164"/>
  <c r="Y163"/>
  <c r="M163"/>
  <c r="E163"/>
  <c r="Y162"/>
  <c r="M162"/>
  <c r="E162"/>
  <c r="Y161"/>
  <c r="M161"/>
  <c r="E161"/>
  <c r="Y160"/>
  <c r="M160"/>
  <c r="E160"/>
  <c r="Y159"/>
  <c r="M159"/>
  <c r="E159"/>
  <c r="Y158"/>
  <c r="M158"/>
  <c r="E158"/>
  <c r="Y157"/>
  <c r="AB157" s="1"/>
  <c r="M157"/>
  <c r="E157"/>
  <c r="Y156"/>
  <c r="M156"/>
  <c r="E156"/>
  <c r="Y155"/>
  <c r="M155"/>
  <c r="Y154"/>
  <c r="M154"/>
  <c r="E154"/>
  <c r="Y153"/>
  <c r="M153"/>
  <c r="E153"/>
  <c r="Y152"/>
  <c r="M152"/>
  <c r="E152"/>
  <c r="Y151"/>
  <c r="M151"/>
  <c r="E151"/>
  <c r="Y150"/>
  <c r="M150"/>
  <c r="E150"/>
  <c r="Y149"/>
  <c r="M149"/>
  <c r="E149"/>
  <c r="Y148"/>
  <c r="M148"/>
  <c r="E148"/>
  <c r="Y147"/>
  <c r="M147"/>
  <c r="E147"/>
  <c r="Y146"/>
  <c r="M146"/>
  <c r="E146"/>
  <c r="Y145"/>
  <c r="M145"/>
  <c r="Y144"/>
  <c r="M144"/>
  <c r="E144"/>
  <c r="Y143"/>
  <c r="M143"/>
  <c r="E143"/>
  <c r="Y142"/>
  <c r="M142"/>
  <c r="E142"/>
  <c r="Y141"/>
  <c r="M141"/>
  <c r="Y140"/>
  <c r="M140"/>
  <c r="E140"/>
  <c r="Y139"/>
  <c r="M139"/>
  <c r="E139"/>
  <c r="Y138"/>
  <c r="M138"/>
  <c r="E138"/>
  <c r="Y137"/>
  <c r="M137"/>
  <c r="E137"/>
  <c r="Y136"/>
  <c r="M136"/>
  <c r="E136"/>
  <c r="Y135"/>
  <c r="M135"/>
  <c r="E135"/>
  <c r="Y134"/>
  <c r="M134"/>
  <c r="E134"/>
  <c r="Y133"/>
  <c r="M133"/>
  <c r="Y131"/>
  <c r="Y130"/>
  <c r="M130"/>
  <c r="E130"/>
  <c r="Y129"/>
  <c r="M129"/>
  <c r="E129"/>
  <c r="Y128"/>
  <c r="M128"/>
  <c r="E128"/>
  <c r="Y127"/>
  <c r="M127"/>
  <c r="E127"/>
  <c r="Y126"/>
  <c r="M126"/>
  <c r="E126"/>
  <c r="Y125"/>
  <c r="M125"/>
  <c r="E125"/>
  <c r="Y124"/>
  <c r="M124"/>
  <c r="E124"/>
  <c r="Y123"/>
  <c r="M123"/>
  <c r="E123"/>
  <c r="Y122"/>
  <c r="M122"/>
  <c r="Y121"/>
  <c r="M121"/>
  <c r="Y119"/>
  <c r="M119"/>
  <c r="E119"/>
  <c r="Y118"/>
  <c r="M118"/>
  <c r="E118"/>
  <c r="Y117"/>
  <c r="M117"/>
  <c r="E117"/>
  <c r="Y116"/>
  <c r="M116"/>
  <c r="E116"/>
  <c r="Y115"/>
  <c r="M115"/>
  <c r="E115"/>
  <c r="Y114"/>
  <c r="M114"/>
  <c r="E114"/>
  <c r="Y113"/>
  <c r="M113"/>
  <c r="E113"/>
  <c r="Y112"/>
  <c r="M112"/>
  <c r="E112"/>
  <c r="Y111"/>
  <c r="M111"/>
  <c r="E111"/>
  <c r="Y110"/>
  <c r="M110"/>
  <c r="E110"/>
  <c r="Y109"/>
  <c r="M109"/>
  <c r="E109"/>
  <c r="Y108"/>
  <c r="M108"/>
  <c r="E108"/>
  <c r="Y107"/>
  <c r="M107"/>
  <c r="E107"/>
  <c r="Y106"/>
  <c r="M106"/>
  <c r="E106"/>
  <c r="Y105"/>
  <c r="M105"/>
  <c r="E105"/>
  <c r="Y104"/>
  <c r="M104"/>
  <c r="E104"/>
  <c r="Y103"/>
  <c r="M103"/>
  <c r="E103"/>
  <c r="Y102"/>
  <c r="M102"/>
  <c r="E102"/>
  <c r="Y101"/>
  <c r="M101"/>
  <c r="E101"/>
  <c r="Y100"/>
  <c r="M100"/>
  <c r="E100"/>
  <c r="Y99"/>
  <c r="M99"/>
  <c r="E99"/>
  <c r="Y98"/>
  <c r="M98"/>
  <c r="E98"/>
  <c r="Y97"/>
  <c r="M97"/>
  <c r="E97"/>
  <c r="Y96"/>
  <c r="M96"/>
  <c r="E96"/>
  <c r="Y95"/>
  <c r="E95"/>
  <c r="Y94"/>
  <c r="M94"/>
  <c r="E94"/>
  <c r="Y93"/>
  <c r="M93"/>
  <c r="E93"/>
  <c r="Y92"/>
  <c r="M92"/>
  <c r="E92"/>
  <c r="Y91"/>
  <c r="M91"/>
  <c r="E91"/>
  <c r="Y90"/>
  <c r="M90"/>
  <c r="E90"/>
  <c r="Y89"/>
  <c r="M89"/>
  <c r="E89"/>
  <c r="Y88"/>
  <c r="M88"/>
  <c r="E88"/>
  <c r="Y87"/>
  <c r="M87"/>
  <c r="Y86"/>
  <c r="M86"/>
  <c r="E86"/>
  <c r="Y85"/>
  <c r="M85"/>
  <c r="E85"/>
  <c r="Y84"/>
  <c r="M84"/>
  <c r="E84"/>
  <c r="Y83"/>
  <c r="M83"/>
  <c r="E83"/>
  <c r="Y82"/>
  <c r="M82"/>
  <c r="E82"/>
  <c r="Y81"/>
  <c r="M81"/>
  <c r="E81"/>
  <c r="Y80"/>
  <c r="M80"/>
  <c r="E80"/>
  <c r="Y79"/>
  <c r="M79"/>
  <c r="E79"/>
  <c r="Y78"/>
  <c r="M78"/>
  <c r="E78"/>
  <c r="Y77"/>
  <c r="M77"/>
  <c r="E77"/>
  <c r="Y76"/>
  <c r="M76"/>
  <c r="E76"/>
  <c r="Y75"/>
  <c r="M75"/>
  <c r="E75"/>
  <c r="Y74"/>
  <c r="M74"/>
  <c r="E74"/>
  <c r="Y73"/>
  <c r="M73"/>
  <c r="E73"/>
  <c r="Y72"/>
  <c r="M72"/>
  <c r="E72"/>
  <c r="Y71"/>
  <c r="M71"/>
  <c r="E71"/>
  <c r="Y69"/>
  <c r="M69"/>
  <c r="E69"/>
  <c r="Y68"/>
  <c r="M68"/>
  <c r="E68"/>
  <c r="Y67"/>
  <c r="M67"/>
  <c r="E67"/>
  <c r="Y66"/>
  <c r="M66"/>
  <c r="E66"/>
  <c r="Y65"/>
  <c r="M65"/>
  <c r="E65"/>
  <c r="Y62"/>
  <c r="M62"/>
  <c r="E62"/>
  <c r="Y61"/>
  <c r="M61"/>
  <c r="E61"/>
  <c r="Y60"/>
  <c r="E60"/>
  <c r="Y59"/>
  <c r="M59"/>
  <c r="E59"/>
  <c r="Y58"/>
  <c r="M58"/>
  <c r="E58"/>
  <c r="Y57"/>
  <c r="M57"/>
  <c r="E57"/>
  <c r="Y56"/>
  <c r="M56"/>
  <c r="E56"/>
  <c r="Y55"/>
  <c r="M55"/>
  <c r="E55"/>
  <c r="Y54"/>
  <c r="M54"/>
  <c r="E54"/>
  <c r="Y53"/>
  <c r="M53"/>
  <c r="E53"/>
  <c r="Y52"/>
  <c r="M52"/>
  <c r="E52"/>
  <c r="Y51"/>
  <c r="M51"/>
  <c r="E51"/>
  <c r="Y50"/>
  <c r="M50"/>
  <c r="E50"/>
  <c r="Y49"/>
  <c r="M49"/>
  <c r="E49"/>
  <c r="Y48"/>
  <c r="M48"/>
  <c r="E48"/>
  <c r="Y47"/>
  <c r="M47"/>
  <c r="E47"/>
  <c r="Y46"/>
  <c r="AA46" i="8" s="1"/>
  <c r="M46" i="10"/>
  <c r="E46"/>
  <c r="Y45"/>
  <c r="M45"/>
  <c r="E45"/>
  <c r="Y44"/>
  <c r="M44"/>
  <c r="E44"/>
  <c r="Y43"/>
  <c r="M43"/>
  <c r="E43"/>
  <c r="Y42"/>
  <c r="M42"/>
  <c r="E42"/>
  <c r="Y41"/>
  <c r="M41"/>
  <c r="E41"/>
  <c r="Y40"/>
  <c r="M40"/>
  <c r="E40"/>
  <c r="Y39"/>
  <c r="M39"/>
  <c r="E39"/>
  <c r="Y38"/>
  <c r="M38"/>
  <c r="E38"/>
  <c r="Y37"/>
  <c r="M37"/>
  <c r="E37"/>
  <c r="Y36"/>
  <c r="M36"/>
  <c r="E36"/>
  <c r="Y35"/>
  <c r="M35"/>
  <c r="E35"/>
  <c r="Y34"/>
  <c r="M34"/>
  <c r="E34"/>
  <c r="Y33"/>
  <c r="M33"/>
  <c r="E33"/>
  <c r="Y32"/>
  <c r="M32"/>
  <c r="E32"/>
  <c r="Y31"/>
  <c r="M31"/>
  <c r="Y30"/>
  <c r="M30"/>
  <c r="E30"/>
  <c r="Y29"/>
  <c r="M29"/>
  <c r="E29"/>
  <c r="Y28"/>
  <c r="M28"/>
  <c r="E28"/>
  <c r="Y27"/>
  <c r="M27"/>
  <c r="E27"/>
  <c r="Y26"/>
  <c r="M26"/>
  <c r="E26"/>
  <c r="Y25"/>
  <c r="M25"/>
  <c r="E25"/>
  <c r="Y24"/>
  <c r="M24"/>
  <c r="E24"/>
  <c r="Y23"/>
  <c r="M23"/>
  <c r="E23"/>
  <c r="Y22"/>
  <c r="M22"/>
  <c r="E22"/>
  <c r="Y21"/>
  <c r="M21"/>
  <c r="E21"/>
  <c r="Y20"/>
  <c r="M20"/>
  <c r="E20"/>
  <c r="Y19"/>
  <c r="M19"/>
  <c r="E19"/>
  <c r="Y18"/>
  <c r="M18"/>
  <c r="E18"/>
  <c r="Y17"/>
  <c r="M17"/>
  <c r="E17"/>
  <c r="Y16"/>
  <c r="M16"/>
  <c r="E16"/>
  <c r="Y15"/>
  <c r="M15"/>
  <c r="E15"/>
  <c r="Y14"/>
  <c r="M14"/>
  <c r="E14"/>
  <c r="Y13"/>
  <c r="M13"/>
  <c r="E13"/>
  <c r="Y12"/>
  <c r="M12"/>
  <c r="E12"/>
  <c r="AC12" i="9" l="1"/>
  <c r="AY218" i="15"/>
  <c r="AY63" i="13"/>
  <c r="AY65"/>
  <c r="AY74" i="15"/>
  <c r="AY224"/>
  <c r="AY224" i="13"/>
  <c r="AY73" i="15"/>
  <c r="AY61"/>
  <c r="AY242"/>
  <c r="AY157"/>
  <c r="AY173"/>
  <c r="AY149" i="13"/>
  <c r="AY232" i="15"/>
  <c r="AY245"/>
  <c r="AY241"/>
  <c r="AY77"/>
  <c r="AY233" i="13"/>
  <c r="AY231" i="15"/>
  <c r="AY226"/>
  <c r="AY225"/>
  <c r="AY225" i="13"/>
  <c r="AY219" i="15"/>
  <c r="AY211"/>
  <c r="AY210"/>
  <c r="AY208"/>
  <c r="AY208" i="13"/>
  <c r="AY201" i="15"/>
  <c r="AY200"/>
  <c r="AY200" i="13"/>
  <c r="AY195" i="15"/>
  <c r="AY190" i="13"/>
  <c r="AY178" i="15"/>
  <c r="AY174"/>
  <c r="AY172"/>
  <c r="AY172" i="13"/>
  <c r="AY165"/>
  <c r="AY164" i="15"/>
  <c r="AY163" i="13"/>
  <c r="AY159" i="15"/>
  <c r="AY159" i="13"/>
  <c r="AY156" i="15"/>
  <c r="AY150"/>
  <c r="AY147"/>
  <c r="AY144"/>
  <c r="AY144" i="13"/>
  <c r="AY136" i="15"/>
  <c r="AY131"/>
  <c r="AY128"/>
  <c r="AY127"/>
  <c r="AY126"/>
  <c r="AY125"/>
  <c r="AY122"/>
  <c r="AY115"/>
  <c r="AY62"/>
  <c r="AY61" i="13"/>
  <c r="AY113" i="15"/>
  <c r="AY112"/>
  <c r="AY112" i="13"/>
  <c r="AY107" i="15"/>
  <c r="AY106"/>
  <c r="AY106" i="13"/>
  <c r="AY102"/>
  <c r="AY100"/>
  <c r="AY94"/>
  <c r="AY86"/>
  <c r="AY84" i="15"/>
  <c r="AY78"/>
  <c r="AY75"/>
  <c r="AY67" i="13"/>
  <c r="AY66" i="15"/>
  <c r="AY56" i="13"/>
  <c r="AY57"/>
  <c r="AY46"/>
  <c r="AY55"/>
  <c r="AY53"/>
  <c r="AY48"/>
  <c r="AY49"/>
  <c r="AY51"/>
  <c r="AY52"/>
  <c r="AY39"/>
  <c r="AA12" i="9"/>
  <c r="BM227" i="15"/>
  <c r="BM228"/>
  <c r="BM229"/>
  <c r="BM230"/>
  <c r="BM231"/>
  <c r="BM232"/>
  <c r="BM233"/>
  <c r="BM234"/>
  <c r="BM235"/>
  <c r="BM236"/>
  <c r="BM237"/>
  <c r="BM238"/>
  <c r="BM239"/>
  <c r="BM240"/>
  <c r="BM241"/>
  <c r="BM242"/>
  <c r="BM243"/>
  <c r="BM244"/>
  <c r="BM245"/>
  <c r="BN231" i="6"/>
  <c r="W231"/>
  <c r="AZ231"/>
  <c r="W230"/>
  <c r="BM228" i="14"/>
  <c r="BM227"/>
  <c r="AS228"/>
  <c r="AS227"/>
  <c r="W228"/>
  <c r="AY228"/>
  <c r="W227"/>
  <c r="AY227" l="1"/>
  <c r="AZ230" i="6"/>
  <c r="BN230"/>
  <c r="X218" i="4" l="1"/>
  <c r="AO219" i="2"/>
  <c r="K180" i="6" l="1"/>
  <c r="BM113" i="14" l="1"/>
  <c r="AS113"/>
  <c r="W113"/>
  <c r="AH113" i="10"/>
  <c r="AG113"/>
  <c r="AF113"/>
  <c r="AE113"/>
  <c r="AD113"/>
  <c r="AY113" i="14" l="1"/>
  <c r="AB84" i="10" l="1"/>
  <c r="AA217" i="8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B113" i="10"/>
  <c r="AA109" i="8"/>
  <c r="AB103" i="10"/>
  <c r="AC145" i="8"/>
  <c r="S256" i="3"/>
  <c r="AC256" i="2"/>
  <c r="AO218"/>
  <c r="AR197" i="5"/>
  <c r="W184" i="6"/>
  <c r="W183"/>
  <c r="W182"/>
  <c r="W181"/>
  <c r="W180"/>
  <c r="E180"/>
  <c r="AZ180" s="1"/>
  <c r="W179"/>
  <c r="W178"/>
  <c r="W177"/>
  <c r="W176"/>
  <c r="W175"/>
  <c r="W174"/>
  <c r="W173"/>
  <c r="W172"/>
  <c r="W171"/>
  <c r="W170"/>
  <c r="W169"/>
  <c r="W168"/>
  <c r="W167"/>
  <c r="W166"/>
  <c r="AZ166"/>
  <c r="W165"/>
  <c r="W164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255"/>
  <c r="W254"/>
  <c r="W253"/>
  <c r="W252"/>
  <c r="W251"/>
  <c r="W250"/>
  <c r="W249"/>
  <c r="W248"/>
  <c r="W247"/>
  <c r="W246"/>
  <c r="W245"/>
  <c r="W244"/>
  <c r="W243"/>
  <c r="W242"/>
  <c r="W241"/>
  <c r="AZ241"/>
  <c r="W240"/>
  <c r="W239"/>
  <c r="W238"/>
  <c r="W236"/>
  <c r="W235"/>
  <c r="W234"/>
  <c r="W233"/>
  <c r="W232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AZ192"/>
  <c r="W191"/>
  <c r="AZ184"/>
  <c r="AZ183"/>
  <c r="AZ182"/>
  <c r="AZ181"/>
  <c r="AJ180"/>
  <c r="AT180" s="1"/>
  <c r="AZ179"/>
  <c r="AZ178"/>
  <c r="AZ177"/>
  <c r="AZ176"/>
  <c r="AZ175"/>
  <c r="AZ174"/>
  <c r="AZ173"/>
  <c r="AZ172"/>
  <c r="AZ170"/>
  <c r="AZ169"/>
  <c r="AZ168"/>
  <c r="AZ167"/>
  <c r="AZ165"/>
  <c r="AZ164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129"/>
  <c r="AZ128"/>
  <c r="AZ127"/>
  <c r="AZ126"/>
  <c r="AZ124"/>
  <c r="AZ123"/>
  <c r="AZ122"/>
  <c r="AZ121"/>
  <c r="AZ120"/>
  <c r="AZ119"/>
  <c r="AZ118"/>
  <c r="AZ117"/>
  <c r="AZ116"/>
  <c r="AZ115"/>
  <c r="AZ114"/>
  <c r="AZ112"/>
  <c r="AZ111"/>
  <c r="AZ110"/>
  <c r="AZ109"/>
  <c r="AZ108"/>
  <c r="AZ107"/>
  <c r="AZ104"/>
  <c r="AZ103"/>
  <c r="AZ102"/>
  <c r="AZ101"/>
  <c r="AZ100"/>
  <c r="AZ99"/>
  <c r="AZ98"/>
  <c r="AZ255"/>
  <c r="AZ254"/>
  <c r="AZ253"/>
  <c r="AZ252"/>
  <c r="AZ251"/>
  <c r="AZ250"/>
  <c r="AZ249"/>
  <c r="AZ248"/>
  <c r="AZ247"/>
  <c r="AZ246"/>
  <c r="AZ245"/>
  <c r="AZ244"/>
  <c r="AZ243"/>
  <c r="AZ242"/>
  <c r="AZ240"/>
  <c r="AZ239"/>
  <c r="AZ238"/>
  <c r="AZ234"/>
  <c r="AZ233"/>
  <c r="AZ232"/>
  <c r="AZ229"/>
  <c r="AZ228"/>
  <c r="AZ227"/>
  <c r="AZ226"/>
  <c r="AZ225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6"/>
  <c r="AZ205"/>
  <c r="AZ204"/>
  <c r="AZ203"/>
  <c r="AZ202"/>
  <c r="AZ201"/>
  <c r="AZ200"/>
  <c r="AZ199"/>
  <c r="AZ198"/>
  <c r="AZ197"/>
  <c r="AZ196"/>
  <c r="AZ195"/>
  <c r="AZ194"/>
  <c r="AZ193"/>
  <c r="AZ191"/>
  <c r="AS251" i="14"/>
  <c r="AS250"/>
  <c r="AS249"/>
  <c r="AS248"/>
  <c r="AS247"/>
  <c r="AS246"/>
  <c r="AS245"/>
  <c r="AS244"/>
  <c r="AS243"/>
  <c r="AS242"/>
  <c r="AS241"/>
  <c r="AS240"/>
  <c r="AS239"/>
  <c r="AS238"/>
  <c r="AS237"/>
  <c r="AS236"/>
  <c r="AS235"/>
  <c r="AS233"/>
  <c r="AS232"/>
  <c r="AS231"/>
  <c r="AS230"/>
  <c r="AS229"/>
  <c r="AS226"/>
  <c r="AS225"/>
  <c r="AS224"/>
  <c r="AS223"/>
  <c r="AS222"/>
  <c r="AS221"/>
  <c r="AS220"/>
  <c r="AS219"/>
  <c r="AS218"/>
  <c r="AS217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5"/>
  <c r="AS174"/>
  <c r="AS173"/>
  <c r="AS172"/>
  <c r="AS171"/>
  <c r="AS170"/>
  <c r="AS169"/>
  <c r="AS168"/>
  <c r="AS167"/>
  <c r="AS166"/>
  <c r="AS165"/>
  <c r="AS164"/>
  <c r="AS163"/>
  <c r="AS162"/>
  <c r="AS161"/>
  <c r="AS159"/>
  <c r="AS158"/>
  <c r="AS157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S139"/>
  <c r="AS138"/>
  <c r="AS137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2"/>
  <c r="AS111"/>
  <c r="AS110"/>
  <c r="AS109"/>
  <c r="AS108"/>
  <c r="AS107"/>
  <c r="AS106"/>
  <c r="AS105"/>
  <c r="AS104"/>
  <c r="AS103"/>
  <c r="AS102"/>
  <c r="AS101"/>
  <c r="AS100"/>
  <c r="AS99"/>
  <c r="AS98"/>
  <c r="AS97"/>
  <c r="AS96"/>
  <c r="AS95"/>
  <c r="AS94"/>
  <c r="AS93"/>
  <c r="AS92"/>
  <c r="E176"/>
  <c r="W251"/>
  <c r="W250"/>
  <c r="W249"/>
  <c r="W248"/>
  <c r="AY248"/>
  <c r="W247"/>
  <c r="AY247"/>
  <c r="W246"/>
  <c r="AY246"/>
  <c r="W245"/>
  <c r="W244"/>
  <c r="W243"/>
  <c r="W242"/>
  <c r="W241"/>
  <c r="W240"/>
  <c r="W239"/>
  <c r="W238"/>
  <c r="W237"/>
  <c r="W236"/>
  <c r="W235"/>
  <c r="W233"/>
  <c r="W232"/>
  <c r="AY232"/>
  <c r="W231"/>
  <c r="AY231"/>
  <c r="W230"/>
  <c r="W229"/>
  <c r="W226"/>
  <c r="W225"/>
  <c r="W224"/>
  <c r="W223"/>
  <c r="W222"/>
  <c r="AY222"/>
  <c r="W221"/>
  <c r="W220"/>
  <c r="AY220"/>
  <c r="W219"/>
  <c r="AY219"/>
  <c r="W218"/>
  <c r="W217"/>
  <c r="W216"/>
  <c r="W215"/>
  <c r="W214"/>
  <c r="W213"/>
  <c r="W212"/>
  <c r="W211"/>
  <c r="W210"/>
  <c r="W209"/>
  <c r="W208"/>
  <c r="W207"/>
  <c r="W206"/>
  <c r="W205"/>
  <c r="W204"/>
  <c r="W203"/>
  <c r="AY203"/>
  <c r="W202"/>
  <c r="W201"/>
  <c r="AY201"/>
  <c r="W200"/>
  <c r="W199"/>
  <c r="AY199"/>
  <c r="W198"/>
  <c r="AY198"/>
  <c r="W197"/>
  <c r="AY197"/>
  <c r="W196"/>
  <c r="W195"/>
  <c r="W194"/>
  <c r="W193"/>
  <c r="AY193"/>
  <c r="W192"/>
  <c r="AY192"/>
  <c r="W191"/>
  <c r="AY191"/>
  <c r="W190"/>
  <c r="AY190"/>
  <c r="W189"/>
  <c r="W188"/>
  <c r="W187"/>
  <c r="AY187"/>
  <c r="W186"/>
  <c r="W185"/>
  <c r="W184"/>
  <c r="AY184"/>
  <c r="W183"/>
  <c r="W182"/>
  <c r="W181"/>
  <c r="W180"/>
  <c r="AY180"/>
  <c r="W179"/>
  <c r="W178"/>
  <c r="W177"/>
  <c r="AY177"/>
  <c r="W175"/>
  <c r="W174"/>
  <c r="W173"/>
  <c r="W172"/>
  <c r="AY172"/>
  <c r="W171"/>
  <c r="AY171"/>
  <c r="W170"/>
  <c r="W169"/>
  <c r="W168"/>
  <c r="W167"/>
  <c r="W166"/>
  <c r="W165"/>
  <c r="AY165"/>
  <c r="W164"/>
  <c r="W163"/>
  <c r="AY163"/>
  <c r="W162"/>
  <c r="AY162"/>
  <c r="W161"/>
  <c r="W159"/>
  <c r="AY159"/>
  <c r="W158"/>
  <c r="W157"/>
  <c r="W156"/>
  <c r="W155"/>
  <c r="W154"/>
  <c r="W153"/>
  <c r="W152"/>
  <c r="W151"/>
  <c r="AY151"/>
  <c r="W150"/>
  <c r="W149"/>
  <c r="W147"/>
  <c r="W146"/>
  <c r="W145"/>
  <c r="AY145"/>
  <c r="W144"/>
  <c r="AY144"/>
  <c r="W143"/>
  <c r="W142"/>
  <c r="W141"/>
  <c r="W140"/>
  <c r="W139"/>
  <c r="AY139"/>
  <c r="W137"/>
  <c r="AY137"/>
  <c r="W136"/>
  <c r="AY136"/>
  <c r="W135"/>
  <c r="AY135"/>
  <c r="W134"/>
  <c r="AY134"/>
  <c r="W133"/>
  <c r="W132"/>
  <c r="W131"/>
  <c r="W130"/>
  <c r="W129"/>
  <c r="W128"/>
  <c r="W127"/>
  <c r="W126"/>
  <c r="AY126"/>
  <c r="W125"/>
  <c r="W124"/>
  <c r="AY124"/>
  <c r="W123"/>
  <c r="AY123"/>
  <c r="W122"/>
  <c r="W121"/>
  <c r="W120"/>
  <c r="W119"/>
  <c r="W118"/>
  <c r="W117"/>
  <c r="W116"/>
  <c r="W115"/>
  <c r="W114"/>
  <c r="W112"/>
  <c r="W111"/>
  <c r="W110"/>
  <c r="W109"/>
  <c r="W108"/>
  <c r="AY108"/>
  <c r="W107"/>
  <c r="AY107"/>
  <c r="W106"/>
  <c r="W105"/>
  <c r="W104"/>
  <c r="W103"/>
  <c r="W102"/>
  <c r="W101"/>
  <c r="AY101"/>
  <c r="W100"/>
  <c r="W99"/>
  <c r="W98"/>
  <c r="W97"/>
  <c r="W96"/>
  <c r="W95"/>
  <c r="AY95"/>
  <c r="W94"/>
  <c r="W93"/>
  <c r="W92"/>
  <c r="BN62" i="6"/>
  <c r="E88" i="14"/>
  <c r="AY102" l="1"/>
  <c r="AY147"/>
  <c r="AY174"/>
  <c r="AY94"/>
  <c r="AY129"/>
  <c r="AY182"/>
  <c r="AY186"/>
  <c r="AY143"/>
  <c r="AY170"/>
  <c r="AY189"/>
  <c r="AY240"/>
  <c r="AZ224" i="6"/>
  <c r="AZ236"/>
  <c r="AZ105"/>
  <c r="AR187" i="5"/>
  <c r="AR144"/>
  <c r="AC188" i="8"/>
  <c r="AY236" i="14"/>
  <c r="AY251"/>
  <c r="AY250"/>
  <c r="AY249"/>
  <c r="AY245"/>
  <c r="AY244"/>
  <c r="AY243"/>
  <c r="AY242"/>
  <c r="AY241"/>
  <c r="AY239"/>
  <c r="AY238"/>
  <c r="AY237"/>
  <c r="AY235"/>
  <c r="AY233"/>
  <c r="AZ235" i="6"/>
  <c r="AY230" i="14"/>
  <c r="AY229"/>
  <c r="AY226"/>
  <c r="AY225"/>
  <c r="AY224"/>
  <c r="AY223"/>
  <c r="AY221"/>
  <c r="AY218"/>
  <c r="AY217"/>
  <c r="AY216"/>
  <c r="AY215"/>
  <c r="AY214"/>
  <c r="AY213"/>
  <c r="AR217" i="5"/>
  <c r="AY212" i="14"/>
  <c r="AR216" i="5"/>
  <c r="AY211" i="14"/>
  <c r="AR215" i="5"/>
  <c r="AY210" i="14"/>
  <c r="AR214" i="5"/>
  <c r="AY207" i="14"/>
  <c r="AY209"/>
  <c r="AR213" i="5"/>
  <c r="AR212"/>
  <c r="AY208" i="14"/>
  <c r="AR211" i="5"/>
  <c r="AY206" i="14"/>
  <c r="AR210" i="5"/>
  <c r="AY205" i="14"/>
  <c r="AR209" i="5"/>
  <c r="AY204" i="14"/>
  <c r="AR208" i="5"/>
  <c r="AR207"/>
  <c r="AY202" i="14"/>
  <c r="AR206" i="5"/>
  <c r="AR205"/>
  <c r="AC205" i="8"/>
  <c r="AY200" i="14"/>
  <c r="AR204" i="5"/>
  <c r="AR203"/>
  <c r="AR202"/>
  <c r="AR201"/>
  <c r="AY196" i="14"/>
  <c r="AR200" i="5"/>
  <c r="AY195" i="14"/>
  <c r="AR199" i="5"/>
  <c r="AY194" i="14"/>
  <c r="AR198" i="5"/>
  <c r="AR194"/>
  <c r="AR193"/>
  <c r="AR192"/>
  <c r="AR191"/>
  <c r="AY188" i="14"/>
  <c r="AR190" i="5"/>
  <c r="AR189"/>
  <c r="AY185" i="14"/>
  <c r="AR188" i="5"/>
  <c r="AY183" i="14"/>
  <c r="AR186" i="5"/>
  <c r="AR185"/>
  <c r="AY181" i="14"/>
  <c r="AR184" i="5"/>
  <c r="AR183"/>
  <c r="AY179" i="14"/>
  <c r="AR182" i="5"/>
  <c r="AY178" i="14"/>
  <c r="AR181" i="5"/>
  <c r="AR180"/>
  <c r="AR179"/>
  <c r="AY175" i="14"/>
  <c r="AR178" i="5"/>
  <c r="AR177"/>
  <c r="AY173" i="14"/>
  <c r="AR176" i="5"/>
  <c r="AR174"/>
  <c r="AR175"/>
  <c r="AR173"/>
  <c r="AY169" i="14"/>
  <c r="AR172" i="5"/>
  <c r="AY168" i="14"/>
  <c r="AZ171" i="6"/>
  <c r="AR171" i="5"/>
  <c r="AY167" i="14"/>
  <c r="AY166"/>
  <c r="AR169" i="5"/>
  <c r="AR168"/>
  <c r="AR170"/>
  <c r="AY164" i="14"/>
  <c r="AR167" i="5"/>
  <c r="AY158" i="14"/>
  <c r="AR165" i="5"/>
  <c r="AR166"/>
  <c r="AY161" i="14"/>
  <c r="AR164" i="5"/>
  <c r="AR163"/>
  <c r="AR162"/>
  <c r="AY157" i="14"/>
  <c r="AR161" i="5"/>
  <c r="AY156" i="14"/>
  <c r="AR160" i="5"/>
  <c r="AY155" i="14"/>
  <c r="AR159" i="5"/>
  <c r="AY154" i="14"/>
  <c r="AR158" i="5"/>
  <c r="AY153" i="14"/>
  <c r="AR157" i="5"/>
  <c r="AY152" i="14"/>
  <c r="AR156" i="5"/>
  <c r="AR155"/>
  <c r="AR154"/>
  <c r="AY150" i="14"/>
  <c r="AY149"/>
  <c r="AR153" i="5"/>
  <c r="AR152"/>
  <c r="AY148" i="14"/>
  <c r="AR151" i="5"/>
  <c r="AR150"/>
  <c r="AY146" i="14"/>
  <c r="AR149" i="5"/>
  <c r="AR148"/>
  <c r="AR147"/>
  <c r="AR146"/>
  <c r="AY142" i="14"/>
  <c r="AR145" i="5"/>
  <c r="AY141" i="14"/>
  <c r="AY140"/>
  <c r="AY138"/>
  <c r="AY133"/>
  <c r="AY132"/>
  <c r="AY131"/>
  <c r="AY130"/>
  <c r="AY128"/>
  <c r="AY127"/>
  <c r="AR127" i="5"/>
  <c r="AY125" i="14"/>
  <c r="AY120"/>
  <c r="AY122"/>
  <c r="AZ125" i="6"/>
  <c r="AY121" i="14"/>
  <c r="AY119"/>
  <c r="AY118"/>
  <c r="AY117"/>
  <c r="AY116"/>
  <c r="AY115"/>
  <c r="AY114"/>
  <c r="AY112"/>
  <c r="AY111"/>
  <c r="AY110"/>
  <c r="AZ113" i="6"/>
  <c r="AY109" i="14"/>
  <c r="AY106"/>
  <c r="AY105"/>
  <c r="AY104"/>
  <c r="AZ106" i="6"/>
  <c r="AY103" i="14"/>
  <c r="AY100"/>
  <c r="AY99"/>
  <c r="AY98"/>
  <c r="AY97"/>
  <c r="AY96"/>
  <c r="AY93"/>
  <c r="AY92"/>
  <c r="W30" l="1"/>
  <c r="W31"/>
  <c r="W32"/>
  <c r="W33"/>
  <c r="W34"/>
  <c r="W35"/>
  <c r="W36"/>
  <c r="W37"/>
  <c r="E13" i="6" l="1"/>
  <c r="AJ90"/>
  <c r="K11" i="14"/>
  <c r="S10" i="1"/>
  <c r="AA69" i="8"/>
  <c r="AA68"/>
  <c r="AA67"/>
  <c r="AA66"/>
  <c r="AA65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BM19" i="14"/>
  <c r="BM29" i="15" l="1"/>
  <c r="AI29"/>
  <c r="AS29" s="1"/>
  <c r="W29"/>
  <c r="BM46" i="13"/>
  <c r="BM39"/>
  <c r="BM53" i="14"/>
  <c r="AS53"/>
  <c r="W53"/>
  <c r="BM52"/>
  <c r="AS52"/>
  <c r="W52"/>
  <c r="BM51"/>
  <c r="AS51"/>
  <c r="BM50"/>
  <c r="AS50"/>
  <c r="W50"/>
  <c r="BM49"/>
  <c r="AS49"/>
  <c r="W49"/>
  <c r="BM48"/>
  <c r="AS48"/>
  <c r="W48"/>
  <c r="BM47"/>
  <c r="AS47"/>
  <c r="W47"/>
  <c r="BM46"/>
  <c r="AS46"/>
  <c r="W46"/>
  <c r="BM45"/>
  <c r="AS45"/>
  <c r="W45"/>
  <c r="BM44"/>
  <c r="AS44"/>
  <c r="W44"/>
  <c r="BM43"/>
  <c r="AS43"/>
  <c r="W43"/>
  <c r="BM42"/>
  <c r="AS42"/>
  <c r="W42"/>
  <c r="BM41"/>
  <c r="AS41"/>
  <c r="W41"/>
  <c r="BM40"/>
  <c r="AS40"/>
  <c r="W40"/>
  <c r="BM39"/>
  <c r="AS39"/>
  <c r="W39"/>
  <c r="BM38"/>
  <c r="AS38"/>
  <c r="W38"/>
  <c r="BM37"/>
  <c r="AS37"/>
  <c r="BM36"/>
  <c r="AS36"/>
  <c r="BM35"/>
  <c r="AS35"/>
  <c r="BM34"/>
  <c r="AS34"/>
  <c r="BM33"/>
  <c r="AS33"/>
  <c r="BM32"/>
  <c r="AS32"/>
  <c r="BM31"/>
  <c r="AS31"/>
  <c r="BM30"/>
  <c r="AS30"/>
  <c r="BM29"/>
  <c r="AS29"/>
  <c r="W29"/>
  <c r="BM28"/>
  <c r="AS28"/>
  <c r="W28"/>
  <c r="BM27"/>
  <c r="AS27"/>
  <c r="W27"/>
  <c r="BM26"/>
  <c r="AS26"/>
  <c r="W26"/>
  <c r="BM25"/>
  <c r="AS25"/>
  <c r="W25"/>
  <c r="BM24"/>
  <c r="AS24"/>
  <c r="W24"/>
  <c r="BM23"/>
  <c r="AS23"/>
  <c r="W23"/>
  <c r="AY23"/>
  <c r="BN55" i="6"/>
  <c r="W55"/>
  <c r="AZ55"/>
  <c r="BN54"/>
  <c r="W54"/>
  <c r="BN53"/>
  <c r="W53"/>
  <c r="AZ53"/>
  <c r="BN52"/>
  <c r="W52"/>
  <c r="BN51"/>
  <c r="W51"/>
  <c r="BN50"/>
  <c r="W50"/>
  <c r="AZ50"/>
  <c r="BN49"/>
  <c r="W49"/>
  <c r="BN48"/>
  <c r="W48"/>
  <c r="BN47"/>
  <c r="W47"/>
  <c r="AZ47"/>
  <c r="BN46"/>
  <c r="W46"/>
  <c r="AZ46"/>
  <c r="BN45"/>
  <c r="W45"/>
  <c r="BN44"/>
  <c r="W44"/>
  <c r="AZ44"/>
  <c r="BN43"/>
  <c r="W43"/>
  <c r="AZ43"/>
  <c r="BN42"/>
  <c r="W42"/>
  <c r="BN41"/>
  <c r="W41"/>
  <c r="BN40"/>
  <c r="W40"/>
  <c r="BN39"/>
  <c r="W39"/>
  <c r="BN38"/>
  <c r="W38"/>
  <c r="BN37"/>
  <c r="W37"/>
  <c r="AZ37"/>
  <c r="BN36"/>
  <c r="W36"/>
  <c r="BN35"/>
  <c r="W35"/>
  <c r="BN34"/>
  <c r="W34"/>
  <c r="AZ34"/>
  <c r="BN33"/>
  <c r="W33"/>
  <c r="BN32"/>
  <c r="W32"/>
  <c r="AZ32"/>
  <c r="BN31"/>
  <c r="W31"/>
  <c r="AZ31"/>
  <c r="BN30"/>
  <c r="W30"/>
  <c r="BN29"/>
  <c r="W29"/>
  <c r="BN28"/>
  <c r="W28"/>
  <c r="BN27"/>
  <c r="W27"/>
  <c r="U52" i="3"/>
  <c r="S53" i="7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AY30" i="14" l="1"/>
  <c r="AY35"/>
  <c r="AY28"/>
  <c r="AY29" i="15"/>
  <c r="AY25" i="14"/>
  <c r="AY36"/>
  <c r="AY40"/>
  <c r="AY42"/>
  <c r="AY43"/>
  <c r="AY44"/>
  <c r="AY52"/>
  <c r="AZ27" i="6"/>
  <c r="AZ28"/>
  <c r="AZ35"/>
  <c r="AZ36"/>
  <c r="AZ38"/>
  <c r="AC32" i="8"/>
  <c r="AY41" i="14"/>
  <c r="AY31"/>
  <c r="AY32"/>
  <c r="AY24"/>
  <c r="AY26"/>
  <c r="AY27"/>
  <c r="AY29"/>
  <c r="AY33"/>
  <c r="AY34"/>
  <c r="AY37"/>
  <c r="AY38"/>
  <c r="AY39"/>
  <c r="AY45"/>
  <c r="AY46"/>
  <c r="AY47"/>
  <c r="AY48"/>
  <c r="AY49"/>
  <c r="AY50"/>
  <c r="AY51"/>
  <c r="AY53"/>
  <c r="AZ51" i="6"/>
  <c r="AZ49"/>
  <c r="AZ29"/>
  <c r="AZ30"/>
  <c r="AZ33"/>
  <c r="AZ39"/>
  <c r="AZ40"/>
  <c r="AZ41"/>
  <c r="AZ42"/>
  <c r="AZ45"/>
  <c r="AZ48"/>
  <c r="AZ52"/>
  <c r="AZ54"/>
  <c r="BM64" i="15" l="1"/>
  <c r="W64"/>
  <c r="BM63"/>
  <c r="W63"/>
  <c r="BM62"/>
  <c r="W62"/>
  <c r="BM61"/>
  <c r="W61"/>
  <c r="BM61" i="13"/>
  <c r="BM60"/>
  <c r="BM59"/>
  <c r="BM58"/>
  <c r="BM57"/>
  <c r="BM56"/>
  <c r="Y56"/>
  <c r="BA56" s="1"/>
  <c r="BM55"/>
  <c r="BM64" i="14"/>
  <c r="AS64"/>
  <c r="W64"/>
  <c r="AY64"/>
  <c r="BM63"/>
  <c r="AS63"/>
  <c r="W63"/>
  <c r="AY63"/>
  <c r="BM62"/>
  <c r="AS62"/>
  <c r="W62"/>
  <c r="AY62"/>
  <c r="BM61"/>
  <c r="AS61"/>
  <c r="W61"/>
  <c r="AY61"/>
  <c r="BM60"/>
  <c r="AS60"/>
  <c r="W60"/>
  <c r="AY60"/>
  <c r="BM59"/>
  <c r="AS59"/>
  <c r="W59"/>
  <c r="AY59"/>
  <c r="BM58"/>
  <c r="AS58"/>
  <c r="Y58"/>
  <c r="BA58" s="1"/>
  <c r="W58"/>
  <c r="AY58"/>
  <c r="BM57"/>
  <c r="AS57"/>
  <c r="W57"/>
  <c r="AY57"/>
  <c r="BM56"/>
  <c r="AS56"/>
  <c r="W56"/>
  <c r="AY56"/>
  <c r="BN66" i="6"/>
  <c r="W66"/>
  <c r="BN65"/>
  <c r="W65"/>
  <c r="AZ65"/>
  <c r="BN64"/>
  <c r="W64"/>
  <c r="BN63"/>
  <c r="W63"/>
  <c r="W62"/>
  <c r="BN61"/>
  <c r="W61"/>
  <c r="AZ61"/>
  <c r="BN60"/>
  <c r="Z60"/>
  <c r="BB60" s="1"/>
  <c r="W60"/>
  <c r="AZ60"/>
  <c r="BN59"/>
  <c r="W59"/>
  <c r="BN58"/>
  <c r="W58"/>
  <c r="BN57"/>
  <c r="W57"/>
  <c r="BN56"/>
  <c r="W56"/>
  <c r="S66" i="7"/>
  <c r="S65"/>
  <c r="S64"/>
  <c r="S63"/>
  <c r="S62"/>
  <c r="S61"/>
  <c r="S59"/>
  <c r="S58"/>
  <c r="S57"/>
  <c r="S56"/>
  <c r="S55"/>
  <c r="AB66" i="10"/>
  <c r="AB65"/>
  <c r="AB62"/>
  <c r="AB61"/>
  <c r="AB60"/>
  <c r="AB59"/>
  <c r="AB58"/>
  <c r="AB57"/>
  <c r="AB56"/>
  <c r="AB55"/>
  <c r="AB54"/>
  <c r="AZ66" i="6" l="1"/>
  <c r="AZ63"/>
  <c r="AZ59"/>
  <c r="AZ62"/>
  <c r="AZ64"/>
  <c r="S54" i="7"/>
  <c r="AZ56" i="6"/>
  <c r="AZ57"/>
  <c r="AZ58"/>
  <c r="BM66" i="15" l="1"/>
  <c r="W74"/>
  <c r="BM106" i="14"/>
  <c r="W214" i="12"/>
  <c r="W213"/>
  <c r="W212"/>
  <c r="W211"/>
  <c r="W210"/>
  <c r="W209"/>
  <c r="W208"/>
  <c r="W205"/>
  <c r="W204"/>
  <c r="W203"/>
  <c r="W202"/>
  <c r="W201"/>
  <c r="W199"/>
  <c r="W198"/>
  <c r="W197"/>
  <c r="W196"/>
  <c r="W195"/>
  <c r="W194"/>
  <c r="W193"/>
  <c r="W192"/>
  <c r="W191"/>
  <c r="S190"/>
  <c r="W190" s="1"/>
  <c r="W189"/>
  <c r="W188"/>
  <c r="W187"/>
  <c r="W186"/>
  <c r="W185"/>
  <c r="W184"/>
  <c r="W183"/>
  <c r="W182"/>
  <c r="W180"/>
  <c r="W179"/>
  <c r="W178"/>
  <c r="Y178" s="1"/>
  <c r="W177"/>
  <c r="W176"/>
  <c r="W175"/>
  <c r="W174"/>
  <c r="W172"/>
  <c r="W171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BM164" i="15"/>
  <c r="W164"/>
  <c r="BM163"/>
  <c r="W163"/>
  <c r="BM162"/>
  <c r="W162"/>
  <c r="BM161"/>
  <c r="W161"/>
  <c r="BM160"/>
  <c r="W160"/>
  <c r="BM159"/>
  <c r="W159"/>
  <c r="BM158"/>
  <c r="W158"/>
  <c r="BM157"/>
  <c r="W157"/>
  <c r="BM156"/>
  <c r="W156"/>
  <c r="BM155"/>
  <c r="W155"/>
  <c r="BM154"/>
  <c r="W154"/>
  <c r="BM153"/>
  <c r="W153"/>
  <c r="BM152"/>
  <c r="W152"/>
  <c r="BM151"/>
  <c r="W151"/>
  <c r="BM150"/>
  <c r="W150"/>
  <c r="BM208" i="13"/>
  <c r="BM207"/>
  <c r="BM206"/>
  <c r="BM205"/>
  <c r="BM204"/>
  <c r="BM203"/>
  <c r="BM202"/>
  <c r="BM201"/>
  <c r="BM200"/>
  <c r="BM199"/>
  <c r="BM198"/>
  <c r="BM197"/>
  <c r="BM196"/>
  <c r="BM195"/>
  <c r="BM194"/>
  <c r="BM193"/>
  <c r="BM192"/>
  <c r="BM191"/>
  <c r="BM190"/>
  <c r="BM188"/>
  <c r="BM187"/>
  <c r="BM186"/>
  <c r="BM185"/>
  <c r="BM184"/>
  <c r="BM183"/>
  <c r="BM182"/>
  <c r="BM181"/>
  <c r="BM180"/>
  <c r="BM179"/>
  <c r="BM178"/>
  <c r="BM177"/>
  <c r="BM176"/>
  <c r="BM175"/>
  <c r="BM174"/>
  <c r="BM173"/>
  <c r="BM172"/>
  <c r="BM171"/>
  <c r="BM170"/>
  <c r="BM169"/>
  <c r="BM168"/>
  <c r="BM167"/>
  <c r="BM166"/>
  <c r="BM165"/>
  <c r="BM164"/>
  <c r="BM163"/>
  <c r="BM162"/>
  <c r="BM161"/>
  <c r="BM160"/>
  <c r="BM159"/>
  <c r="BM158"/>
  <c r="BM157"/>
  <c r="BM156"/>
  <c r="BM155"/>
  <c r="BM154"/>
  <c r="BM153"/>
  <c r="BM152"/>
  <c r="BM151"/>
  <c r="BM150"/>
  <c r="BM149"/>
  <c r="BM148"/>
  <c r="BM147"/>
  <c r="BM146"/>
  <c r="BM145"/>
  <c r="BM144"/>
  <c r="BM209"/>
  <c r="BM210"/>
  <c r="BM211"/>
  <c r="BM212"/>
  <c r="BM213"/>
  <c r="BM214"/>
  <c r="BM215"/>
  <c r="BM216"/>
  <c r="BM217"/>
  <c r="BM218"/>
  <c r="BM219"/>
  <c r="BM220"/>
  <c r="BM221"/>
  <c r="BM222"/>
  <c r="BM223"/>
  <c r="BM224"/>
  <c r="BM225"/>
  <c r="BM226"/>
  <c r="BM227"/>
  <c r="BM228"/>
  <c r="BM229"/>
  <c r="BM231"/>
  <c r="BM232"/>
  <c r="BM233"/>
  <c r="E234"/>
  <c r="AY234" s="1"/>
  <c r="K234"/>
  <c r="W234"/>
  <c r="AI234"/>
  <c r="AS234"/>
  <c r="BM234"/>
  <c r="E235"/>
  <c r="K235"/>
  <c r="AY235" s="1"/>
  <c r="W235"/>
  <c r="AS235"/>
  <c r="BM235"/>
  <c r="E236"/>
  <c r="K236"/>
  <c r="W236"/>
  <c r="AI236"/>
  <c r="AS236" s="1"/>
  <c r="AY236"/>
  <c r="BM236"/>
  <c r="E237"/>
  <c r="AY237" s="1"/>
  <c r="K237"/>
  <c r="W237"/>
  <c r="AI237"/>
  <c r="AS237"/>
  <c r="BM237"/>
  <c r="E238"/>
  <c r="K238"/>
  <c r="W238"/>
  <c r="AI238"/>
  <c r="AS238" s="1"/>
  <c r="AY238"/>
  <c r="BM238"/>
  <c r="E239"/>
  <c r="AY239" s="1"/>
  <c r="K239"/>
  <c r="W239"/>
  <c r="AI239"/>
  <c r="AS239"/>
  <c r="BM239"/>
  <c r="E240"/>
  <c r="K240"/>
  <c r="AY240" s="1"/>
  <c r="W240"/>
  <c r="AI240"/>
  <c r="BM240"/>
  <c r="BM210" i="14"/>
  <c r="BM209"/>
  <c r="BM208"/>
  <c r="BM207"/>
  <c r="BM206"/>
  <c r="BM205"/>
  <c r="BM204"/>
  <c r="BM203"/>
  <c r="BM202"/>
  <c r="BM201"/>
  <c r="BM200"/>
  <c r="BM199"/>
  <c r="BM198"/>
  <c r="BM197"/>
  <c r="BM196"/>
  <c r="BM195"/>
  <c r="BM194"/>
  <c r="BM193"/>
  <c r="BM192"/>
  <c r="BM191"/>
  <c r="BM190"/>
  <c r="BM189"/>
  <c r="BM188"/>
  <c r="BM187"/>
  <c r="BM186"/>
  <c r="BM185"/>
  <c r="BM184"/>
  <c r="BM183"/>
  <c r="BM182"/>
  <c r="BM181"/>
  <c r="BM180"/>
  <c r="BM179"/>
  <c r="BM178"/>
  <c r="BM177"/>
  <c r="BM176"/>
  <c r="AI176"/>
  <c r="AS176" s="1"/>
  <c r="W176"/>
  <c r="K176"/>
  <c r="AY176" s="1"/>
  <c r="BM175"/>
  <c r="BM174"/>
  <c r="BM173"/>
  <c r="BM172"/>
  <c r="BM171"/>
  <c r="BM170"/>
  <c r="BM169"/>
  <c r="BM168"/>
  <c r="BM167"/>
  <c r="BM166"/>
  <c r="BM165"/>
  <c r="BM164"/>
  <c r="BM163"/>
  <c r="BM162"/>
  <c r="BM161"/>
  <c r="BM159"/>
  <c r="BM158"/>
  <c r="BM157"/>
  <c r="BM156"/>
  <c r="BM155"/>
  <c r="BM154"/>
  <c r="BM153"/>
  <c r="BM152"/>
  <c r="BM151"/>
  <c r="BM150"/>
  <c r="BM149"/>
  <c r="BM148"/>
  <c r="BM147"/>
  <c r="BM146"/>
  <c r="BM145"/>
  <c r="BM144"/>
  <c r="BM143"/>
  <c r="BN213" i="6"/>
  <c r="BN212"/>
  <c r="BN211"/>
  <c r="BN210"/>
  <c r="BN209"/>
  <c r="BN208"/>
  <c r="BN207"/>
  <c r="BN206"/>
  <c r="BN205"/>
  <c r="BN204"/>
  <c r="BN203"/>
  <c r="BN202"/>
  <c r="BN201"/>
  <c r="BN200"/>
  <c r="BN199"/>
  <c r="BN198"/>
  <c r="BN197"/>
  <c r="BN196"/>
  <c r="BN195"/>
  <c r="BN194"/>
  <c r="BN193"/>
  <c r="BN192"/>
  <c r="BN191"/>
  <c r="BN190"/>
  <c r="W190"/>
  <c r="BN189"/>
  <c r="W189"/>
  <c r="BN188"/>
  <c r="W188"/>
  <c r="BN187"/>
  <c r="W187"/>
  <c r="BN186"/>
  <c r="W186"/>
  <c r="BN185"/>
  <c r="W185"/>
  <c r="BN184"/>
  <c r="BN183"/>
  <c r="BN182"/>
  <c r="BN181"/>
  <c r="BN180"/>
  <c r="BN178"/>
  <c r="BN177"/>
  <c r="BN176"/>
  <c r="BN175"/>
  <c r="BN174"/>
  <c r="BN173"/>
  <c r="BN172"/>
  <c r="BN170"/>
  <c r="BN169"/>
  <c r="BN168"/>
  <c r="BN167"/>
  <c r="BN166"/>
  <c r="BN165"/>
  <c r="BN162"/>
  <c r="BN161"/>
  <c r="BN160"/>
  <c r="BN158"/>
  <c r="BN157"/>
  <c r="BN156"/>
  <c r="BN153"/>
  <c r="BN152"/>
  <c r="BN151"/>
  <c r="BN150"/>
  <c r="BN149"/>
  <c r="BN148"/>
  <c r="BN147"/>
  <c r="BN146"/>
  <c r="BN145"/>
  <c r="S214" i="7"/>
  <c r="S213"/>
  <c r="AM213" i="2" s="1"/>
  <c r="S212" i="7"/>
  <c r="S211"/>
  <c r="S210"/>
  <c r="AM210" i="2" s="1"/>
  <c r="S209" i="7"/>
  <c r="AM209" i="2" s="1"/>
  <c r="S208" i="7"/>
  <c r="AM208" i="2" s="1"/>
  <c r="S207" i="7"/>
  <c r="AM207" i="2" s="1"/>
  <c r="S206" i="7"/>
  <c r="AM206" i="2" s="1"/>
  <c r="S204" i="7"/>
  <c r="S203"/>
  <c r="S202"/>
  <c r="S201"/>
  <c r="S200"/>
  <c r="AM200" i="2" s="1"/>
  <c r="S199" i="7"/>
  <c r="S198"/>
  <c r="S197"/>
  <c r="S196"/>
  <c r="S195"/>
  <c r="AM195" i="2" s="1"/>
  <c r="S194" i="7"/>
  <c r="AM194" i="2" s="1"/>
  <c r="S193" i="7"/>
  <c r="S192"/>
  <c r="S191"/>
  <c r="AM191" i="2" s="1"/>
  <c r="S190" i="7"/>
  <c r="S189"/>
  <c r="S188"/>
  <c r="S187"/>
  <c r="AM187" i="2" s="1"/>
  <c r="S186" i="7"/>
  <c r="S185"/>
  <c r="S184"/>
  <c r="S183"/>
  <c r="S182"/>
  <c r="S181"/>
  <c r="V181" s="1"/>
  <c r="S180"/>
  <c r="AM179" i="2" s="1"/>
  <c r="S179" i="7"/>
  <c r="S178"/>
  <c r="AM177" i="2" s="1"/>
  <c r="S177" i="7"/>
  <c r="S176"/>
  <c r="S175"/>
  <c r="S174"/>
  <c r="AM173" i="2" s="1"/>
  <c r="S173" i="7"/>
  <c r="S172"/>
  <c r="S171"/>
  <c r="AM170" i="2" s="1"/>
  <c r="S170" i="7"/>
  <c r="S169"/>
  <c r="S168"/>
  <c r="AM167" i="2" s="1"/>
  <c r="S167" i="7"/>
  <c r="S166"/>
  <c r="S165"/>
  <c r="S163"/>
  <c r="S162"/>
  <c r="S161"/>
  <c r="AM161" i="2" s="1"/>
  <c r="S160" i="7"/>
  <c r="AM160" i="2" s="1"/>
  <c r="S159" i="7"/>
  <c r="S158"/>
  <c r="S157"/>
  <c r="AM157" i="2" s="1"/>
  <c r="S156" i="7"/>
  <c r="AM156" i="2" s="1"/>
  <c r="S155" i="7"/>
  <c r="S154"/>
  <c r="S153"/>
  <c r="S152"/>
  <c r="S151"/>
  <c r="AM151" i="2" s="1"/>
  <c r="S150" i="7"/>
  <c r="S149"/>
  <c r="S148"/>
  <c r="S147"/>
  <c r="S146"/>
  <c r="S145"/>
  <c r="AC197" i="9"/>
  <c r="AA197"/>
  <c r="AC195"/>
  <c r="AC192" i="8"/>
  <c r="AC190"/>
  <c r="AC186"/>
  <c r="AC184"/>
  <c r="AC183"/>
  <c r="AC181"/>
  <c r="AC179"/>
  <c r="AC177"/>
  <c r="AC175"/>
  <c r="AC174"/>
  <c r="AC172"/>
  <c r="AC171"/>
  <c r="AC170"/>
  <c r="AC168"/>
  <c r="AC167"/>
  <c r="AC166"/>
  <c r="AC165"/>
  <c r="AC163"/>
  <c r="AC162"/>
  <c r="AC160"/>
  <c r="AC153"/>
  <c r="AC152"/>
  <c r="AC151"/>
  <c r="AC150"/>
  <c r="AC147"/>
  <c r="AC146"/>
  <c r="AB214" i="10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2"/>
  <c r="AB171"/>
  <c r="AB170"/>
  <c r="AB169"/>
  <c r="AB168"/>
  <c r="AB167"/>
  <c r="AB166"/>
  <c r="AB165"/>
  <c r="AB164"/>
  <c r="AB163"/>
  <c r="AB162"/>
  <c r="AB161"/>
  <c r="AB160"/>
  <c r="AB159"/>
  <c r="AB158"/>
  <c r="AB156"/>
  <c r="AB155"/>
  <c r="AB154"/>
  <c r="AB153"/>
  <c r="AB152"/>
  <c r="AB151"/>
  <c r="AB150"/>
  <c r="AB149"/>
  <c r="AB148"/>
  <c r="AB147"/>
  <c r="AB146"/>
  <c r="AB145"/>
  <c r="AZ187" i="6" l="1"/>
  <c r="AZ189"/>
  <c r="AZ190"/>
  <c r="U188" i="7"/>
  <c r="AM188" i="2"/>
  <c r="U214" i="7"/>
  <c r="AM214" i="2"/>
  <c r="V212" i="7"/>
  <c r="AM212" i="2"/>
  <c r="U211" i="7"/>
  <c r="AM211" i="2"/>
  <c r="W207" i="12"/>
  <c r="U204" i="7"/>
  <c r="AM204" i="2"/>
  <c r="U203" i="7"/>
  <c r="AM203" i="2"/>
  <c r="U202" i="7"/>
  <c r="AM202" i="2"/>
  <c r="V201" i="7"/>
  <c r="AM201" i="2"/>
  <c r="U199" i="7"/>
  <c r="AM199" i="2"/>
  <c r="U198" i="7"/>
  <c r="AM198" i="2"/>
  <c r="U197" i="7"/>
  <c r="AM197" i="2"/>
  <c r="U196" i="7"/>
  <c r="AB196" i="10"/>
  <c r="AA196" i="8"/>
  <c r="U193" i="7"/>
  <c r="AM193" i="2"/>
  <c r="U192" i="7"/>
  <c r="AM192" i="2"/>
  <c r="V190" i="7"/>
  <c r="AM190" i="2"/>
  <c r="U189" i="7"/>
  <c r="AM189" i="2"/>
  <c r="U186" i="7"/>
  <c r="AM185" i="2"/>
  <c r="U185" i="7"/>
  <c r="AM184" i="2"/>
  <c r="U184" i="7"/>
  <c r="AM183" i="2"/>
  <c r="U183" i="7"/>
  <c r="AM182" i="2"/>
  <c r="U182" i="7"/>
  <c r="AM181" i="2"/>
  <c r="U181" i="7"/>
  <c r="AM180" i="2"/>
  <c r="U179" i="7"/>
  <c r="AM178" i="2"/>
  <c r="V177" i="7"/>
  <c r="AM176" i="2"/>
  <c r="U176" i="7"/>
  <c r="AM175" i="2"/>
  <c r="U175" i="7"/>
  <c r="AM174" i="2"/>
  <c r="U173" i="7"/>
  <c r="AM172" i="2"/>
  <c r="U172" i="7"/>
  <c r="AM171" i="2"/>
  <c r="U169" i="7"/>
  <c r="AM168" i="2"/>
  <c r="U170" i="7"/>
  <c r="AM169" i="2"/>
  <c r="V166" i="7"/>
  <c r="AM165" i="2"/>
  <c r="U167" i="7"/>
  <c r="AM166" i="2"/>
  <c r="U165" i="7"/>
  <c r="AM164" i="2"/>
  <c r="U163" i="7"/>
  <c r="AM163" i="2"/>
  <c r="U162" i="7"/>
  <c r="AM162" i="2"/>
  <c r="V159" i="7"/>
  <c r="AM159" i="2"/>
  <c r="V158" i="7"/>
  <c r="AM158" i="2"/>
  <c r="U155" i="7"/>
  <c r="AM155" i="2"/>
  <c r="U154" i="7"/>
  <c r="AM154" i="2"/>
  <c r="V153" i="7"/>
  <c r="AM153" i="2"/>
  <c r="U152" i="7"/>
  <c r="AM152" i="2"/>
  <c r="V150" i="7"/>
  <c r="AM150" i="2"/>
  <c r="U149" i="7"/>
  <c r="AM149" i="2"/>
  <c r="V148" i="7"/>
  <c r="AM148" i="2"/>
  <c r="U147" i="7"/>
  <c r="AM147" i="2"/>
  <c r="U146" i="7"/>
  <c r="AM146" i="2"/>
  <c r="V145" i="7"/>
  <c r="AM145" i="2"/>
  <c r="U177" i="7"/>
  <c r="AZ188" i="6"/>
  <c r="AZ186"/>
  <c r="W181" i="12"/>
  <c r="W200"/>
  <c r="AM196" i="2"/>
  <c r="U148" i="7"/>
  <c r="U190"/>
  <c r="U166"/>
  <c r="U158"/>
  <c r="AC178" i="8"/>
  <c r="AC191"/>
  <c r="AA195" i="9"/>
  <c r="W170" i="12"/>
  <c r="W206"/>
  <c r="BN154" i="6"/>
  <c r="BN155"/>
  <c r="BN159"/>
  <c r="BN164"/>
  <c r="BN179"/>
  <c r="AZ185"/>
  <c r="AR195" i="5"/>
  <c r="S205" i="7"/>
  <c r="V205" s="1"/>
  <c r="U212"/>
  <c r="U145"/>
  <c r="U150"/>
  <c r="U153"/>
  <c r="U159"/>
  <c r="U201"/>
  <c r="AC148" i="8"/>
  <c r="AC154"/>
  <c r="AC155"/>
  <c r="AC157"/>
  <c r="AC158"/>
  <c r="AC159"/>
  <c r="AC189"/>
  <c r="AC194"/>
  <c r="V151" i="7"/>
  <c r="U151"/>
  <c r="V156"/>
  <c r="U156"/>
  <c r="V160"/>
  <c r="U160"/>
  <c r="V171"/>
  <c r="U171"/>
  <c r="V180"/>
  <c r="U180"/>
  <c r="V194"/>
  <c r="U194"/>
  <c r="V200"/>
  <c r="U200"/>
  <c r="V207"/>
  <c r="U207"/>
  <c r="V209"/>
  <c r="U209"/>
  <c r="V157"/>
  <c r="U157"/>
  <c r="V161"/>
  <c r="U161"/>
  <c r="V168"/>
  <c r="U168"/>
  <c r="V174"/>
  <c r="U174"/>
  <c r="V178"/>
  <c r="U178"/>
  <c r="V187"/>
  <c r="U187"/>
  <c r="V191"/>
  <c r="U191"/>
  <c r="V195"/>
  <c r="U195"/>
  <c r="V206"/>
  <c r="U206"/>
  <c r="V208"/>
  <c r="U208"/>
  <c r="V210"/>
  <c r="U210"/>
  <c r="V213"/>
  <c r="U213"/>
  <c r="V147"/>
  <c r="V149"/>
  <c r="V152"/>
  <c r="V162"/>
  <c r="V165"/>
  <c r="V169"/>
  <c r="V170"/>
  <c r="V175"/>
  <c r="V182"/>
  <c r="V183"/>
  <c r="V184"/>
  <c r="V185"/>
  <c r="V186"/>
  <c r="V188"/>
  <c r="V192"/>
  <c r="V193"/>
  <c r="V197"/>
  <c r="V198"/>
  <c r="V199"/>
  <c r="V202"/>
  <c r="V203"/>
  <c r="V204"/>
  <c r="V211"/>
  <c r="V146"/>
  <c r="V154"/>
  <c r="V155"/>
  <c r="V163"/>
  <c r="V167"/>
  <c r="V172"/>
  <c r="V173"/>
  <c r="V176"/>
  <c r="V179"/>
  <c r="V189"/>
  <c r="V196"/>
  <c r="V214"/>
  <c r="AC149" i="8"/>
  <c r="AC156"/>
  <c r="AC161"/>
  <c r="AC164"/>
  <c r="AC169"/>
  <c r="AC176"/>
  <c r="AC180"/>
  <c r="AC182"/>
  <c r="AC185"/>
  <c r="AC187"/>
  <c r="AC193"/>
  <c r="AC195"/>
  <c r="U205" i="7" l="1"/>
  <c r="AM205" i="2"/>
  <c r="W245" i="15" l="1"/>
  <c r="W244"/>
  <c r="W243"/>
  <c r="W242"/>
  <c r="W241"/>
  <c r="W240"/>
  <c r="W239"/>
  <c r="W238"/>
  <c r="W237"/>
  <c r="W236"/>
  <c r="W235"/>
  <c r="W234"/>
  <c r="W233"/>
  <c r="W232"/>
  <c r="W231"/>
  <c r="W230"/>
  <c r="W228"/>
  <c r="W227"/>
  <c r="BM226"/>
  <c r="W226"/>
  <c r="BM225"/>
  <c r="W225"/>
  <c r="W224"/>
  <c r="BM223"/>
  <c r="W223"/>
  <c r="BM222"/>
  <c r="W222"/>
  <c r="BM221"/>
  <c r="W221"/>
  <c r="BM220"/>
  <c r="W220"/>
  <c r="BM219"/>
  <c r="W219"/>
  <c r="BM218"/>
  <c r="W218"/>
  <c r="BM217"/>
  <c r="W217"/>
  <c r="BM216"/>
  <c r="W216"/>
  <c r="BM215"/>
  <c r="BM214"/>
  <c r="W214"/>
  <c r="BM213"/>
  <c r="W213"/>
  <c r="BM212"/>
  <c r="W212"/>
  <c r="BM211"/>
  <c r="W211"/>
  <c r="BM210"/>
  <c r="W210"/>
  <c r="BM209"/>
  <c r="W209"/>
  <c r="W208"/>
  <c r="BM207"/>
  <c r="W207"/>
  <c r="BM206"/>
  <c r="W206"/>
  <c r="BM205"/>
  <c r="W205"/>
  <c r="BM204"/>
  <c r="W204"/>
  <c r="BM203"/>
  <c r="W203"/>
  <c r="BM202"/>
  <c r="W202"/>
  <c r="BM201"/>
  <c r="W201"/>
  <c r="BM200"/>
  <c r="W200"/>
  <c r="BM199"/>
  <c r="W199"/>
  <c r="BM198"/>
  <c r="W198"/>
  <c r="BM197"/>
  <c r="W197"/>
  <c r="BM196"/>
  <c r="W196"/>
  <c r="BM195"/>
  <c r="W195"/>
  <c r="BM194"/>
  <c r="W194"/>
  <c r="BM193"/>
  <c r="W193"/>
  <c r="BM192"/>
  <c r="W192"/>
  <c r="BM191"/>
  <c r="W191"/>
  <c r="BM190"/>
  <c r="W190"/>
  <c r="W189"/>
  <c r="BM188"/>
  <c r="W188"/>
  <c r="BM187"/>
  <c r="W187"/>
  <c r="BM186"/>
  <c r="W186"/>
  <c r="BM185"/>
  <c r="W185"/>
  <c r="BM184"/>
  <c r="W184"/>
  <c r="BM183"/>
  <c r="W183"/>
  <c r="BM182"/>
  <c r="W182"/>
  <c r="BM181"/>
  <c r="W181"/>
  <c r="BM180"/>
  <c r="W180"/>
  <c r="BM179"/>
  <c r="W179"/>
  <c r="BM178"/>
  <c r="W178"/>
  <c r="BM177"/>
  <c r="W177"/>
  <c r="BM176"/>
  <c r="W176"/>
  <c r="BM175"/>
  <c r="W175"/>
  <c r="BM174"/>
  <c r="W174"/>
  <c r="BM173"/>
  <c r="W173"/>
  <c r="BM172"/>
  <c r="W172"/>
  <c r="BM171"/>
  <c r="W171"/>
  <c r="BM170"/>
  <c r="W170"/>
  <c r="BM169"/>
  <c r="W169"/>
  <c r="BM168"/>
  <c r="W168"/>
  <c r="BM167"/>
  <c r="W167"/>
  <c r="BM166"/>
  <c r="W166"/>
  <c r="BM165"/>
  <c r="W165"/>
  <c r="BM149"/>
  <c r="W149"/>
  <c r="BM148"/>
  <c r="W148"/>
  <c r="BM147"/>
  <c r="W147"/>
  <c r="BM146"/>
  <c r="W146"/>
  <c r="BM145"/>
  <c r="W145"/>
  <c r="BM144"/>
  <c r="W144"/>
  <c r="BM143"/>
  <c r="W143"/>
  <c r="W142"/>
  <c r="BM141"/>
  <c r="W141"/>
  <c r="BM140"/>
  <c r="W140"/>
  <c r="BM139"/>
  <c r="W139"/>
  <c r="BM138"/>
  <c r="W138"/>
  <c r="BM137"/>
  <c r="W137"/>
  <c r="BM136"/>
  <c r="W136"/>
  <c r="BM135"/>
  <c r="W135"/>
  <c r="BM134"/>
  <c r="W134"/>
  <c r="BM133"/>
  <c r="W133"/>
  <c r="BM132"/>
  <c r="W132"/>
  <c r="BM131"/>
  <c r="W131"/>
  <c r="BM130"/>
  <c r="W130"/>
  <c r="BM129"/>
  <c r="W129"/>
  <c r="BM128"/>
  <c r="W128"/>
  <c r="BM127"/>
  <c r="W127"/>
  <c r="BM126"/>
  <c r="W126"/>
  <c r="BM125"/>
  <c r="W125"/>
  <c r="BM124"/>
  <c r="W124"/>
  <c r="BM123"/>
  <c r="W123"/>
  <c r="BM122"/>
  <c r="W122"/>
  <c r="BM121"/>
  <c r="W121"/>
  <c r="K121"/>
  <c r="E121"/>
  <c r="BM120"/>
  <c r="W120"/>
  <c r="K120"/>
  <c r="E120"/>
  <c r="BM119"/>
  <c r="W119"/>
  <c r="K119"/>
  <c r="E119"/>
  <c r="BM118"/>
  <c r="W118"/>
  <c r="K118"/>
  <c r="E118"/>
  <c r="BM117"/>
  <c r="W117"/>
  <c r="K117"/>
  <c r="E117"/>
  <c r="BM116"/>
  <c r="W116"/>
  <c r="K116"/>
  <c r="E116"/>
  <c r="BM115"/>
  <c r="W115"/>
  <c r="BM114"/>
  <c r="W114"/>
  <c r="BM113"/>
  <c r="W113"/>
  <c r="BM112"/>
  <c r="W112"/>
  <c r="BM111"/>
  <c r="W111"/>
  <c r="BM110"/>
  <c r="W110"/>
  <c r="BM109"/>
  <c r="W109"/>
  <c r="BM108"/>
  <c r="W108"/>
  <c r="BM107"/>
  <c r="W107"/>
  <c r="BM106"/>
  <c r="W106"/>
  <c r="BM105"/>
  <c r="W105"/>
  <c r="BM104"/>
  <c r="W104"/>
  <c r="BM103"/>
  <c r="W103"/>
  <c r="BM102"/>
  <c r="W102"/>
  <c r="BM101"/>
  <c r="W101"/>
  <c r="BM100"/>
  <c r="W100"/>
  <c r="BM99"/>
  <c r="W99"/>
  <c r="BM98"/>
  <c r="W98"/>
  <c r="BM97"/>
  <c r="W97"/>
  <c r="BM96"/>
  <c r="W96"/>
  <c r="BM95"/>
  <c r="W95"/>
  <c r="BM94"/>
  <c r="W94"/>
  <c r="BM93"/>
  <c r="W93"/>
  <c r="BM92"/>
  <c r="W92"/>
  <c r="BM91"/>
  <c r="W91"/>
  <c r="BM90"/>
  <c r="W90"/>
  <c r="BM89"/>
  <c r="W89"/>
  <c r="BM88"/>
  <c r="W88"/>
  <c r="BM87"/>
  <c r="W87"/>
  <c r="BM86"/>
  <c r="W86"/>
  <c r="BM85"/>
  <c r="W85"/>
  <c r="BM84"/>
  <c r="W84"/>
  <c r="BM83"/>
  <c r="W83"/>
  <c r="BM82"/>
  <c r="W82"/>
  <c r="BM81"/>
  <c r="W81"/>
  <c r="BM80"/>
  <c r="W80"/>
  <c r="BM79"/>
  <c r="W79"/>
  <c r="BM78"/>
  <c r="W78"/>
  <c r="BM77"/>
  <c r="W77"/>
  <c r="BM76"/>
  <c r="W76"/>
  <c r="BM75"/>
  <c r="W75"/>
  <c r="BM74"/>
  <c r="BM73"/>
  <c r="W73"/>
  <c r="BM72"/>
  <c r="W72"/>
  <c r="BM71"/>
  <c r="W71"/>
  <c r="BM70"/>
  <c r="W70"/>
  <c r="BM69"/>
  <c r="W69"/>
  <c r="BM68"/>
  <c r="W68"/>
  <c r="BM67"/>
  <c r="W67"/>
  <c r="W66"/>
  <c r="BM65"/>
  <c r="W65"/>
  <c r="BM60"/>
  <c r="AI60"/>
  <c r="AS60" s="1"/>
  <c r="W60"/>
  <c r="BM59"/>
  <c r="AI59"/>
  <c r="AS59" s="1"/>
  <c r="W59"/>
  <c r="BM58"/>
  <c r="AI58"/>
  <c r="AS58" s="1"/>
  <c r="W58"/>
  <c r="BM57"/>
  <c r="AI57"/>
  <c r="AS57" s="1"/>
  <c r="Y57"/>
  <c r="BA57" s="1"/>
  <c r="W57"/>
  <c r="BM56"/>
  <c r="AI56"/>
  <c r="AS56" s="1"/>
  <c r="W56"/>
  <c r="BM55"/>
  <c r="AI55"/>
  <c r="AS55" s="1"/>
  <c r="W55"/>
  <c r="BM54"/>
  <c r="AI54"/>
  <c r="AS54" s="1"/>
  <c r="W54"/>
  <c r="BM53"/>
  <c r="AS53"/>
  <c r="W53"/>
  <c r="BM52"/>
  <c r="AI52"/>
  <c r="AS52" s="1"/>
  <c r="W52"/>
  <c r="BM51"/>
  <c r="AI51"/>
  <c r="AS51" s="1"/>
  <c r="W51"/>
  <c r="BM50"/>
  <c r="AI50"/>
  <c r="AS50" s="1"/>
  <c r="W50"/>
  <c r="BM49"/>
  <c r="AI49"/>
  <c r="AS49" s="1"/>
  <c r="W49"/>
  <c r="BM48"/>
  <c r="AI48"/>
  <c r="AS48" s="1"/>
  <c r="W48"/>
  <c r="BM47"/>
  <c r="AI47"/>
  <c r="AS47" s="1"/>
  <c r="W47"/>
  <c r="BM46"/>
  <c r="AI46"/>
  <c r="AS46" s="1"/>
  <c r="W46"/>
  <c r="BM45"/>
  <c r="AI45"/>
  <c r="AS45" s="1"/>
  <c r="W45"/>
  <c r="AY45"/>
  <c r="BM44"/>
  <c r="AI44"/>
  <c r="AS44" s="1"/>
  <c r="W44"/>
  <c r="AY44"/>
  <c r="BM43"/>
  <c r="AI43"/>
  <c r="AS43" s="1"/>
  <c r="W43"/>
  <c r="BM42"/>
  <c r="AI42"/>
  <c r="AS42" s="1"/>
  <c r="W42"/>
  <c r="BM41"/>
  <c r="AI41"/>
  <c r="AS41" s="1"/>
  <c r="W41"/>
  <c r="BM40"/>
  <c r="AI40"/>
  <c r="AS40" s="1"/>
  <c r="W40"/>
  <c r="BM39"/>
  <c r="AI39"/>
  <c r="AS39" s="1"/>
  <c r="W39"/>
  <c r="AI37"/>
  <c r="W37"/>
  <c r="AI36"/>
  <c r="AS36" s="1"/>
  <c r="W36"/>
  <c r="AI35"/>
  <c r="W35"/>
  <c r="AI34"/>
  <c r="AS34" s="1"/>
  <c r="AY34"/>
  <c r="AI33"/>
  <c r="AS33" s="1"/>
  <c r="W33"/>
  <c r="AY33"/>
  <c r="AS32"/>
  <c r="W32"/>
  <c r="AY32"/>
  <c r="BM31"/>
  <c r="AI31"/>
  <c r="AS31" s="1"/>
  <c r="W31"/>
  <c r="BM30"/>
  <c r="AI30"/>
  <c r="AS30" s="1"/>
  <c r="W30"/>
  <c r="AI28"/>
  <c r="W28"/>
  <c r="M28"/>
  <c r="K28" s="1"/>
  <c r="E28"/>
  <c r="BM27"/>
  <c r="K27" s="1"/>
  <c r="AI27"/>
  <c r="AS27" s="1"/>
  <c r="W27"/>
  <c r="E27"/>
  <c r="BM26"/>
  <c r="K26" s="1"/>
  <c r="AI26"/>
  <c r="AS26" s="1"/>
  <c r="W26"/>
  <c r="E26"/>
  <c r="BM25"/>
  <c r="M25" s="1"/>
  <c r="K25" s="1"/>
  <c r="AI25"/>
  <c r="AS25" s="1"/>
  <c r="W25"/>
  <c r="E25"/>
  <c r="BM24"/>
  <c r="M24" s="1"/>
  <c r="K24" s="1"/>
  <c r="AI24"/>
  <c r="AS24" s="1"/>
  <c r="W24"/>
  <c r="E24"/>
  <c r="BM23"/>
  <c r="M23" s="1"/>
  <c r="K23" s="1"/>
  <c r="AI23"/>
  <c r="AS23" s="1"/>
  <c r="W23"/>
  <c r="E23"/>
  <c r="BM22"/>
  <c r="M22" s="1"/>
  <c r="K22" s="1"/>
  <c r="AI22"/>
  <c r="AS22" s="1"/>
  <c r="W22"/>
  <c r="E22"/>
  <c r="BM21"/>
  <c r="M21" s="1"/>
  <c r="K21" s="1"/>
  <c r="AI21"/>
  <c r="AS21" s="1"/>
  <c r="W21"/>
  <c r="E21"/>
  <c r="BM20"/>
  <c r="K20" s="1"/>
  <c r="AI20"/>
  <c r="AS20" s="1"/>
  <c r="W20"/>
  <c r="E20"/>
  <c r="BM19"/>
  <c r="M19" s="1"/>
  <c r="K19" s="1"/>
  <c r="AI19"/>
  <c r="AS19" s="1"/>
  <c r="W19"/>
  <c r="E19"/>
  <c r="BM18"/>
  <c r="M18" s="1"/>
  <c r="K18" s="1"/>
  <c r="AI18"/>
  <c r="W18"/>
  <c r="E18"/>
  <c r="BM17"/>
  <c r="M17" s="1"/>
  <c r="K17" s="1"/>
  <c r="AI17"/>
  <c r="AS17" s="1"/>
  <c r="W17"/>
  <c r="E17"/>
  <c r="BM16"/>
  <c r="M16" s="1"/>
  <c r="K16" s="1"/>
  <c r="AS16"/>
  <c r="W16"/>
  <c r="E16"/>
  <c r="BM15"/>
  <c r="M15" s="1"/>
  <c r="K15" s="1"/>
  <c r="AS15"/>
  <c r="W15"/>
  <c r="E15"/>
  <c r="BM14"/>
  <c r="AI14"/>
  <c r="AS14" s="1"/>
  <c r="W14"/>
  <c r="K14"/>
  <c r="E14"/>
  <c r="BM13"/>
  <c r="AI13"/>
  <c r="AS13" s="1"/>
  <c r="W13"/>
  <c r="K13"/>
  <c r="E13"/>
  <c r="BM12"/>
  <c r="W12"/>
  <c r="M12"/>
  <c r="K12" s="1"/>
  <c r="E12"/>
  <c r="BM11"/>
  <c r="M11" s="1"/>
  <c r="K11" s="1"/>
  <c r="AI11"/>
  <c r="AS11" s="1"/>
  <c r="W11"/>
  <c r="E11"/>
  <c r="E11" i="14"/>
  <c r="AY118" i="15" l="1"/>
  <c r="AY119"/>
  <c r="AY120"/>
  <c r="AY121"/>
  <c r="AY28"/>
  <c r="AY21"/>
  <c r="AY23"/>
  <c r="AY25"/>
  <c r="AY30"/>
  <c r="AY31"/>
  <c r="AY35"/>
  <c r="AY39"/>
  <c r="AY52"/>
  <c r="AY53"/>
  <c r="AY16"/>
  <c r="AY19"/>
  <c r="AY26"/>
  <c r="AY27"/>
  <c r="AY20"/>
  <c r="AY24"/>
  <c r="AY40"/>
  <c r="AY41"/>
  <c r="AY48"/>
  <c r="AY49"/>
  <c r="AY55"/>
  <c r="AY56"/>
  <c r="AY57"/>
  <c r="AY59"/>
  <c r="AY60"/>
  <c r="AY11"/>
  <c r="AY15"/>
  <c r="AY18"/>
  <c r="AY36"/>
  <c r="AY13"/>
  <c r="AY42"/>
  <c r="AY43"/>
  <c r="AY46"/>
  <c r="AY47"/>
  <c r="AY50"/>
  <c r="AY51"/>
  <c r="AY54"/>
  <c r="AY58"/>
  <c r="AY12"/>
  <c r="AY14"/>
  <c r="AY17"/>
  <c r="AY37"/>
  <c r="AY22"/>
  <c r="S124" i="7" l="1"/>
  <c r="W11" i="8"/>
  <c r="Y10" i="10"/>
  <c r="W73" i="12"/>
  <c r="W12"/>
  <c r="S11"/>
  <c r="W11" s="1"/>
  <c r="W91"/>
  <c r="W90"/>
  <c r="W88"/>
  <c r="W84"/>
  <c r="W83"/>
  <c r="W82"/>
  <c r="W80"/>
  <c r="W79"/>
  <c r="W78"/>
  <c r="W77"/>
  <c r="W76"/>
  <c r="W75"/>
  <c r="W74"/>
  <c r="W71"/>
  <c r="W70"/>
  <c r="S69"/>
  <c r="W69" s="1"/>
  <c r="W67"/>
  <c r="W62"/>
  <c r="W61"/>
  <c r="W60"/>
  <c r="W59"/>
  <c r="W58"/>
  <c r="W56"/>
  <c r="W55"/>
  <c r="W54"/>
  <c r="W53"/>
  <c r="W52"/>
  <c r="W51"/>
  <c r="W50"/>
  <c r="W49"/>
  <c r="W48"/>
  <c r="W47"/>
  <c r="W44"/>
  <c r="W41"/>
  <c r="W40"/>
  <c r="W39"/>
  <c r="W38"/>
  <c r="W35"/>
  <c r="W34"/>
  <c r="W33"/>
  <c r="W32"/>
  <c r="W31"/>
  <c r="W28"/>
  <c r="BM86" i="13"/>
  <c r="BM67"/>
  <c r="BM33"/>
  <c r="AI33"/>
  <c r="AS33" s="1"/>
  <c r="W33"/>
  <c r="K33"/>
  <c r="E33"/>
  <c r="AS90" i="14"/>
  <c r="W90"/>
  <c r="BM88"/>
  <c r="AS88"/>
  <c r="W88"/>
  <c r="K88"/>
  <c r="AY88" s="1"/>
  <c r="BM87"/>
  <c r="AS87"/>
  <c r="W87"/>
  <c r="BM83"/>
  <c r="AS83"/>
  <c r="W83"/>
  <c r="BM79"/>
  <c r="AS79"/>
  <c r="W79"/>
  <c r="BM78"/>
  <c r="AS78"/>
  <c r="W78"/>
  <c r="BM77"/>
  <c r="AS77"/>
  <c r="W77"/>
  <c r="BM76"/>
  <c r="AS76"/>
  <c r="W76"/>
  <c r="BM75"/>
  <c r="AS75"/>
  <c r="W75"/>
  <c r="BM74"/>
  <c r="AS74"/>
  <c r="W74"/>
  <c r="BM73"/>
  <c r="AS73"/>
  <c r="W73"/>
  <c r="BM72"/>
  <c r="AS72"/>
  <c r="W72"/>
  <c r="BM70"/>
  <c r="AS70"/>
  <c r="W70"/>
  <c r="AS69"/>
  <c r="W69"/>
  <c r="BM68"/>
  <c r="AS68"/>
  <c r="W68"/>
  <c r="BM67"/>
  <c r="AS67"/>
  <c r="W67"/>
  <c r="AY67"/>
  <c r="AS66"/>
  <c r="W66"/>
  <c r="AY66"/>
  <c r="BN92" i="6"/>
  <c r="W92"/>
  <c r="BN90"/>
  <c r="AT90"/>
  <c r="W90"/>
  <c r="K90"/>
  <c r="E90"/>
  <c r="BN89"/>
  <c r="W89"/>
  <c r="W86"/>
  <c r="BN81"/>
  <c r="W81"/>
  <c r="BN80"/>
  <c r="W80"/>
  <c r="BN79"/>
  <c r="W79"/>
  <c r="BN78"/>
  <c r="W78"/>
  <c r="BN77"/>
  <c r="W77"/>
  <c r="BN75"/>
  <c r="W75"/>
  <c r="BN74"/>
  <c r="W74"/>
  <c r="BN72"/>
  <c r="W72"/>
  <c r="BN71"/>
  <c r="W71"/>
  <c r="BN70"/>
  <c r="W70"/>
  <c r="BN69"/>
  <c r="W69"/>
  <c r="W68"/>
  <c r="AR91" i="5"/>
  <c r="AR83"/>
  <c r="AR76"/>
  <c r="AR60"/>
  <c r="AR58"/>
  <c r="AR57"/>
  <c r="AR56"/>
  <c r="U53" i="3"/>
  <c r="AR48" i="5"/>
  <c r="U33" i="3"/>
  <c r="S91" i="7"/>
  <c r="S90"/>
  <c r="V90" s="1"/>
  <c r="S88"/>
  <c r="S87"/>
  <c r="V87" s="1"/>
  <c r="S85"/>
  <c r="U85" s="1"/>
  <c r="S84"/>
  <c r="U84" s="1"/>
  <c r="S83"/>
  <c r="U83" s="1"/>
  <c r="S82"/>
  <c r="S80"/>
  <c r="S79"/>
  <c r="AM79" i="2" s="1"/>
  <c r="S78" i="7"/>
  <c r="V78" s="1"/>
  <c r="S77"/>
  <c r="U77" s="1"/>
  <c r="S76"/>
  <c r="S75"/>
  <c r="S74"/>
  <c r="S73"/>
  <c r="AM73" i="2" s="1"/>
  <c r="S71" i="7"/>
  <c r="AM71" i="2" s="1"/>
  <c r="S70" i="7"/>
  <c r="S69"/>
  <c r="V69" s="1"/>
  <c r="S68"/>
  <c r="S67"/>
  <c r="V67" s="1"/>
  <c r="AM62" i="2"/>
  <c r="AM61"/>
  <c r="V61" i="7"/>
  <c r="U59"/>
  <c r="AM58" i="2"/>
  <c r="AM56"/>
  <c r="AM53"/>
  <c r="U52" i="7"/>
  <c r="U49"/>
  <c r="AM47" i="2"/>
  <c r="U44" i="7"/>
  <c r="AM41" i="2"/>
  <c r="U40" i="7"/>
  <c r="V38"/>
  <c r="AM36" i="2"/>
  <c r="AM35"/>
  <c r="AM34"/>
  <c r="AM31"/>
  <c r="U29" i="7"/>
  <c r="AB81" i="10"/>
  <c r="AA79" i="8"/>
  <c r="AB106" i="10"/>
  <c r="U159" i="3"/>
  <c r="U154"/>
  <c r="AA234" i="8"/>
  <c r="AB218" i="10"/>
  <c r="U218" i="3"/>
  <c r="U182"/>
  <c r="U181"/>
  <c r="AY20" i="14"/>
  <c r="S11" i="7"/>
  <c r="U11" s="1"/>
  <c r="Y11" i="10"/>
  <c r="AA11" i="8" s="1"/>
  <c r="AA256"/>
  <c r="AA255"/>
  <c r="AA254"/>
  <c r="AA253"/>
  <c r="AC253" s="1"/>
  <c r="AA252"/>
  <c r="AA251"/>
  <c r="AA250"/>
  <c r="AA249"/>
  <c r="AC249" s="1"/>
  <c r="AA248"/>
  <c r="AA247"/>
  <c r="AC247" s="1"/>
  <c r="AA246"/>
  <c r="AA245"/>
  <c r="AA244"/>
  <c r="AA243"/>
  <c r="AA242"/>
  <c r="AA239"/>
  <c r="AA238"/>
  <c r="AA237"/>
  <c r="AA241"/>
  <c r="AA235"/>
  <c r="AB234" i="10"/>
  <c r="W240" i="12"/>
  <c r="BM236" i="14"/>
  <c r="BN239" i="6"/>
  <c r="U240" i="3"/>
  <c r="S240" i="7"/>
  <c r="U240" s="1"/>
  <c r="AA240" i="8"/>
  <c r="W229" i="12"/>
  <c r="BN227" i="6"/>
  <c r="S229" i="7"/>
  <c r="AA229" i="8"/>
  <c r="W227" i="12"/>
  <c r="BM223" i="14"/>
  <c r="BN226" i="6"/>
  <c r="S228" i="7"/>
  <c r="V228" s="1"/>
  <c r="AA227" i="8"/>
  <c r="W225" i="12"/>
  <c r="BM221" i="14"/>
  <c r="BN224" i="6"/>
  <c r="S226" i="7"/>
  <c r="AM225" i="2" s="1"/>
  <c r="U226" i="3"/>
  <c r="AA225" i="8"/>
  <c r="W223" i="12"/>
  <c r="BM219" i="14"/>
  <c r="S224" i="7"/>
  <c r="V224" s="1"/>
  <c r="AA223" i="8"/>
  <c r="BN218" i="6"/>
  <c r="U210" i="3"/>
  <c r="AA233" i="8"/>
  <c r="AA232"/>
  <c r="AA231"/>
  <c r="AA230"/>
  <c r="AA226"/>
  <c r="AA224"/>
  <c r="AA222"/>
  <c r="AA221"/>
  <c r="AA220"/>
  <c r="AA219"/>
  <c r="U237" i="3"/>
  <c r="AR230" i="5"/>
  <c r="AR222"/>
  <c r="U220" i="3"/>
  <c r="U205"/>
  <c r="U204"/>
  <c r="U180"/>
  <c r="S249" i="7"/>
  <c r="U249" s="1"/>
  <c r="S248"/>
  <c r="S247"/>
  <c r="V247" s="1"/>
  <c r="S246"/>
  <c r="V246" s="1"/>
  <c r="S245"/>
  <c r="V245" s="1"/>
  <c r="S244"/>
  <c r="S243"/>
  <c r="U243" s="1"/>
  <c r="S242"/>
  <c r="V242" s="1"/>
  <c r="S241"/>
  <c r="V241" s="1"/>
  <c r="S239"/>
  <c r="S238"/>
  <c r="U238" s="1"/>
  <c r="S237"/>
  <c r="U237" s="1"/>
  <c r="S236"/>
  <c r="U236" s="1"/>
  <c r="S235"/>
  <c r="S234"/>
  <c r="S233"/>
  <c r="S232"/>
  <c r="S231"/>
  <c r="S230"/>
  <c r="S227"/>
  <c r="V227" s="1"/>
  <c r="S225"/>
  <c r="AM224" i="2" s="1"/>
  <c r="S223" i="7"/>
  <c r="S222"/>
  <c r="U222" s="1"/>
  <c r="S221"/>
  <c r="S220"/>
  <c r="S219"/>
  <c r="S218"/>
  <c r="V218" s="1"/>
  <c r="S217"/>
  <c r="AM216" i="2" s="1"/>
  <c r="S216" i="7"/>
  <c r="AM215" i="2" s="1"/>
  <c r="AA144" i="8"/>
  <c r="AA143"/>
  <c r="AA142"/>
  <c r="AA141"/>
  <c r="AA140"/>
  <c r="AA139"/>
  <c r="AA138"/>
  <c r="AA137"/>
  <c r="S115" i="7"/>
  <c r="U115" s="1"/>
  <c r="AA105" i="8"/>
  <c r="AA72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19"/>
  <c r="AA118"/>
  <c r="AA117"/>
  <c r="AA116"/>
  <c r="AA115"/>
  <c r="AA114"/>
  <c r="AA113"/>
  <c r="AA112"/>
  <c r="AA111"/>
  <c r="AB110" i="10"/>
  <c r="AA108" i="8"/>
  <c r="AA107"/>
  <c r="AA106"/>
  <c r="AA104"/>
  <c r="AA103"/>
  <c r="AA102"/>
  <c r="AA101"/>
  <c r="AC101" s="1"/>
  <c r="AA100"/>
  <c r="AA99"/>
  <c r="AA98"/>
  <c r="AA97"/>
  <c r="AA96"/>
  <c r="AA95"/>
  <c r="AA93"/>
  <c r="AA92"/>
  <c r="AC92" s="1"/>
  <c r="AA89"/>
  <c r="AA86"/>
  <c r="AA81"/>
  <c r="W45" i="12"/>
  <c r="BM45" i="13"/>
  <c r="U45" i="7"/>
  <c r="AB26" i="10"/>
  <c r="AB24"/>
  <c r="AB20"/>
  <c r="AB18"/>
  <c r="AA17" i="8"/>
  <c r="AA16"/>
  <c r="AA15"/>
  <c r="AA14"/>
  <c r="AA13"/>
  <c r="AA12"/>
  <c r="BN255" i="6"/>
  <c r="BN254"/>
  <c r="BN253"/>
  <c r="BN252"/>
  <c r="BN251"/>
  <c r="BN250"/>
  <c r="BN249"/>
  <c r="BN248"/>
  <c r="BN247"/>
  <c r="BN246"/>
  <c r="BN245"/>
  <c r="BN244"/>
  <c r="BN243"/>
  <c r="BN242"/>
  <c r="BN241"/>
  <c r="BN240"/>
  <c r="BN238"/>
  <c r="BN236"/>
  <c r="BN235"/>
  <c r="BN234"/>
  <c r="BN233"/>
  <c r="BN232"/>
  <c r="BN229"/>
  <c r="BN228"/>
  <c r="BN225"/>
  <c r="BN223"/>
  <c r="BN222"/>
  <c r="BN221"/>
  <c r="BN220"/>
  <c r="BN217"/>
  <c r="BN216"/>
  <c r="BN215"/>
  <c r="BN214"/>
  <c r="BN144"/>
  <c r="BN143"/>
  <c r="BN142"/>
  <c r="BN141"/>
  <c r="BN140"/>
  <c r="BN139"/>
  <c r="BN138"/>
  <c r="BN137"/>
  <c r="BN136"/>
  <c r="BN135"/>
  <c r="BN134"/>
  <c r="BN133"/>
  <c r="BN132"/>
  <c r="BN131"/>
  <c r="BN130"/>
  <c r="BN129"/>
  <c r="BN128"/>
  <c r="BN127"/>
  <c r="BN126"/>
  <c r="BN125"/>
  <c r="BN123"/>
  <c r="BN122"/>
  <c r="BN121"/>
  <c r="BN120"/>
  <c r="BN119"/>
  <c r="BN118"/>
  <c r="BN117"/>
  <c r="BN116"/>
  <c r="BN115"/>
  <c r="BN114"/>
  <c r="BN113"/>
  <c r="BN111"/>
  <c r="BN110"/>
  <c r="BN109"/>
  <c r="BN108"/>
  <c r="BN107"/>
  <c r="BN106"/>
  <c r="BN105"/>
  <c r="BN104"/>
  <c r="BN103"/>
  <c r="BN102"/>
  <c r="BN101"/>
  <c r="BN100"/>
  <c r="BN99"/>
  <c r="BN98"/>
  <c r="BN97"/>
  <c r="BN96"/>
  <c r="BN95"/>
  <c r="BN94"/>
  <c r="BN93"/>
  <c r="BN91"/>
  <c r="BN88"/>
  <c r="AZ88"/>
  <c r="BN83"/>
  <c r="BN76"/>
  <c r="BN73"/>
  <c r="BN67"/>
  <c r="BN26"/>
  <c r="BN24"/>
  <c r="BN23"/>
  <c r="BN20"/>
  <c r="BN16"/>
  <c r="AZ16"/>
  <c r="BN14"/>
  <c r="BN13"/>
  <c r="K13"/>
  <c r="K12"/>
  <c r="AJ12"/>
  <c r="AT12" s="1"/>
  <c r="AJ13"/>
  <c r="AT13" s="1"/>
  <c r="AZ14"/>
  <c r="AZ24"/>
  <c r="AZ26"/>
  <c r="AZ67"/>
  <c r="AZ76"/>
  <c r="AZ83"/>
  <c r="AZ84"/>
  <c r="AZ85"/>
  <c r="AZ87"/>
  <c r="AZ91"/>
  <c r="AZ93"/>
  <c r="AZ96"/>
  <c r="AZ97"/>
  <c r="BM53" i="13"/>
  <c r="U185" i="3"/>
  <c r="U184"/>
  <c r="U183"/>
  <c r="U179"/>
  <c r="U178"/>
  <c r="U177"/>
  <c r="U176"/>
  <c r="U175"/>
  <c r="U174"/>
  <c r="U173"/>
  <c r="U172"/>
  <c r="U171"/>
  <c r="U170"/>
  <c r="U169"/>
  <c r="U168"/>
  <c r="U167"/>
  <c r="U165"/>
  <c r="S127" i="7"/>
  <c r="U127" s="1"/>
  <c r="W127" i="12"/>
  <c r="AR126" i="5"/>
  <c r="AB127" i="10"/>
  <c r="S117" i="7"/>
  <c r="V117" s="1"/>
  <c r="S118"/>
  <c r="AM117" i="2" s="1"/>
  <c r="U118" i="3"/>
  <c r="AR116" i="5"/>
  <c r="W114" i="12"/>
  <c r="U115" i="3"/>
  <c r="AM114" i="2"/>
  <c r="AB114" i="10"/>
  <c r="S10" i="12"/>
  <c r="W10" s="1"/>
  <c r="W13"/>
  <c r="W14"/>
  <c r="W15"/>
  <c r="W16"/>
  <c r="W17"/>
  <c r="W18"/>
  <c r="W19"/>
  <c r="W20"/>
  <c r="W21"/>
  <c r="W22"/>
  <c r="W23"/>
  <c r="W24"/>
  <c r="W25"/>
  <c r="W26"/>
  <c r="W27"/>
  <c r="W30"/>
  <c r="W42"/>
  <c r="W43"/>
  <c r="W46"/>
  <c r="W63"/>
  <c r="W66"/>
  <c r="W72"/>
  <c r="W81"/>
  <c r="W86"/>
  <c r="W89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5"/>
  <c r="W116"/>
  <c r="W117"/>
  <c r="W118"/>
  <c r="W119"/>
  <c r="W121"/>
  <c r="W122"/>
  <c r="W123"/>
  <c r="W124"/>
  <c r="W125"/>
  <c r="W126"/>
  <c r="W128"/>
  <c r="W129"/>
  <c r="S130"/>
  <c r="W130" s="1"/>
  <c r="W132"/>
  <c r="W133"/>
  <c r="W134"/>
  <c r="W135"/>
  <c r="W136"/>
  <c r="W137"/>
  <c r="W138"/>
  <c r="W139"/>
  <c r="W140"/>
  <c r="W141"/>
  <c r="W142"/>
  <c r="W143"/>
  <c r="W144"/>
  <c r="W215"/>
  <c r="W216"/>
  <c r="W217"/>
  <c r="W219"/>
  <c r="W220"/>
  <c r="W221"/>
  <c r="W222"/>
  <c r="W224"/>
  <c r="W226"/>
  <c r="W231"/>
  <c r="W232"/>
  <c r="W233"/>
  <c r="W234"/>
  <c r="W235"/>
  <c r="W236"/>
  <c r="W237"/>
  <c r="W238"/>
  <c r="W239"/>
  <c r="W241"/>
  <c r="W242"/>
  <c r="W243"/>
  <c r="W244"/>
  <c r="W245"/>
  <c r="W246"/>
  <c r="W247"/>
  <c r="W248"/>
  <c r="S249"/>
  <c r="W249" s="1"/>
  <c r="W250"/>
  <c r="W251"/>
  <c r="W252"/>
  <c r="W253"/>
  <c r="W254"/>
  <c r="W255"/>
  <c r="W256"/>
  <c r="BM66" i="13"/>
  <c r="BM113"/>
  <c r="E14"/>
  <c r="BM14"/>
  <c r="M14" s="1"/>
  <c r="K14" s="1"/>
  <c r="W14"/>
  <c r="AI14"/>
  <c r="AS14" s="1"/>
  <c r="E15"/>
  <c r="BM15"/>
  <c r="M15" s="1"/>
  <c r="K15" s="1"/>
  <c r="W15"/>
  <c r="AS15"/>
  <c r="BM88"/>
  <c r="E16"/>
  <c r="BM16"/>
  <c r="M16" s="1"/>
  <c r="K16" s="1"/>
  <c r="W16"/>
  <c r="AS16"/>
  <c r="E13"/>
  <c r="BM13"/>
  <c r="K13" s="1"/>
  <c r="W13"/>
  <c r="AI13"/>
  <c r="AS13" s="1"/>
  <c r="BM125"/>
  <c r="BM77"/>
  <c r="BM94"/>
  <c r="BM136"/>
  <c r="BM138"/>
  <c r="BM137"/>
  <c r="E241"/>
  <c r="AY241" s="1"/>
  <c r="BM241"/>
  <c r="K241"/>
  <c r="W241"/>
  <c r="AI241"/>
  <c r="AS241" s="1"/>
  <c r="BM69"/>
  <c r="BM70"/>
  <c r="BM40"/>
  <c r="E21"/>
  <c r="BM21"/>
  <c r="M21" s="1"/>
  <c r="K21" s="1"/>
  <c r="W21"/>
  <c r="AI21"/>
  <c r="AS21" s="1"/>
  <c r="E22"/>
  <c r="BM22"/>
  <c r="M22" s="1"/>
  <c r="K22" s="1"/>
  <c r="W22"/>
  <c r="AI22"/>
  <c r="AS22" s="1"/>
  <c r="E24"/>
  <c r="BM24"/>
  <c r="M24" s="1"/>
  <c r="K24" s="1"/>
  <c r="W24"/>
  <c r="AI24"/>
  <c r="AS24" s="1"/>
  <c r="E25"/>
  <c r="BM25"/>
  <c r="M25" s="1"/>
  <c r="K25" s="1"/>
  <c r="W25"/>
  <c r="AI25"/>
  <c r="AS25" s="1"/>
  <c r="E30"/>
  <c r="BM30"/>
  <c r="M30" s="1"/>
  <c r="K30" s="1"/>
  <c r="W30"/>
  <c r="AI30"/>
  <c r="AS30" s="1"/>
  <c r="E34"/>
  <c r="BM34"/>
  <c r="M34" s="1"/>
  <c r="K34" s="1"/>
  <c r="AY34" s="1"/>
  <c r="AI34"/>
  <c r="AS34" s="1"/>
  <c r="E35"/>
  <c r="BM35"/>
  <c r="M35" s="1"/>
  <c r="K35" s="1"/>
  <c r="W35"/>
  <c r="AI35"/>
  <c r="E36"/>
  <c r="BM36"/>
  <c r="M36" s="1"/>
  <c r="K36" s="1"/>
  <c r="W36"/>
  <c r="AI36"/>
  <c r="AS36" s="1"/>
  <c r="E37"/>
  <c r="BM37"/>
  <c r="M37" s="1"/>
  <c r="K37" s="1"/>
  <c r="W37"/>
  <c r="AI37"/>
  <c r="BM54"/>
  <c r="BM75"/>
  <c r="BM79"/>
  <c r="BM87"/>
  <c r="BM97"/>
  <c r="BM104"/>
  <c r="BM110"/>
  <c r="BM119"/>
  <c r="BM122"/>
  <c r="BM130"/>
  <c r="BM135"/>
  <c r="BM92"/>
  <c r="BM64"/>
  <c r="BM65"/>
  <c r="BM103"/>
  <c r="BM111"/>
  <c r="E31"/>
  <c r="BM31"/>
  <c r="M31" s="1"/>
  <c r="K31" s="1"/>
  <c r="W31"/>
  <c r="AI31"/>
  <c r="AS31" s="1"/>
  <c r="BM68"/>
  <c r="BM85"/>
  <c r="BM90"/>
  <c r="BM93"/>
  <c r="BM98"/>
  <c r="E243"/>
  <c r="BM243"/>
  <c r="K243"/>
  <c r="W243"/>
  <c r="AI243"/>
  <c r="AS243" s="1"/>
  <c r="AY243"/>
  <c r="BM48"/>
  <c r="E23"/>
  <c r="BM23"/>
  <c r="M23" s="1"/>
  <c r="K23" s="1"/>
  <c r="W23"/>
  <c r="AI23"/>
  <c r="AS23" s="1"/>
  <c r="E26"/>
  <c r="BM26"/>
  <c r="M26" s="1"/>
  <c r="K26" s="1"/>
  <c r="W26"/>
  <c r="AI26"/>
  <c r="AS26" s="1"/>
  <c r="BM76"/>
  <c r="E245"/>
  <c r="AY245" s="1"/>
  <c r="BM245"/>
  <c r="K245"/>
  <c r="W245"/>
  <c r="AI245"/>
  <c r="AS245" s="1"/>
  <c r="BM108"/>
  <c r="BM41"/>
  <c r="E32"/>
  <c r="M32"/>
  <c r="K32" s="1"/>
  <c r="W32"/>
  <c r="AS32"/>
  <c r="BM49"/>
  <c r="BM51"/>
  <c r="BM63"/>
  <c r="BM81"/>
  <c r="BM95"/>
  <c r="BM118"/>
  <c r="BM139"/>
  <c r="BM141"/>
  <c r="E244"/>
  <c r="BM244"/>
  <c r="K244"/>
  <c r="W244"/>
  <c r="AS244"/>
  <c r="BM80"/>
  <c r="BM99"/>
  <c r="BM114"/>
  <c r="E28"/>
  <c r="M28"/>
  <c r="K28" s="1"/>
  <c r="W28"/>
  <c r="AI28"/>
  <c r="BM106"/>
  <c r="BM71"/>
  <c r="BM132"/>
  <c r="BM133"/>
  <c r="BM105"/>
  <c r="BM96"/>
  <c r="E27"/>
  <c r="BM27"/>
  <c r="M27" s="1"/>
  <c r="K27" s="1"/>
  <c r="W27"/>
  <c r="AI27"/>
  <c r="AS27" s="1"/>
  <c r="E18"/>
  <c r="BM18"/>
  <c r="M18" s="1"/>
  <c r="K18" s="1"/>
  <c r="W18"/>
  <c r="AI18"/>
  <c r="E19"/>
  <c r="BM19"/>
  <c r="M19" s="1"/>
  <c r="K19" s="1"/>
  <c r="W19"/>
  <c r="AI19"/>
  <c r="AS19" s="1"/>
  <c r="BM73"/>
  <c r="BM116"/>
  <c r="BM129"/>
  <c r="BM115"/>
  <c r="BM43"/>
  <c r="E246"/>
  <c r="BM246"/>
  <c r="K246"/>
  <c r="W246"/>
  <c r="AI246"/>
  <c r="AS246" s="1"/>
  <c r="AY246"/>
  <c r="BM124"/>
  <c r="E38"/>
  <c r="BM38"/>
  <c r="M38"/>
  <c r="K38" s="1"/>
  <c r="AY38" s="1"/>
  <c r="W38"/>
  <c r="AI38"/>
  <c r="AS38" s="1"/>
  <c r="BM131"/>
  <c r="BM100"/>
  <c r="BM102"/>
  <c r="BM47"/>
  <c r="BM52"/>
  <c r="BM62"/>
  <c r="BM74"/>
  <c r="BM101"/>
  <c r="BM109"/>
  <c r="BM134"/>
  <c r="BM140"/>
  <c r="E247"/>
  <c r="BM247"/>
  <c r="K247"/>
  <c r="W247"/>
  <c r="AI247"/>
  <c r="AS247" s="1"/>
  <c r="E17"/>
  <c r="BM17"/>
  <c r="M17" s="1"/>
  <c r="K17" s="1"/>
  <c r="W17"/>
  <c r="AI17"/>
  <c r="AS17" s="1"/>
  <c r="BM107"/>
  <c r="BM72"/>
  <c r="BM121"/>
  <c r="BM112"/>
  <c r="BM50"/>
  <c r="BM84"/>
  <c r="BM82"/>
  <c r="E12"/>
  <c r="BM12"/>
  <c r="M12" s="1"/>
  <c r="K12" s="1"/>
  <c r="W12"/>
  <c r="BM42"/>
  <c r="BM44"/>
  <c r="BM117"/>
  <c r="BM128"/>
  <c r="E11"/>
  <c r="BM11"/>
  <c r="M11" s="1"/>
  <c r="K11" s="1"/>
  <c r="W11"/>
  <c r="AI11"/>
  <c r="AS11" s="1"/>
  <c r="E20"/>
  <c r="BM20"/>
  <c r="M20" s="1"/>
  <c r="K20" s="1"/>
  <c r="W20"/>
  <c r="AI20"/>
  <c r="AS20" s="1"/>
  <c r="BM78"/>
  <c r="BM91"/>
  <c r="BM120"/>
  <c r="BM143"/>
  <c r="BM89"/>
  <c r="BM126"/>
  <c r="BM83"/>
  <c r="BM127"/>
  <c r="E29"/>
  <c r="BM29"/>
  <c r="M29" s="1"/>
  <c r="K29" s="1"/>
  <c r="W29"/>
  <c r="AI29"/>
  <c r="AS29" s="1"/>
  <c r="BM123"/>
  <c r="E242"/>
  <c r="AY242" s="1"/>
  <c r="BM242"/>
  <c r="K242"/>
  <c r="W242"/>
  <c r="AI242"/>
  <c r="AS242" s="1"/>
  <c r="E10" i="14"/>
  <c r="K10"/>
  <c r="W10"/>
  <c r="AI10"/>
  <c r="AS10" s="1"/>
  <c r="BM10"/>
  <c r="BM11"/>
  <c r="W11"/>
  <c r="AI11"/>
  <c r="AS11" s="1"/>
  <c r="BM12"/>
  <c r="AY12"/>
  <c r="W12"/>
  <c r="AS12"/>
  <c r="W13"/>
  <c r="AS13"/>
  <c r="BM13"/>
  <c r="W14"/>
  <c r="AS14"/>
  <c r="BM14"/>
  <c r="W15"/>
  <c r="AS15"/>
  <c r="BM15"/>
  <c r="W16"/>
  <c r="AS16"/>
  <c r="BM16"/>
  <c r="W17"/>
  <c r="AS17"/>
  <c r="BM17"/>
  <c r="BM18"/>
  <c r="AY18"/>
  <c r="W18"/>
  <c r="AS18"/>
  <c r="W19"/>
  <c r="AS19"/>
  <c r="W20"/>
  <c r="AS20"/>
  <c r="BM20"/>
  <c r="BM21"/>
  <c r="AY21"/>
  <c r="W21"/>
  <c r="AS21"/>
  <c r="BM22"/>
  <c r="W22"/>
  <c r="AS22"/>
  <c r="W54"/>
  <c r="AS54"/>
  <c r="BM54"/>
  <c r="AS55"/>
  <c r="BM55"/>
  <c r="AY65"/>
  <c r="W65"/>
  <c r="AS65"/>
  <c r="BM65"/>
  <c r="AY71"/>
  <c r="W71"/>
  <c r="AS71"/>
  <c r="BM71"/>
  <c r="AY81"/>
  <c r="W81"/>
  <c r="AS81"/>
  <c r="BM81"/>
  <c r="BM82"/>
  <c r="W82"/>
  <c r="AS82"/>
  <c r="W84"/>
  <c r="AS84"/>
  <c r="BM84"/>
  <c r="W85"/>
  <c r="AS85"/>
  <c r="BM85"/>
  <c r="W86"/>
  <c r="AS86"/>
  <c r="BM86"/>
  <c r="AY89"/>
  <c r="W89"/>
  <c r="AS89"/>
  <c r="BM89"/>
  <c r="W91"/>
  <c r="AS91"/>
  <c r="BM91"/>
  <c r="BM92"/>
  <c r="BM93"/>
  <c r="BM94"/>
  <c r="BM95"/>
  <c r="BM96"/>
  <c r="BM97"/>
  <c r="BM98"/>
  <c r="BM99"/>
  <c r="BM100"/>
  <c r="BM101"/>
  <c r="BM102"/>
  <c r="BM103"/>
  <c r="BM104"/>
  <c r="BM105"/>
  <c r="BM107"/>
  <c r="BM108"/>
  <c r="BM109"/>
  <c r="BM110"/>
  <c r="BM111"/>
  <c r="BM112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211"/>
  <c r="BM212"/>
  <c r="BM213"/>
  <c r="BM214"/>
  <c r="BM215"/>
  <c r="BM216"/>
  <c r="BM217"/>
  <c r="BM218"/>
  <c r="BM220"/>
  <c r="BM222"/>
  <c r="BM224"/>
  <c r="BM225"/>
  <c r="BM226"/>
  <c r="BM229"/>
  <c r="BM230"/>
  <c r="BM231"/>
  <c r="BM232"/>
  <c r="BM233"/>
  <c r="BM235"/>
  <c r="BM237"/>
  <c r="BM238"/>
  <c r="BM239"/>
  <c r="BM240"/>
  <c r="BM241"/>
  <c r="BM242"/>
  <c r="BM243"/>
  <c r="BM244"/>
  <c r="BM245"/>
  <c r="BM246"/>
  <c r="BM247"/>
  <c r="BM248"/>
  <c r="BM249"/>
  <c r="BM250"/>
  <c r="BM251"/>
  <c r="W12" i="6"/>
  <c r="BN12"/>
  <c r="W13"/>
  <c r="W14"/>
  <c r="W15"/>
  <c r="BN15"/>
  <c r="W16"/>
  <c r="W17"/>
  <c r="BN17"/>
  <c r="W18"/>
  <c r="BN18"/>
  <c r="W19"/>
  <c r="BN19"/>
  <c r="W20"/>
  <c r="W21"/>
  <c r="BN21"/>
  <c r="W22"/>
  <c r="BN22"/>
  <c r="W23"/>
  <c r="W24"/>
  <c r="W25"/>
  <c r="BN25"/>
  <c r="W26"/>
  <c r="W67"/>
  <c r="W73"/>
  <c r="W76"/>
  <c r="W83"/>
  <c r="W84"/>
  <c r="W85"/>
  <c r="W87"/>
  <c r="W88"/>
  <c r="W91"/>
  <c r="W93"/>
  <c r="W94"/>
  <c r="W95"/>
  <c r="W96"/>
  <c r="W97"/>
  <c r="BN112"/>
  <c r="BN124"/>
  <c r="AH10" i="5"/>
  <c r="AH11"/>
  <c r="U17" i="3"/>
  <c r="AR19" i="5"/>
  <c r="AR25"/>
  <c r="U97" i="3"/>
  <c r="U100"/>
  <c r="U104"/>
  <c r="U106"/>
  <c r="U108"/>
  <c r="AR109" i="5"/>
  <c r="U110" i="3"/>
  <c r="U112"/>
  <c r="AR117" i="5"/>
  <c r="AR119"/>
  <c r="U121" i="3"/>
  <c r="AR121" i="5"/>
  <c r="U123" i="3"/>
  <c r="AR131" i="5"/>
  <c r="U135" i="3"/>
  <c r="AR137" i="5"/>
  <c r="U141" i="3"/>
  <c r="U143"/>
  <c r="U160"/>
  <c r="AC10" i="2"/>
  <c r="S10" i="7"/>
  <c r="S12"/>
  <c r="AM12" i="2" s="1"/>
  <c r="S13" i="7"/>
  <c r="S14"/>
  <c r="S15"/>
  <c r="V15" s="1"/>
  <c r="S16"/>
  <c r="S17"/>
  <c r="S18"/>
  <c r="V18" s="1"/>
  <c r="S19"/>
  <c r="S20"/>
  <c r="U20" s="1"/>
  <c r="S21"/>
  <c r="S22"/>
  <c r="S23"/>
  <c r="V23" s="1"/>
  <c r="U64"/>
  <c r="S72"/>
  <c r="S81"/>
  <c r="S86"/>
  <c r="V86" s="1"/>
  <c r="S89"/>
  <c r="U89" s="1"/>
  <c r="S92"/>
  <c r="V92" s="1"/>
  <c r="S93"/>
  <c r="AM93" i="2" s="1"/>
  <c r="S94" i="7"/>
  <c r="V94" s="1"/>
  <c r="S95"/>
  <c r="V95" s="1"/>
  <c r="S96"/>
  <c r="S97"/>
  <c r="S98"/>
  <c r="S99"/>
  <c r="S100"/>
  <c r="S101"/>
  <c r="S102"/>
  <c r="S103"/>
  <c r="S104"/>
  <c r="V104" s="1"/>
  <c r="S105"/>
  <c r="U105" s="1"/>
  <c r="S106"/>
  <c r="U106" s="1"/>
  <c r="S107"/>
  <c r="U107" s="1"/>
  <c r="S108"/>
  <c r="U108" s="1"/>
  <c r="S109"/>
  <c r="V109" s="1"/>
  <c r="S110"/>
  <c r="S111"/>
  <c r="V111" s="1"/>
  <c r="S112"/>
  <c r="U112" s="1"/>
  <c r="S114"/>
  <c r="U114" s="1"/>
  <c r="S116"/>
  <c r="U116" s="1"/>
  <c r="AM116" i="2"/>
  <c r="S119" i="7"/>
  <c r="S120"/>
  <c r="S121"/>
  <c r="AM120" i="2" s="1"/>
  <c r="S122" i="7"/>
  <c r="AM121" i="2" s="1"/>
  <c r="S123" i="7"/>
  <c r="U123" s="1"/>
  <c r="S125"/>
  <c r="S126"/>
  <c r="S128"/>
  <c r="U128" s="1"/>
  <c r="S129"/>
  <c r="V129" s="1"/>
  <c r="S130"/>
  <c r="V130" s="1"/>
  <c r="S131"/>
  <c r="V131" s="1"/>
  <c r="S132"/>
  <c r="V132" s="1"/>
  <c r="S133"/>
  <c r="V133" s="1"/>
  <c r="S134"/>
  <c r="U134" s="1"/>
  <c r="S135"/>
  <c r="V135" s="1"/>
  <c r="S136"/>
  <c r="V136" s="1"/>
  <c r="S137"/>
  <c r="U137" s="1"/>
  <c r="S138"/>
  <c r="U138" s="1"/>
  <c r="S139"/>
  <c r="U139" s="1"/>
  <c r="S140"/>
  <c r="V140" s="1"/>
  <c r="S141"/>
  <c r="S142"/>
  <c r="AM142" i="2" s="1"/>
  <c r="S143" i="7"/>
  <c r="V143" s="1"/>
  <c r="S144"/>
  <c r="U144" s="1"/>
  <c r="S250"/>
  <c r="S251"/>
  <c r="S252"/>
  <c r="S253"/>
  <c r="S254"/>
  <c r="U254" s="1"/>
  <c r="S255"/>
  <c r="AM255" i="2" s="1"/>
  <c r="S256" i="7"/>
  <c r="S11" i="4"/>
  <c r="U11" i="3"/>
  <c r="U12"/>
  <c r="U13"/>
  <c r="U14"/>
  <c r="U15"/>
  <c r="U16"/>
  <c r="U18"/>
  <c r="U19"/>
  <c r="U20"/>
  <c r="U21"/>
  <c r="U22"/>
  <c r="U23"/>
  <c r="U24"/>
  <c r="U25"/>
  <c r="U26"/>
  <c r="U27"/>
  <c r="U30"/>
  <c r="U42"/>
  <c r="U43"/>
  <c r="U46"/>
  <c r="U64"/>
  <c r="U66"/>
  <c r="U72"/>
  <c r="U81"/>
  <c r="U86"/>
  <c r="U89"/>
  <c r="U93"/>
  <c r="U94"/>
  <c r="U95"/>
  <c r="U96"/>
  <c r="U98"/>
  <c r="U101"/>
  <c r="U102"/>
  <c r="U103"/>
  <c r="U105"/>
  <c r="U107"/>
  <c r="U109"/>
  <c r="U111"/>
  <c r="U114"/>
  <c r="U117"/>
  <c r="U119"/>
  <c r="U120"/>
  <c r="U122"/>
  <c r="U129"/>
  <c r="U131"/>
  <c r="U132"/>
  <c r="U134"/>
  <c r="U136"/>
  <c r="U137"/>
  <c r="U140"/>
  <c r="U142"/>
  <c r="U144"/>
  <c r="U146"/>
  <c r="U148"/>
  <c r="U149"/>
  <c r="U150"/>
  <c r="U152"/>
  <c r="U153"/>
  <c r="U155"/>
  <c r="U156"/>
  <c r="U157"/>
  <c r="U158"/>
  <c r="U161"/>
  <c r="U163"/>
  <c r="U166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6"/>
  <c r="U207"/>
  <c r="U208"/>
  <c r="U209"/>
  <c r="U211"/>
  <c r="U212"/>
  <c r="U213"/>
  <c r="U214"/>
  <c r="U216"/>
  <c r="U217"/>
  <c r="U219"/>
  <c r="U221"/>
  <c r="U222"/>
  <c r="U224"/>
  <c r="U225"/>
  <c r="U227"/>
  <c r="U230"/>
  <c r="U231"/>
  <c r="U232"/>
  <c r="U234"/>
  <c r="U235"/>
  <c r="U238"/>
  <c r="U239"/>
  <c r="U241"/>
  <c r="U242"/>
  <c r="U243"/>
  <c r="U244"/>
  <c r="U245"/>
  <c r="U246"/>
  <c r="U247"/>
  <c r="U248"/>
  <c r="U249"/>
  <c r="U250"/>
  <c r="U251"/>
  <c r="U252"/>
  <c r="U253"/>
  <c r="U255"/>
  <c r="U10" i="7"/>
  <c r="V10"/>
  <c r="U12"/>
  <c r="V12"/>
  <c r="U13"/>
  <c r="V13"/>
  <c r="U14"/>
  <c r="V14"/>
  <c r="U15"/>
  <c r="U16"/>
  <c r="V16"/>
  <c r="U17"/>
  <c r="V17"/>
  <c r="U18"/>
  <c r="U19"/>
  <c r="V19"/>
  <c r="V20"/>
  <c r="U21"/>
  <c r="V21"/>
  <c r="U22"/>
  <c r="V22"/>
  <c r="U23"/>
  <c r="U24"/>
  <c r="V24"/>
  <c r="U25"/>
  <c r="U26"/>
  <c r="V26"/>
  <c r="U27"/>
  <c r="V27"/>
  <c r="U30"/>
  <c r="V30"/>
  <c r="U42"/>
  <c r="V42"/>
  <c r="U43"/>
  <c r="V43"/>
  <c r="U46"/>
  <c r="V46"/>
  <c r="V64"/>
  <c r="U66"/>
  <c r="V66"/>
  <c r="U72"/>
  <c r="V72"/>
  <c r="U81"/>
  <c r="V81"/>
  <c r="U86"/>
  <c r="U92"/>
  <c r="V93"/>
  <c r="U94"/>
  <c r="U95"/>
  <c r="U96"/>
  <c r="V96"/>
  <c r="U97"/>
  <c r="V97"/>
  <c r="U98"/>
  <c r="V98"/>
  <c r="V99"/>
  <c r="U100"/>
  <c r="V100"/>
  <c r="U101"/>
  <c r="U102"/>
  <c r="V102"/>
  <c r="U103"/>
  <c r="V103"/>
  <c r="U104"/>
  <c r="V105"/>
  <c r="V106"/>
  <c r="V107"/>
  <c r="U109"/>
  <c r="U110"/>
  <c r="U111"/>
  <c r="V112"/>
  <c r="V114"/>
  <c r="V116"/>
  <c r="U117"/>
  <c r="V118"/>
  <c r="V119"/>
  <c r="U120"/>
  <c r="V120"/>
  <c r="V121"/>
  <c r="U122"/>
  <c r="V122"/>
  <c r="V123"/>
  <c r="U125"/>
  <c r="V125"/>
  <c r="V126"/>
  <c r="U129"/>
  <c r="U130"/>
  <c r="U131"/>
  <c r="U132"/>
  <c r="V134"/>
  <c r="U136"/>
  <c r="V137"/>
  <c r="V138"/>
  <c r="V139"/>
  <c r="U141"/>
  <c r="V141"/>
  <c r="U143"/>
  <c r="V144"/>
  <c r="U216"/>
  <c r="V216"/>
  <c r="U217"/>
  <c r="V217"/>
  <c r="U218"/>
  <c r="U219"/>
  <c r="V219"/>
  <c r="U220"/>
  <c r="V220"/>
  <c r="U221"/>
  <c r="V221"/>
  <c r="V222"/>
  <c r="U223"/>
  <c r="V223"/>
  <c r="U224"/>
  <c r="U225"/>
  <c r="V225"/>
  <c r="U226"/>
  <c r="U227"/>
  <c r="U228"/>
  <c r="U229"/>
  <c r="U230"/>
  <c r="V230"/>
  <c r="U231"/>
  <c r="V231"/>
  <c r="U232"/>
  <c r="V232"/>
  <c r="U233"/>
  <c r="V233"/>
  <c r="U234"/>
  <c r="V234"/>
  <c r="U235"/>
  <c r="V235"/>
  <c r="V236"/>
  <c r="V237"/>
  <c r="V238"/>
  <c r="U239"/>
  <c r="V239"/>
  <c r="U242"/>
  <c r="V243"/>
  <c r="U244"/>
  <c r="V244"/>
  <c r="U245"/>
  <c r="U246"/>
  <c r="U247"/>
  <c r="U248"/>
  <c r="V248"/>
  <c r="V249"/>
  <c r="U250"/>
  <c r="V250"/>
  <c r="U251"/>
  <c r="V251"/>
  <c r="U252"/>
  <c r="V252"/>
  <c r="U253"/>
  <c r="V254"/>
  <c r="V255"/>
  <c r="U256"/>
  <c r="V256"/>
  <c r="W10" i="8"/>
  <c r="AA10"/>
  <c r="AC10" s="1"/>
  <c r="AC10" i="9"/>
  <c r="AC17" i="8"/>
  <c r="AA18"/>
  <c r="AA19"/>
  <c r="AA20"/>
  <c r="AA21"/>
  <c r="AC89"/>
  <c r="AC130" i="9"/>
  <c r="AC254" i="8"/>
  <c r="AA10" i="9"/>
  <c r="AA130"/>
  <c r="E10" i="10"/>
  <c r="M10"/>
  <c r="AB10"/>
  <c r="E11"/>
  <c r="M11"/>
  <c r="AB13"/>
  <c r="AB15"/>
  <c r="AB17"/>
  <c r="AB19"/>
  <c r="AB21"/>
  <c r="AB23"/>
  <c r="AB25"/>
  <c r="AB27"/>
  <c r="AB30"/>
  <c r="AB42"/>
  <c r="AB43"/>
  <c r="AB46"/>
  <c r="AB89"/>
  <c r="AB92"/>
  <c r="AB96"/>
  <c r="AB98"/>
  <c r="AB99"/>
  <c r="AB102"/>
  <c r="AB104"/>
  <c r="AB105"/>
  <c r="AB107"/>
  <c r="AB109"/>
  <c r="AB111"/>
  <c r="AB115"/>
  <c r="AB116"/>
  <c r="AB117"/>
  <c r="AB118"/>
  <c r="AB119"/>
  <c r="AB121"/>
  <c r="AB122"/>
  <c r="AB123"/>
  <c r="AB124"/>
  <c r="AB125"/>
  <c r="AB126"/>
  <c r="AB128"/>
  <c r="AB130"/>
  <c r="AB131"/>
  <c r="AB132"/>
  <c r="AB134"/>
  <c r="AB135"/>
  <c r="AB136"/>
  <c r="AB138"/>
  <c r="AB142"/>
  <c r="AB144"/>
  <c r="AB215"/>
  <c r="AB216"/>
  <c r="AB217"/>
  <c r="AB220"/>
  <c r="AB221"/>
  <c r="AB222"/>
  <c r="AB223"/>
  <c r="AB224"/>
  <c r="AB226"/>
  <c r="AB230"/>
  <c r="AB231"/>
  <c r="AB232"/>
  <c r="AB233"/>
  <c r="AB235"/>
  <c r="AB237"/>
  <c r="AB238"/>
  <c r="AB239"/>
  <c r="AB241"/>
  <c r="AB242"/>
  <c r="AB243"/>
  <c r="AB244"/>
  <c r="AB246"/>
  <c r="AB247"/>
  <c r="AB248"/>
  <c r="AB249"/>
  <c r="AB250"/>
  <c r="AB251"/>
  <c r="AB252"/>
  <c r="AB253"/>
  <c r="AB254"/>
  <c r="AB255"/>
  <c r="AB256"/>
  <c r="AB45"/>
  <c r="AB227"/>
  <c r="AR141" i="5"/>
  <c r="AR46"/>
  <c r="AR13"/>
  <c r="AR231"/>
  <c r="AR240"/>
  <c r="AR244"/>
  <c r="AR248"/>
  <c r="AR252"/>
  <c r="U223" i="3"/>
  <c r="U228"/>
  <c r="AM220" i="2"/>
  <c r="AB219" i="10"/>
  <c r="AR227" i="5"/>
  <c r="AM227" i="2"/>
  <c r="AR225" i="5"/>
  <c r="V226" i="7"/>
  <c r="AM230" i="2"/>
  <c r="AM228"/>
  <c r="V229" i="7"/>
  <c r="AR237" i="5"/>
  <c r="AM253" i="2"/>
  <c r="V253" i="7"/>
  <c r="AR249" i="5"/>
  <c r="AM250" i="2"/>
  <c r="AR246" i="5"/>
  <c r="AB229" i="10"/>
  <c r="AR243" i="5"/>
  <c r="AR242"/>
  <c r="AR241"/>
  <c r="AM241" i="2"/>
  <c r="AR239" i="5"/>
  <c r="AR235"/>
  <c r="AM236" i="2"/>
  <c r="U236" i="3"/>
  <c r="AR254" i="5"/>
  <c r="AR255"/>
  <c r="U256" i="3"/>
  <c r="U254"/>
  <c r="U255" i="7"/>
  <c r="AR245" i="5"/>
  <c r="AM246" i="2"/>
  <c r="AM254"/>
  <c r="AR232" i="5"/>
  <c r="U233" i="3"/>
  <c r="AM238" i="2"/>
  <c r="AR229" i="5"/>
  <c r="AR125"/>
  <c r="AM125" i="2"/>
  <c r="U126" i="7"/>
  <c r="U133" i="3"/>
  <c r="U130"/>
  <c r="V127" i="7"/>
  <c r="AM138" i="2"/>
  <c r="U138" i="3"/>
  <c r="AM136" i="2"/>
  <c r="U135" i="7"/>
  <c r="AM144" i="2"/>
  <c r="AR143" i="5"/>
  <c r="AM143" i="2"/>
  <c r="AR139" i="5"/>
  <c r="U139" i="3"/>
  <c r="AB240" i="10"/>
  <c r="AM101" i="2"/>
  <c r="V101" i="7"/>
  <c r="AB100" i="10"/>
  <c r="AR100" i="5"/>
  <c r="AM99" i="2"/>
  <c r="U99" i="3"/>
  <c r="U99" i="7"/>
  <c r="AM98" i="2"/>
  <c r="AC106" i="8"/>
  <c r="AR113" i="5"/>
  <c r="AM113" i="2"/>
  <c r="AR111" i="5"/>
  <c r="AR110"/>
  <c r="AM118" i="2"/>
  <c r="U119" i="7"/>
  <c r="U118"/>
  <c r="AY32" i="13"/>
  <c r="AY85" i="14"/>
  <c r="AY83"/>
  <c r="AY16"/>
  <c r="AY55"/>
  <c r="AY54"/>
  <c r="AY14"/>
  <c r="AZ77" i="6"/>
  <c r="AZ78"/>
  <c r="AZ79"/>
  <c r="AZ89"/>
  <c r="AZ68"/>
  <c r="AZ69"/>
  <c r="AZ72"/>
  <c r="AZ15"/>
  <c r="AZ17"/>
  <c r="AZ19"/>
  <c r="AZ21"/>
  <c r="AZ23"/>
  <c r="AZ25"/>
  <c r="AR142" i="5"/>
  <c r="AR136"/>
  <c r="AR130"/>
  <c r="AR120"/>
  <c r="AR104"/>
  <c r="AR97"/>
  <c r="AR96"/>
  <c r="AR65"/>
  <c r="AR43"/>
  <c r="AR42"/>
  <c r="AR27"/>
  <c r="AR26"/>
  <c r="AR24"/>
  <c r="AR114"/>
  <c r="AR238"/>
  <c r="AR247"/>
  <c r="AM256" i="2"/>
  <c r="AM102"/>
  <c r="AM100"/>
  <c r="AM97"/>
  <c r="AM89"/>
  <c r="AM86"/>
  <c r="AM46"/>
  <c r="AM43"/>
  <c r="AM229"/>
  <c r="AM240"/>
  <c r="U91" i="3"/>
  <c r="U56"/>
  <c r="U57"/>
  <c r="U58"/>
  <c r="U61"/>
  <c r="U49"/>
  <c r="U47"/>
  <c r="U48"/>
  <c r="U45"/>
  <c r="AR219" i="5"/>
  <c r="V91" i="7"/>
  <c r="U90"/>
  <c r="V88"/>
  <c r="U79"/>
  <c r="V79"/>
  <c r="U78"/>
  <c r="U75"/>
  <c r="V75"/>
  <c r="U70"/>
  <c r="V73"/>
  <c r="U71"/>
  <c r="V71"/>
  <c r="U67"/>
  <c r="U69"/>
  <c r="U65"/>
  <c r="V65"/>
  <c r="U63"/>
  <c r="V63"/>
  <c r="U61"/>
  <c r="U62"/>
  <c r="U56"/>
  <c r="V56"/>
  <c r="U58"/>
  <c r="V58"/>
  <c r="U53"/>
  <c r="V52"/>
  <c r="U47"/>
  <c r="V44"/>
  <c r="U38"/>
  <c r="U39"/>
  <c r="U36"/>
  <c r="V36"/>
  <c r="U35"/>
  <c r="U33"/>
  <c r="U32"/>
  <c r="V32"/>
  <c r="U31"/>
  <c r="V31"/>
  <c r="V28"/>
  <c r="V29"/>
  <c r="AC26" i="8"/>
  <c r="AC69" i="9"/>
  <c r="AC99" i="8"/>
  <c r="AC103"/>
  <c r="AC98"/>
  <c r="AC100"/>
  <c r="AC102"/>
  <c r="AC104"/>
  <c r="AB141" i="10"/>
  <c r="AB139"/>
  <c r="AB137"/>
  <c r="AB133"/>
  <c r="AB129"/>
  <c r="AB112"/>
  <c r="AB108"/>
  <c r="AB101"/>
  <c r="AB97"/>
  <c r="AB95"/>
  <c r="AB93"/>
  <c r="AB86"/>
  <c r="AB72"/>
  <c r="AA110" i="8"/>
  <c r="AC110" s="1"/>
  <c r="AC66"/>
  <c r="AA218"/>
  <c r="AB79" i="10"/>
  <c r="AB32"/>
  <c r="AB34"/>
  <c r="AB40"/>
  <c r="AB225"/>
  <c r="AZ95" i="6"/>
  <c r="U93" i="7"/>
  <c r="AZ94" i="6"/>
  <c r="AC97" i="8"/>
  <c r="AB31" i="10"/>
  <c r="AB38"/>
  <c r="AC48" i="8"/>
  <c r="AB48" i="10"/>
  <c r="AB50"/>
  <c r="AB52"/>
  <c r="AC62" i="8"/>
  <c r="AA74"/>
  <c r="AB74" i="10"/>
  <c r="AA76" i="8"/>
  <c r="AB76" i="10"/>
  <c r="AB80"/>
  <c r="AA80" i="8"/>
  <c r="AB82" i="10"/>
  <c r="AA82" i="8"/>
  <c r="AA84"/>
  <c r="AB85" i="10"/>
  <c r="AA85" i="8"/>
  <c r="AB87" i="10"/>
  <c r="AA87" i="8"/>
  <c r="AA94"/>
  <c r="AC94" s="1"/>
  <c r="AB94" i="10"/>
  <c r="AA91" i="8"/>
  <c r="AB91" i="10"/>
  <c r="AB11"/>
  <c r="AB39"/>
  <c r="AB67"/>
  <c r="AB73"/>
  <c r="AA73" i="8"/>
  <c r="AB83" i="10"/>
  <c r="AA83" i="8"/>
  <c r="AC83" s="1"/>
  <c r="AA88"/>
  <c r="AB88" i="10"/>
  <c r="AB69"/>
  <c r="AB12"/>
  <c r="AR89" i="5"/>
  <c r="AC81" i="8"/>
  <c r="AR71" i="5"/>
  <c r="AM72" i="2"/>
  <c r="AR10" i="5"/>
  <c r="AR18"/>
  <c r="AR45"/>
  <c r="AR112"/>
  <c r="AR223"/>
  <c r="AR250"/>
  <c r="AM30" i="2"/>
  <c r="AM42"/>
  <c r="AM63"/>
  <c r="AM124"/>
  <c r="AM231"/>
  <c r="AM251"/>
  <c r="U10" i="3"/>
  <c r="AM45" i="2"/>
  <c r="AC86" i="8"/>
  <c r="AY17" i="13"/>
  <c r="AY244"/>
  <c r="AR118" i="5"/>
  <c r="AR115"/>
  <c r="AR99"/>
  <c r="AR98"/>
  <c r="AR95"/>
  <c r="AR94"/>
  <c r="AR63"/>
  <c r="AR30"/>
  <c r="AR251"/>
  <c r="AR253"/>
  <c r="AR132"/>
  <c r="AR103"/>
  <c r="AR86"/>
  <c r="AR15"/>
  <c r="AR12"/>
  <c r="AM141" i="2"/>
  <c r="AM132"/>
  <c r="AM110"/>
  <c r="AM95"/>
  <c r="AM94"/>
  <c r="AM92"/>
  <c r="AM81"/>
  <c r="AM65"/>
  <c r="AM27"/>
  <c r="AM19"/>
  <c r="AM235"/>
  <c r="AM247"/>
  <c r="AM248"/>
  <c r="U85" i="3"/>
  <c r="U87"/>
  <c r="AM140" i="2"/>
  <c r="AM112"/>
  <c r="AM137"/>
  <c r="AM111"/>
  <c r="AM107"/>
  <c r="AM108"/>
  <c r="AM106"/>
  <c r="AM139"/>
  <c r="AM134"/>
  <c r="AM135"/>
  <c r="V142" i="7"/>
  <c r="U140"/>
  <c r="U121"/>
  <c r="V110"/>
  <c r="V108"/>
  <c r="V33"/>
  <c r="V34"/>
  <c r="U34"/>
  <c r="V35"/>
  <c r="V62"/>
  <c r="V77"/>
  <c r="AC256" i="8"/>
  <c r="AC43"/>
  <c r="V25" i="7"/>
  <c r="U162" i="3"/>
  <c r="U151"/>
  <c r="U147"/>
  <c r="U145"/>
  <c r="U125"/>
  <c r="U116"/>
  <c r="U92"/>
  <c r="AR53" i="5"/>
  <c r="U83" i="3"/>
  <c r="U91" i="7"/>
  <c r="AM29" i="2"/>
  <c r="AM38"/>
  <c r="AM44"/>
  <c r="AM60"/>
  <c r="AM69"/>
  <c r="AM78"/>
  <c r="AM85"/>
  <c r="V41" i="7"/>
  <c r="U41"/>
  <c r="V47"/>
  <c r="V53"/>
  <c r="V70"/>
  <c r="U73"/>
  <c r="V84"/>
  <c r="V85"/>
  <c r="AC203" i="8"/>
  <c r="AC202"/>
  <c r="AC201"/>
  <c r="AC200"/>
  <c r="AC72"/>
  <c r="U142" i="7" l="1"/>
  <c r="U87"/>
  <c r="AM10" i="2"/>
  <c r="AM66"/>
  <c r="V11" i="7"/>
  <c r="AZ12" i="6"/>
  <c r="AC18" i="8"/>
  <c r="AY23" i="13"/>
  <c r="AY22"/>
  <c r="AM109" i="2"/>
  <c r="AM249"/>
  <c r="AM242"/>
  <c r="U241" i="7"/>
  <c r="AM237" i="2"/>
  <c r="AC237" i="8"/>
  <c r="W218" i="12"/>
  <c r="U133" i="7"/>
  <c r="AM133" i="2"/>
  <c r="V128" i="7"/>
  <c r="AM127" i="2"/>
  <c r="V89" i="7"/>
  <c r="AC76" i="8"/>
  <c r="AZ73" i="6"/>
  <c r="AR21" i="5"/>
  <c r="AY33" i="13"/>
  <c r="AY12"/>
  <c r="AC79" i="8"/>
  <c r="AR140" i="5"/>
  <c r="AR138"/>
  <c r="AR122"/>
  <c r="AR105"/>
  <c r="AR92"/>
  <c r="AC93" i="8"/>
  <c r="AY36" i="13"/>
  <c r="AY35"/>
  <c r="AM70" i="2"/>
  <c r="AM77"/>
  <c r="AM87"/>
  <c r="AM90"/>
  <c r="AM91"/>
  <c r="AC96" i="8"/>
  <c r="AC95"/>
  <c r="AC240"/>
  <c r="AB143" i="10"/>
  <c r="AZ75" i="6"/>
  <c r="AR93" i="5"/>
  <c r="AR81"/>
  <c r="V83" i="7"/>
  <c r="AM252" i="2"/>
  <c r="AM103"/>
  <c r="AM22"/>
  <c r="AM20"/>
  <c r="AM18"/>
  <c r="AM218"/>
  <c r="AB22" i="10"/>
  <c r="AA22" i="8"/>
  <c r="AC22" s="1"/>
  <c r="AB140" i="10"/>
  <c r="AM115" i="2"/>
  <c r="AR107" i="5"/>
  <c r="AR106"/>
  <c r="AR101"/>
  <c r="AC230" i="8"/>
  <c r="AC229"/>
  <c r="AM221" i="2"/>
  <c r="AC255" i="8"/>
  <c r="AC252"/>
  <c r="AC251"/>
  <c r="AC250"/>
  <c r="AC248"/>
  <c r="AB245" i="10"/>
  <c r="AR236" i="5"/>
  <c r="AR234"/>
  <c r="AR233"/>
  <c r="AC227" i="8"/>
  <c r="AR226" i="5"/>
  <c r="AC226" i="8"/>
  <c r="AC224"/>
  <c r="AR220" i="5"/>
  <c r="AR218"/>
  <c r="AC218" i="8"/>
  <c r="AC27"/>
  <c r="AC25"/>
  <c r="AZ20" i="6"/>
  <c r="AZ18"/>
  <c r="AB16" i="10"/>
  <c r="AC16" i="8"/>
  <c r="AR14" i="5"/>
  <c r="AR221"/>
  <c r="AR224"/>
  <c r="AR11"/>
  <c r="AY29" i="13"/>
  <c r="AM11" i="2"/>
  <c r="AY10" i="14"/>
  <c r="AY20" i="13"/>
  <c r="AY27"/>
  <c r="AY31"/>
  <c r="AY25"/>
  <c r="AY24"/>
  <c r="AY16"/>
  <c r="AY15"/>
  <c r="AY14"/>
  <c r="AZ70" i="6"/>
  <c r="AZ74"/>
  <c r="AR47" i="5"/>
  <c r="AR49"/>
  <c r="V59" i="7"/>
  <c r="AM83" i="2"/>
  <c r="AC132" i="8"/>
  <c r="AC134"/>
  <c r="AC231"/>
  <c r="AC133"/>
  <c r="AC135"/>
  <c r="W230" i="12"/>
  <c r="AY13" i="13"/>
  <c r="AY11"/>
  <c r="AY18"/>
  <c r="AY30"/>
  <c r="AY21"/>
  <c r="AY13" i="14"/>
  <c r="AY19"/>
  <c r="AY11"/>
  <c r="AY91"/>
  <c r="AY82"/>
  <c r="BM66"/>
  <c r="AY74"/>
  <c r="AY76"/>
  <c r="AY78"/>
  <c r="AY87"/>
  <c r="AY90"/>
  <c r="BM90"/>
  <c r="AM131" i="2"/>
  <c r="AM129"/>
  <c r="AM243"/>
  <c r="AM244"/>
  <c r="AM75"/>
  <c r="AM84"/>
  <c r="AM57"/>
  <c r="U57" i="7"/>
  <c r="V57"/>
  <c r="AC136" i="8"/>
  <c r="AC42"/>
  <c r="AC126"/>
  <c r="AC84"/>
  <c r="AC127"/>
  <c r="AC131"/>
  <c r="AC128"/>
  <c r="AY84" i="14"/>
  <c r="AY22"/>
  <c r="AY17"/>
  <c r="AY68"/>
  <c r="AY70"/>
  <c r="AY75"/>
  <c r="AY77"/>
  <c r="AY69"/>
  <c r="AY72"/>
  <c r="AY73"/>
  <c r="AY15"/>
  <c r="AY79"/>
  <c r="AZ13" i="6"/>
  <c r="AZ22"/>
  <c r="AZ81"/>
  <c r="AZ92"/>
  <c r="AY37" i="13"/>
  <c r="AY19"/>
  <c r="AY28"/>
  <c r="AY26"/>
  <c r="AY247"/>
  <c r="W68" i="12"/>
  <c r="W29"/>
  <c r="W36"/>
  <c r="W37"/>
  <c r="W65"/>
  <c r="W57"/>
  <c r="W85"/>
  <c r="W87"/>
  <c r="AR52" i="5"/>
  <c r="AR33"/>
  <c r="AR22"/>
  <c r="AR228"/>
  <c r="AR16"/>
  <c r="AR17"/>
  <c r="AR20"/>
  <c r="AR23"/>
  <c r="AR129"/>
  <c r="AR134"/>
  <c r="AR133"/>
  <c r="AR128"/>
  <c r="AR102"/>
  <c r="AR124"/>
  <c r="AM33" i="2"/>
  <c r="AM59"/>
  <c r="AM52"/>
  <c r="AM26"/>
  <c r="AM24"/>
  <c r="AM23"/>
  <c r="AM21"/>
  <c r="AM17"/>
  <c r="AM16"/>
  <c r="AM15"/>
  <c r="AM14"/>
  <c r="AM13"/>
  <c r="AM226"/>
  <c r="AM232"/>
  <c r="AM233"/>
  <c r="AM234"/>
  <c r="AM223"/>
  <c r="AM64"/>
  <c r="AM122"/>
  <c r="AM119"/>
  <c r="AM105"/>
  <c r="AM104"/>
  <c r="AM96"/>
  <c r="AM239"/>
  <c r="AM32"/>
  <c r="U76" i="3"/>
  <c r="U59"/>
  <c r="U62"/>
  <c r="U65"/>
  <c r="U68"/>
  <c r="AR40" i="5"/>
  <c r="U40" i="3"/>
  <c r="AR80" i="5"/>
  <c r="U80" i="3"/>
  <c r="U229"/>
  <c r="U32"/>
  <c r="U79"/>
  <c r="AR73" i="5"/>
  <c r="U73" i="3"/>
  <c r="AR79" i="5"/>
  <c r="AR108"/>
  <c r="AM76" i="2"/>
  <c r="V76" i="7"/>
  <c r="U76"/>
  <c r="V115"/>
  <c r="AM126" i="2"/>
  <c r="AM50"/>
  <c r="V50" i="7"/>
  <c r="U50"/>
  <c r="AM80" i="2"/>
  <c r="U80" i="7"/>
  <c r="V80"/>
  <c r="AM74" i="2"/>
  <c r="V74" i="7"/>
  <c r="U74"/>
  <c r="AM217" i="2"/>
  <c r="AM222"/>
  <c r="V40" i="7"/>
  <c r="V49"/>
  <c r="AM48" i="2"/>
  <c r="V48" i="7"/>
  <c r="U48"/>
  <c r="AM55" i="2"/>
  <c r="U55" i="7"/>
  <c r="V55"/>
  <c r="AM82" i="2"/>
  <c r="U82" i="7"/>
  <c r="V82"/>
  <c r="AM37" i="2"/>
  <c r="V37" i="7"/>
  <c r="U37"/>
  <c r="AM67" i="2"/>
  <c r="V68" i="7"/>
  <c r="U68"/>
  <c r="AM219" i="2"/>
  <c r="V240" i="7"/>
  <c r="AM49" i="2"/>
  <c r="AC46" i="8"/>
  <c r="AC24"/>
  <c r="AC20"/>
  <c r="AC225"/>
  <c r="AC65"/>
  <c r="AC207"/>
  <c r="AC209"/>
  <c r="AC208"/>
  <c r="AC80"/>
  <c r="AC59"/>
  <c r="AC39"/>
  <c r="AC87"/>
  <c r="AC45"/>
  <c r="AC69"/>
  <c r="AA69" i="9"/>
  <c r="AC73" i="8"/>
  <c r="AC38"/>
  <c r="AC108"/>
  <c r="AC111"/>
  <c r="AC113"/>
  <c r="AC117"/>
  <c r="AC119"/>
  <c r="AC105"/>
  <c r="AC138"/>
  <c r="AC140"/>
  <c r="AC142"/>
  <c r="AC144"/>
  <c r="AC198"/>
  <c r="AC204"/>
  <c r="AC206"/>
  <c r="AC211"/>
  <c r="AC213"/>
  <c r="AC215"/>
  <c r="AC217"/>
  <c r="AC220"/>
  <c r="AC222"/>
  <c r="AC233"/>
  <c r="AC235"/>
  <c r="AC238"/>
  <c r="AC242"/>
  <c r="AC244"/>
  <c r="AC246"/>
  <c r="AC88"/>
  <c r="AC107"/>
  <c r="AC109"/>
  <c r="AC116"/>
  <c r="AC118"/>
  <c r="AC121"/>
  <c r="AC137"/>
  <c r="AC139"/>
  <c r="AC199"/>
  <c r="AC197"/>
  <c r="AC212"/>
  <c r="AC214"/>
  <c r="AC216"/>
  <c r="AC219"/>
  <c r="AC221"/>
  <c r="AC210"/>
  <c r="AC223"/>
  <c r="AC241"/>
  <c r="AC239"/>
  <c r="AC243"/>
  <c r="AC245"/>
  <c r="AB37" i="10"/>
  <c r="AC41" i="8"/>
  <c r="AB41" i="10"/>
  <c r="AC47" i="8"/>
  <c r="AB47" i="10"/>
  <c r="AC49" i="8"/>
  <c r="AB49" i="10"/>
  <c r="AB51"/>
  <c r="AC53" i="8"/>
  <c r="AB53" i="10"/>
  <c r="AC29" i="8"/>
  <c r="AB29" i="10"/>
  <c r="AB36"/>
  <c r="AC44" i="8"/>
  <c r="AB44" i="10"/>
  <c r="AA71" i="8"/>
  <c r="AB71" i="10"/>
  <c r="AC36" i="8"/>
  <c r="AC114"/>
  <c r="AC196"/>
  <c r="AB28" i="10"/>
  <c r="AB33"/>
  <c r="AB35"/>
  <c r="AC35" i="8"/>
  <c r="AC55"/>
  <c r="AB68" i="10"/>
  <c r="AA70" i="8"/>
  <c r="AC70" s="1"/>
  <c r="AB70" i="10"/>
  <c r="AA75" i="8"/>
  <c r="AC75" s="1"/>
  <c r="AB75" i="10"/>
  <c r="AA77" i="8"/>
  <c r="AC77" s="1"/>
  <c r="AB77" i="10"/>
  <c r="AC58" i="8"/>
  <c r="AC60"/>
  <c r="AB78" i="10"/>
  <c r="AA78" i="8"/>
  <c r="AC78" s="1"/>
  <c r="AA90"/>
  <c r="AC90" s="1"/>
  <c r="AB90" i="10"/>
  <c r="AC12" i="8"/>
  <c r="AB14" i="10"/>
  <c r="AC68" i="8"/>
  <c r="AC234"/>
  <c r="AC13"/>
  <c r="AM25" i="2"/>
  <c r="AC232" i="8"/>
  <c r="AC143"/>
  <c r="AC141"/>
  <c r="BN68" i="6"/>
  <c r="AZ71"/>
  <c r="AZ80"/>
  <c r="AZ86"/>
  <c r="AZ90"/>
  <c r="AM130" i="2"/>
  <c r="AC130" i="8"/>
  <c r="AC129"/>
  <c r="AC125"/>
  <c r="U124" i="3"/>
  <c r="AR123" i="5"/>
  <c r="AM123" i="2"/>
  <c r="V124" i="7"/>
  <c r="U124"/>
  <c r="AC124" i="8"/>
  <c r="AC123"/>
  <c r="AC122"/>
  <c r="AC112"/>
  <c r="AC115"/>
  <c r="AY86" i="14"/>
  <c r="AC30" i="8"/>
  <c r="AC21"/>
  <c r="AC19"/>
  <c r="AM28" i="2"/>
  <c r="U28" i="7"/>
  <c r="AM39" i="2"/>
  <c r="V39" i="7"/>
  <c r="AM88" i="2"/>
  <c r="U88" i="7"/>
  <c r="AC11" i="8"/>
  <c r="AC31"/>
  <c r="AC34"/>
  <c r="AC37"/>
  <c r="AC40"/>
  <c r="AC57"/>
  <c r="AC74"/>
  <c r="AC82"/>
  <c r="AC91"/>
  <c r="AM40" i="2"/>
  <c r="AR59" i="5"/>
  <c r="AR87"/>
  <c r="AR61"/>
  <c r="AR64"/>
  <c r="AR85"/>
  <c r="BN37" i="14"/>
  <c r="AC61" i="8"/>
  <c r="V45" i="7"/>
  <c r="AC63" i="8"/>
  <c r="AC23"/>
  <c r="AC14"/>
  <c r="AC15"/>
  <c r="AC52"/>
  <c r="AC67"/>
  <c r="AC85"/>
  <c r="AC50"/>
  <c r="AC71" l="1"/>
  <c r="AR67" i="5"/>
  <c r="AR32"/>
  <c r="AR29"/>
  <c r="U29" i="3"/>
  <c r="AR78" i="5"/>
  <c r="U78" i="3"/>
  <c r="AR70" i="5"/>
  <c r="U71" i="3"/>
  <c r="AR68" i="5"/>
  <c r="U69" i="3"/>
  <c r="AR66" i="5"/>
  <c r="U67" i="3"/>
  <c r="AR62" i="5"/>
  <c r="U63" i="3"/>
  <c r="AR31" i="5"/>
  <c r="U31" i="3"/>
  <c r="AR28" i="5"/>
  <c r="U28" i="3"/>
  <c r="AR77" i="5"/>
  <c r="U77" i="3"/>
  <c r="AR69" i="5"/>
  <c r="U70" i="3"/>
  <c r="AR84" i="5"/>
  <c r="U84" i="3"/>
  <c r="AR88" i="5"/>
  <c r="U88" i="3"/>
  <c r="AR82" i="5"/>
  <c r="U82" i="3"/>
  <c r="AR41" i="5"/>
  <c r="U41" i="3"/>
  <c r="AR75" i="5"/>
  <c r="U75" i="3"/>
  <c r="AR55" i="5"/>
  <c r="U55" i="3"/>
  <c r="AR51" i="5"/>
  <c r="U51" i="3"/>
  <c r="U44"/>
  <c r="AR44" i="5"/>
  <c r="AR37"/>
  <c r="U37" i="3"/>
  <c r="AR35" i="5"/>
  <c r="U35" i="3"/>
  <c r="AR74" i="5"/>
  <c r="U74" i="3"/>
  <c r="U54"/>
  <c r="U50"/>
  <c r="AR50" i="5"/>
  <c r="AR39"/>
  <c r="U39" i="3"/>
  <c r="AR36" i="5"/>
  <c r="U36" i="3"/>
  <c r="AR34" i="5"/>
  <c r="U34" i="3"/>
  <c r="U90"/>
  <c r="AR90" i="5"/>
  <c r="AM54" i="2"/>
  <c r="V54" i="7"/>
  <c r="U54"/>
  <c r="AM51" i="2"/>
  <c r="V51" i="7"/>
  <c r="U51"/>
  <c r="AC28" i="8"/>
  <c r="AC33"/>
  <c r="AC56"/>
  <c r="AC54"/>
  <c r="AC51"/>
  <c r="AR38" i="5"/>
  <c r="U38" i="3"/>
  <c r="AB236" i="10"/>
  <c r="AA236" i="8" l="1"/>
  <c r="AC236" s="1"/>
</calcChain>
</file>

<file path=xl/sharedStrings.xml><?xml version="1.0" encoding="utf-8"?>
<sst xmlns="http://schemas.openxmlformats.org/spreadsheetml/2006/main" count="12071" uniqueCount="509">
  <si>
    <t>Assets</t>
  </si>
  <si>
    <t>Liabilities</t>
  </si>
  <si>
    <t>Net Assets</t>
  </si>
  <si>
    <t>Current</t>
  </si>
  <si>
    <t>Capital</t>
  </si>
  <si>
    <t>Deferred</t>
  </si>
  <si>
    <t>Total</t>
  </si>
  <si>
    <t>Invested in</t>
  </si>
  <si>
    <t>City</t>
  </si>
  <si>
    <t>County</t>
  </si>
  <si>
    <t>Restricted</t>
  </si>
  <si>
    <t>Unrestricted</t>
  </si>
  <si>
    <t>Akron</t>
  </si>
  <si>
    <t>Summit</t>
  </si>
  <si>
    <t>Alliance</t>
  </si>
  <si>
    <t>Stark</t>
  </si>
  <si>
    <t>Amherst</t>
  </si>
  <si>
    <t>Lorain</t>
  </si>
  <si>
    <t>Ashland</t>
  </si>
  <si>
    <t>Ashtabula</t>
  </si>
  <si>
    <t>Athens</t>
  </si>
  <si>
    <t>Aurora</t>
  </si>
  <si>
    <t>Portage</t>
  </si>
  <si>
    <t>Avon</t>
  </si>
  <si>
    <t>Avon Lake</t>
  </si>
  <si>
    <t>Barberton</t>
  </si>
  <si>
    <t>Bay Village</t>
  </si>
  <si>
    <t>Cuyahoga</t>
  </si>
  <si>
    <t>Beachwood</t>
  </si>
  <si>
    <t>Beavercreek</t>
  </si>
  <si>
    <t>Greene</t>
  </si>
  <si>
    <t>Bedford</t>
  </si>
  <si>
    <t>Bedford Heights</t>
  </si>
  <si>
    <t>Belmont</t>
  </si>
  <si>
    <t>Bellbrook</t>
  </si>
  <si>
    <t>Bellefontaine</t>
  </si>
  <si>
    <t>Logan</t>
  </si>
  <si>
    <t>Bellevue</t>
  </si>
  <si>
    <t>Huron</t>
  </si>
  <si>
    <t>Belpre</t>
  </si>
  <si>
    <t>Washington</t>
  </si>
  <si>
    <t>Berea</t>
  </si>
  <si>
    <t>Bexley</t>
  </si>
  <si>
    <t>Franklin</t>
  </si>
  <si>
    <t>Blue Ash</t>
  </si>
  <si>
    <t>Hamilton</t>
  </si>
  <si>
    <t>Bowling Green</t>
  </si>
  <si>
    <t>Wood</t>
  </si>
  <si>
    <t>Brecksville</t>
  </si>
  <si>
    <t>Broadview Heights</t>
  </si>
  <si>
    <t>Brook Park</t>
  </si>
  <si>
    <t>Brooklyn</t>
  </si>
  <si>
    <t>Brunswick</t>
  </si>
  <si>
    <t>Medina</t>
  </si>
  <si>
    <t>Bryan</t>
  </si>
  <si>
    <t>Williams</t>
  </si>
  <si>
    <t>Bucyrus</t>
  </si>
  <si>
    <t>Crawford</t>
  </si>
  <si>
    <t>Cambridge</t>
  </si>
  <si>
    <t>Guernsey</t>
  </si>
  <si>
    <t>Canfield</t>
  </si>
  <si>
    <t>Mahoning</t>
  </si>
  <si>
    <t>Canton</t>
  </si>
  <si>
    <t>Celina</t>
  </si>
  <si>
    <t>Mercer</t>
  </si>
  <si>
    <t>Centerville</t>
  </si>
  <si>
    <t>Montgomery</t>
  </si>
  <si>
    <t>Chardon</t>
  </si>
  <si>
    <t>Cheviot</t>
  </si>
  <si>
    <t>Chillicothe</t>
  </si>
  <si>
    <t>Ross</t>
  </si>
  <si>
    <t>Cincinnati</t>
  </si>
  <si>
    <t>Clayton</t>
  </si>
  <si>
    <t xml:space="preserve">Cleveland </t>
  </si>
  <si>
    <t>Cleveland Heights</t>
  </si>
  <si>
    <t>Clyde</t>
  </si>
  <si>
    <t>Sandusky</t>
  </si>
  <si>
    <t>Columbus</t>
  </si>
  <si>
    <t>Conneaut</t>
  </si>
  <si>
    <t>Cortland</t>
  </si>
  <si>
    <t>Trumbull</t>
  </si>
  <si>
    <t>Coshocton</t>
  </si>
  <si>
    <t>Cuyahoga Falls</t>
  </si>
  <si>
    <t>Dayton</t>
  </si>
  <si>
    <t>Deer Park</t>
  </si>
  <si>
    <t>Defiance</t>
  </si>
  <si>
    <t>Delaware</t>
  </si>
  <si>
    <t>Delphos</t>
  </si>
  <si>
    <t>Allen</t>
  </si>
  <si>
    <t>Tuscarawas</t>
  </si>
  <si>
    <t>Dublin</t>
  </si>
  <si>
    <t>Eastlake</t>
  </si>
  <si>
    <t>Lake</t>
  </si>
  <si>
    <t>East Liverpool</t>
  </si>
  <si>
    <t>Columbiana</t>
  </si>
  <si>
    <t>East Palestine</t>
  </si>
  <si>
    <t>Eaton</t>
  </si>
  <si>
    <t>Preble</t>
  </si>
  <si>
    <t>Elyria</t>
  </si>
  <si>
    <t>Englewood</t>
  </si>
  <si>
    <t>Euclid</t>
  </si>
  <si>
    <t>Fairborn</t>
  </si>
  <si>
    <t>Fairfield</t>
  </si>
  <si>
    <t>Butler</t>
  </si>
  <si>
    <t>Fairlawn</t>
  </si>
  <si>
    <t>Fairview Park</t>
  </si>
  <si>
    <t>Findlay</t>
  </si>
  <si>
    <t>Hancock</t>
  </si>
  <si>
    <t>Forest Park</t>
  </si>
  <si>
    <t>Fostoria</t>
  </si>
  <si>
    <t>Seneca</t>
  </si>
  <si>
    <t>Warren</t>
  </si>
  <si>
    <t>Fremont</t>
  </si>
  <si>
    <t>Gahanna</t>
  </si>
  <si>
    <t>Garfield Heights</t>
  </si>
  <si>
    <t>Geneva</t>
  </si>
  <si>
    <t>Girard</t>
  </si>
  <si>
    <t>Grandview Heights</t>
  </si>
  <si>
    <t>Green</t>
  </si>
  <si>
    <t>Highland</t>
  </si>
  <si>
    <t>Greenville</t>
  </si>
  <si>
    <t>Darke</t>
  </si>
  <si>
    <t>Grove City</t>
  </si>
  <si>
    <t>Harrison</t>
  </si>
  <si>
    <t>Heath</t>
  </si>
  <si>
    <t>Licking</t>
  </si>
  <si>
    <t>Highland Heights</t>
  </si>
  <si>
    <t>Hillard</t>
  </si>
  <si>
    <t>Hillsboro</t>
  </si>
  <si>
    <t>Hubbard</t>
  </si>
  <si>
    <t>Huber Heights</t>
  </si>
  <si>
    <t>Hudson</t>
  </si>
  <si>
    <t>Erie</t>
  </si>
  <si>
    <t>Independence</t>
  </si>
  <si>
    <t>Ironton</t>
  </si>
  <si>
    <t>Lawrence</t>
  </si>
  <si>
    <t>Jackson</t>
  </si>
  <si>
    <t>Kent</t>
  </si>
  <si>
    <t>Kenton</t>
  </si>
  <si>
    <t>Hardin</t>
  </si>
  <si>
    <t>Kettering</t>
  </si>
  <si>
    <t>Lakewood</t>
  </si>
  <si>
    <t>Lancaster</t>
  </si>
  <si>
    <t>Lebanon</t>
  </si>
  <si>
    <t>Lima</t>
  </si>
  <si>
    <t>Hocking</t>
  </si>
  <si>
    <t>London</t>
  </si>
  <si>
    <t>Madison</t>
  </si>
  <si>
    <t>Louisville</t>
  </si>
  <si>
    <t>Loveland</t>
  </si>
  <si>
    <t>Lyndhurst</t>
  </si>
  <si>
    <t>Macedonia</t>
  </si>
  <si>
    <t>Mansfield</t>
  </si>
  <si>
    <t>Richland</t>
  </si>
  <si>
    <t>Maple Heights</t>
  </si>
  <si>
    <t>Marietta</t>
  </si>
  <si>
    <t>Marion</t>
  </si>
  <si>
    <t>Martins Ferry</t>
  </si>
  <si>
    <t>Marysville</t>
  </si>
  <si>
    <t>Union</t>
  </si>
  <si>
    <t>Mason City</t>
  </si>
  <si>
    <t>Massillon</t>
  </si>
  <si>
    <t>Maumee</t>
  </si>
  <si>
    <t>Lucas</t>
  </si>
  <si>
    <t>Mayfield Heights</t>
  </si>
  <si>
    <t>Mentor</t>
  </si>
  <si>
    <t>Mentor-On-The-Lake</t>
  </si>
  <si>
    <t>Miamisburg</t>
  </si>
  <si>
    <t>Middleburg Hts</t>
  </si>
  <si>
    <t>Middletown</t>
  </si>
  <si>
    <t>Milford</t>
  </si>
  <si>
    <t>Clermont</t>
  </si>
  <si>
    <t>Monroe</t>
  </si>
  <si>
    <t>Moraine</t>
  </si>
  <si>
    <t>Mount Healthy</t>
  </si>
  <si>
    <t>Mount Vernon</t>
  </si>
  <si>
    <t>Knox</t>
  </si>
  <si>
    <t>Munroe Falls</t>
  </si>
  <si>
    <t>Napoleon</t>
  </si>
  <si>
    <t>Henry</t>
  </si>
  <si>
    <t>Nelsonville</t>
  </si>
  <si>
    <t>Newark</t>
  </si>
  <si>
    <t>New Carlisle</t>
  </si>
  <si>
    <t>Clark</t>
  </si>
  <si>
    <t>New Philadelphia</t>
  </si>
  <si>
    <t>Niles</t>
  </si>
  <si>
    <t>North Canton</t>
  </si>
  <si>
    <t>North Olmsted</t>
  </si>
  <si>
    <t>North Royalton</t>
  </si>
  <si>
    <t>North Ridegville</t>
  </si>
  <si>
    <t>Northwood</t>
  </si>
  <si>
    <t>Norton</t>
  </si>
  <si>
    <t>Norwalk</t>
  </si>
  <si>
    <t>Norwood</t>
  </si>
  <si>
    <t>Oakwood</t>
  </si>
  <si>
    <t>Oberlin</t>
  </si>
  <si>
    <t>Olmstead Falls</t>
  </si>
  <si>
    <t>Oregon</t>
  </si>
  <si>
    <t>Orrville</t>
  </si>
  <si>
    <t>Wayne</t>
  </si>
  <si>
    <t>Oxford</t>
  </si>
  <si>
    <t>Painesville</t>
  </si>
  <si>
    <t>Parma</t>
  </si>
  <si>
    <t>Parma Heights</t>
  </si>
  <si>
    <t>Pataskala</t>
  </si>
  <si>
    <t>Pepper Pike</t>
  </si>
  <si>
    <t>Perrysburg</t>
  </si>
  <si>
    <t>Pickerington</t>
  </si>
  <si>
    <t>Piqua</t>
  </si>
  <si>
    <t>Miami</t>
  </si>
  <si>
    <t>Port Clinton</t>
  </si>
  <si>
    <t>Ottawa</t>
  </si>
  <si>
    <t>Portsmouth</t>
  </si>
  <si>
    <t>Scioto</t>
  </si>
  <si>
    <t>Powell</t>
  </si>
  <si>
    <t>Ravenna</t>
  </si>
  <si>
    <t>Reading</t>
  </si>
  <si>
    <t>Reynoldsburg</t>
  </si>
  <si>
    <t>Richmond Heights</t>
  </si>
  <si>
    <t>Rittman</t>
  </si>
  <si>
    <t>Riverside</t>
  </si>
  <si>
    <t>Rocky River</t>
  </si>
  <si>
    <t>Rossford</t>
  </si>
  <si>
    <t>Salem</t>
  </si>
  <si>
    <t>Seven Hills</t>
  </si>
  <si>
    <t>Shaker Heights</t>
  </si>
  <si>
    <t>Sharonville</t>
  </si>
  <si>
    <t>Sheffield Lake</t>
  </si>
  <si>
    <t>Shelby</t>
  </si>
  <si>
    <t>Sidney</t>
  </si>
  <si>
    <t>Silverton</t>
  </si>
  <si>
    <t>Solon</t>
  </si>
  <si>
    <t>South Euclid</t>
  </si>
  <si>
    <t>Springboro</t>
  </si>
  <si>
    <t>Springdale</t>
  </si>
  <si>
    <t>Springfield</t>
  </si>
  <si>
    <t>St. Bernard</t>
  </si>
  <si>
    <t>St. Clairsville</t>
  </si>
  <si>
    <t>St. Marys</t>
  </si>
  <si>
    <t>Auglaize</t>
  </si>
  <si>
    <t>Stow</t>
  </si>
  <si>
    <t>Streetsboro</t>
  </si>
  <si>
    <t>Strongsville</t>
  </si>
  <si>
    <t>Sylvania</t>
  </si>
  <si>
    <t>Tallmadge</t>
  </si>
  <si>
    <t>Tiffin</t>
  </si>
  <si>
    <t>Tipp City</t>
  </si>
  <si>
    <t>Toledo</t>
  </si>
  <si>
    <t>Toronto</t>
  </si>
  <si>
    <t>Jefferson</t>
  </si>
  <si>
    <t>Trenton</t>
  </si>
  <si>
    <t>Trotwood</t>
  </si>
  <si>
    <t>Troy</t>
  </si>
  <si>
    <t>Twinsburg</t>
  </si>
  <si>
    <t>Uhrichsville</t>
  </si>
  <si>
    <t>University Heights</t>
  </si>
  <si>
    <t>Upper Arlington</t>
  </si>
  <si>
    <t>Upper Sandusky</t>
  </si>
  <si>
    <t>Wyandot</t>
  </si>
  <si>
    <t>Urbana</t>
  </si>
  <si>
    <t>Champaign</t>
  </si>
  <si>
    <t>Vandalia</t>
  </si>
  <si>
    <t>Vermilion</t>
  </si>
  <si>
    <t>Wadsworth</t>
  </si>
  <si>
    <t>Wapakoneta</t>
  </si>
  <si>
    <t>Warrensville Heights</t>
  </si>
  <si>
    <t>Wauseon</t>
  </si>
  <si>
    <t>Fulton</t>
  </si>
  <si>
    <t>Waverly</t>
  </si>
  <si>
    <t>Pike</t>
  </si>
  <si>
    <t>Wellston</t>
  </si>
  <si>
    <t>West Carrollton</t>
  </si>
  <si>
    <t>Westerville</t>
  </si>
  <si>
    <t>Westlake</t>
  </si>
  <si>
    <t>Whitehall</t>
  </si>
  <si>
    <t>Wickliffe</t>
  </si>
  <si>
    <t>Willard</t>
  </si>
  <si>
    <t>Willoughby</t>
  </si>
  <si>
    <t>Willoughby Hills</t>
  </si>
  <si>
    <t>Willowick</t>
  </si>
  <si>
    <t>Wilmington</t>
  </si>
  <si>
    <t>Clinton</t>
  </si>
  <si>
    <t>Wooster</t>
  </si>
  <si>
    <t>Worthington</t>
  </si>
  <si>
    <t>Wyoming</t>
  </si>
  <si>
    <t>Xenia</t>
  </si>
  <si>
    <t>Youngstown</t>
  </si>
  <si>
    <t>Zanesville</t>
  </si>
  <si>
    <t>Muskingum</t>
  </si>
  <si>
    <t>All Cities Reporting Under GAAP</t>
  </si>
  <si>
    <t>Capital Assets</t>
  </si>
  <si>
    <t>Program Revenues - Governmental Activities</t>
  </si>
  <si>
    <t>Charges for</t>
  </si>
  <si>
    <t>Property</t>
  </si>
  <si>
    <t>Other</t>
  </si>
  <si>
    <t>Investment</t>
  </si>
  <si>
    <t>General</t>
  </si>
  <si>
    <t>Services</t>
  </si>
  <si>
    <t>Grants</t>
  </si>
  <si>
    <t>Taxes</t>
  </si>
  <si>
    <t>Earnings</t>
  </si>
  <si>
    <t>Transfers</t>
  </si>
  <si>
    <t>Revenues</t>
  </si>
  <si>
    <t>Income</t>
  </si>
  <si>
    <t xml:space="preserve">Other </t>
  </si>
  <si>
    <t>Public</t>
  </si>
  <si>
    <t>Leisure</t>
  </si>
  <si>
    <t>Basic Utility</t>
  </si>
  <si>
    <t>Interest/</t>
  </si>
  <si>
    <t>Health</t>
  </si>
  <si>
    <t>Time</t>
  </si>
  <si>
    <t>Development</t>
  </si>
  <si>
    <t>Transportation</t>
  </si>
  <si>
    <t>Service</t>
  </si>
  <si>
    <t>Government</t>
  </si>
  <si>
    <t>1 Not broken out</t>
  </si>
  <si>
    <t>For the Year Ended December 31, 2002</t>
  </si>
  <si>
    <t>Reserved</t>
  </si>
  <si>
    <t>Unreserved/</t>
  </si>
  <si>
    <t>Cash and</t>
  </si>
  <si>
    <t>Fund</t>
  </si>
  <si>
    <t>Undesignated</t>
  </si>
  <si>
    <t>Investments</t>
  </si>
  <si>
    <t>Revenue</t>
  </si>
  <si>
    <t>Balance</t>
  </si>
  <si>
    <t>Fund Balance</t>
  </si>
  <si>
    <t>Income Tax</t>
  </si>
  <si>
    <t>Inter-</t>
  </si>
  <si>
    <t>Special</t>
  </si>
  <si>
    <t>Fees, Licenses</t>
  </si>
  <si>
    <t>All Other</t>
  </si>
  <si>
    <t>governmental</t>
  </si>
  <si>
    <t>Assessments</t>
  </si>
  <si>
    <t>Community</t>
  </si>
  <si>
    <t>Other Current</t>
  </si>
  <si>
    <t>Environment</t>
  </si>
  <si>
    <t>Activities</t>
  </si>
  <si>
    <t>Expenditures</t>
  </si>
  <si>
    <t>Outlay</t>
  </si>
  <si>
    <t>Principal</t>
  </si>
  <si>
    <t>Fiscal Charges</t>
  </si>
  <si>
    <t xml:space="preserve">Tiffin </t>
  </si>
  <si>
    <t>Cleveland</t>
  </si>
  <si>
    <t>Champgain</t>
  </si>
  <si>
    <t>Interest and</t>
  </si>
  <si>
    <t>Operating</t>
  </si>
  <si>
    <t>Champagin</t>
  </si>
  <si>
    <t>|</t>
  </si>
  <si>
    <t>Long-Term Obligations</t>
  </si>
  <si>
    <t>Property,</t>
  </si>
  <si>
    <t>Mortgage and</t>
  </si>
  <si>
    <t>Non-Current</t>
  </si>
  <si>
    <t>Long-Term</t>
  </si>
  <si>
    <t>Expenses Less</t>
  </si>
  <si>
    <t>Non-Operating</t>
  </si>
  <si>
    <t>Net Working</t>
  </si>
  <si>
    <t>Obligation</t>
  </si>
  <si>
    <t>Depreciation</t>
  </si>
  <si>
    <t>Income/Loss</t>
  </si>
  <si>
    <t>Transfers-In</t>
  </si>
  <si>
    <t>Transfers-Out</t>
  </si>
  <si>
    <t>Contributions</t>
  </si>
  <si>
    <t>Bonds</t>
  </si>
  <si>
    <t>Loans</t>
  </si>
  <si>
    <t>Obligations</t>
  </si>
  <si>
    <t xml:space="preserve">Mount Healthy </t>
  </si>
  <si>
    <t>No Notes, cant breakdown enterprise</t>
  </si>
  <si>
    <t>No breakdown avaiable</t>
  </si>
  <si>
    <t>Change in</t>
  </si>
  <si>
    <t>Champiagn</t>
  </si>
  <si>
    <t>Clintion</t>
  </si>
  <si>
    <t xml:space="preserve">No Segment information avaiable </t>
  </si>
  <si>
    <t>not broken out</t>
  </si>
  <si>
    <t>Revenues/</t>
  </si>
  <si>
    <t>Expenses</t>
  </si>
  <si>
    <t>Geauga</t>
  </si>
  <si>
    <t>All</t>
  </si>
  <si>
    <t>Assessment</t>
  </si>
  <si>
    <t>Notes</t>
  </si>
  <si>
    <t>Compensated</t>
  </si>
  <si>
    <t>Payables</t>
  </si>
  <si>
    <t>Payable</t>
  </si>
  <si>
    <t>Leases</t>
  </si>
  <si>
    <t>Absences</t>
  </si>
  <si>
    <t>Revenues from the Statement of Activities</t>
  </si>
  <si>
    <t>Expenses from the Statement of Activities</t>
  </si>
  <si>
    <t>Ontario</t>
  </si>
  <si>
    <t>General Fund Revenues - Modified Accrual Basis of Accounting</t>
  </si>
  <si>
    <t>General Fund Expenditures - Modified Accrual Basis of Accounting</t>
  </si>
  <si>
    <t>Governmental Fund Expenditures - Modified Accrual Basis of Accounting</t>
  </si>
  <si>
    <t xml:space="preserve">Summary Data from the Governmental Fund Balance Sheet </t>
  </si>
  <si>
    <t>Water Enterprise Fund</t>
  </si>
  <si>
    <t>Sewer Enterprise Fund</t>
  </si>
  <si>
    <t>Electric Enterprise Fund</t>
  </si>
  <si>
    <t xml:space="preserve">Dover </t>
  </si>
  <si>
    <t>Dover</t>
  </si>
  <si>
    <t xml:space="preserve">Security of </t>
  </si>
  <si>
    <t xml:space="preserve"> Property</t>
  </si>
  <si>
    <t>Persons and</t>
  </si>
  <si>
    <t>Operating Grants</t>
  </si>
  <si>
    <t>and Interest</t>
  </si>
  <si>
    <t>and Fines</t>
  </si>
  <si>
    <t xml:space="preserve">Ontario </t>
  </si>
  <si>
    <t>1 information not available</t>
  </si>
  <si>
    <t>1 not broken out</t>
  </si>
  <si>
    <t>No Segment information provided</t>
  </si>
  <si>
    <t>No breakdown aviable</t>
  </si>
  <si>
    <t>1 Not enough info to determine</t>
  </si>
  <si>
    <t>1 Loans not broken out</t>
  </si>
  <si>
    <t>Information missing from segment info to calculate</t>
  </si>
  <si>
    <t>Information not available</t>
  </si>
  <si>
    <t>Additions to</t>
  </si>
  <si>
    <t>Deletions from</t>
  </si>
  <si>
    <t>Plant and</t>
  </si>
  <si>
    <t>Revenue/Expense</t>
  </si>
  <si>
    <t>Equipment</t>
  </si>
  <si>
    <t>Summary Data from the General Fund Balance Sheet</t>
  </si>
  <si>
    <t xml:space="preserve">Total </t>
  </si>
  <si>
    <t>General Fund</t>
  </si>
  <si>
    <t xml:space="preserve">Plant and </t>
  </si>
  <si>
    <t xml:space="preserve">                                              Expenses - Governmental Activities</t>
  </si>
  <si>
    <t>General Long-Term Obligations</t>
  </si>
  <si>
    <t xml:space="preserve">Persons and </t>
  </si>
  <si>
    <t>Taxes (1)</t>
  </si>
  <si>
    <t>Summary Data from the Statement of Net Assets - Governmental Activities</t>
  </si>
  <si>
    <t>Total General</t>
  </si>
  <si>
    <t>Total All</t>
  </si>
  <si>
    <t>Net</t>
  </si>
  <si>
    <t>Balanced</t>
  </si>
  <si>
    <t>=0</t>
  </si>
  <si>
    <t xml:space="preserve">  =0</t>
  </si>
  <si>
    <t>Inventory</t>
  </si>
  <si>
    <t>Other Financing</t>
  </si>
  <si>
    <t>Uses</t>
  </si>
  <si>
    <t>Financing</t>
  </si>
  <si>
    <t>Sources</t>
  </si>
  <si>
    <t>If = 0</t>
  </si>
  <si>
    <t>Designated</t>
  </si>
  <si>
    <t>Than One Year</t>
  </si>
  <si>
    <t>In/(Out)</t>
  </si>
  <si>
    <t xml:space="preserve">Due </t>
  </si>
  <si>
    <t>Within</t>
  </si>
  <si>
    <t>1 Year</t>
  </si>
  <si>
    <t>Items</t>
  </si>
  <si>
    <t>Revenues,</t>
  </si>
  <si>
    <t>Transfers and</t>
  </si>
  <si>
    <t>Special Items</t>
  </si>
  <si>
    <t xml:space="preserve">Special </t>
  </si>
  <si>
    <t>Due in More</t>
  </si>
  <si>
    <t xml:space="preserve">  </t>
  </si>
  <si>
    <t>.</t>
  </si>
  <si>
    <t>Fayette</t>
  </si>
  <si>
    <t>at Beginning</t>
  </si>
  <si>
    <t>of Year</t>
  </si>
  <si>
    <t>Increase/Decrease</t>
  </si>
  <si>
    <t>in Reserve for</t>
  </si>
  <si>
    <t xml:space="preserve">in Prepaids </t>
  </si>
  <si>
    <t xml:space="preserve">and/or Reserve </t>
  </si>
  <si>
    <t>for Inventory</t>
  </si>
  <si>
    <t>Assets at</t>
  </si>
  <si>
    <t>End of Year</t>
  </si>
  <si>
    <t xml:space="preserve"> </t>
  </si>
  <si>
    <t>Brookville</t>
  </si>
  <si>
    <t>Circleville</t>
  </si>
  <si>
    <t>Pickaway</t>
  </si>
  <si>
    <t>Crestline</t>
  </si>
  <si>
    <t xml:space="preserve">Bedford Heights </t>
  </si>
  <si>
    <t xml:space="preserve">Aurora </t>
  </si>
  <si>
    <t xml:space="preserve">Franklin </t>
  </si>
  <si>
    <t xml:space="preserve">Celina </t>
  </si>
  <si>
    <t xml:space="preserve">            General Revenues     - Governmental Activities</t>
  </si>
  <si>
    <t>(1) May include income and other taxes if not presented separately</t>
  </si>
  <si>
    <t>Summary Data from the Statement of Net Assets</t>
  </si>
  <si>
    <t>Summary Data from the Statement of Revenues, Expenses, and Changes in Net Assets</t>
  </si>
  <si>
    <t>Other Non-</t>
  </si>
  <si>
    <t>Current Assets</t>
  </si>
  <si>
    <t>Canal Fulton</t>
  </si>
  <si>
    <t>Indian Hill</t>
  </si>
  <si>
    <t>Kirtland</t>
  </si>
  <si>
    <t xml:space="preserve">Kirtland </t>
  </si>
  <si>
    <t>Kirkland</t>
  </si>
  <si>
    <t>Madeira</t>
  </si>
  <si>
    <t>Indian Hills</t>
  </si>
  <si>
    <t xml:space="preserve">Indian Hills </t>
  </si>
  <si>
    <t>(Continued)</t>
  </si>
  <si>
    <t>Carlisle</t>
  </si>
  <si>
    <t>Steubenville</t>
  </si>
  <si>
    <t>New Franklin</t>
  </si>
  <si>
    <t>East Cleveland</t>
  </si>
  <si>
    <t>Galion</t>
  </si>
  <si>
    <t xml:space="preserve">Galion </t>
  </si>
  <si>
    <t>Kenton - Cash Basis</t>
  </si>
  <si>
    <t>Olmsted Falls</t>
  </si>
  <si>
    <t>Governmental Fund Revenues - Modified Accrual Basis of Accounting</t>
  </si>
  <si>
    <t xml:space="preserve">Water Enterprise Fund </t>
  </si>
  <si>
    <t>Sanitantion Enterprise Fund</t>
  </si>
  <si>
    <t>Sanitation Enterprise Fund</t>
  </si>
  <si>
    <t>Assigned</t>
  </si>
  <si>
    <t>Unassigned</t>
  </si>
  <si>
    <t>As of December 31, 2010</t>
  </si>
  <si>
    <t>For the Year Ended December 31, 2010</t>
  </si>
  <si>
    <t>As of December 31, 20010</t>
  </si>
  <si>
    <t>60 day extension</t>
  </si>
  <si>
    <t>no report filed</t>
  </si>
  <si>
    <t>Bad report filed</t>
  </si>
  <si>
    <t>bad report filed</t>
  </si>
  <si>
    <t>rounding in the notes</t>
  </si>
  <si>
    <t>30 day ext still not filed 7/13</t>
  </si>
  <si>
    <t>no report filed 7/13/11</t>
  </si>
</sst>
</file>

<file path=xl/styles.xml><?xml version="1.0" encoding="utf-8"?>
<styleSheet xmlns="http://schemas.openxmlformats.org/spreadsheetml/2006/main">
  <numFmts count="4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10">
    <font>
      <sz val="10"/>
      <name val="Arial"/>
    </font>
    <font>
      <sz val="10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4">
    <xf numFmtId="0" fontId="0" fillId="0" borderId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</cellStyleXfs>
  <cellXfs count="163">
    <xf numFmtId="0" fontId="0" fillId="0" borderId="0" xfId="0"/>
    <xf numFmtId="37" fontId="2" fillId="0" borderId="0" xfId="0" applyNumberFormat="1" applyFont="1"/>
    <xf numFmtId="37" fontId="3" fillId="0" borderId="0" xfId="0" applyNumberFormat="1" applyFont="1"/>
    <xf numFmtId="37" fontId="3" fillId="0" borderId="0" xfId="0" applyNumberFormat="1" applyFont="1" applyAlignment="1">
      <alignment horizontal="center"/>
    </xf>
    <xf numFmtId="37" fontId="3" fillId="0" borderId="1" xfId="0" applyNumberFormat="1" applyFont="1" applyBorder="1" applyAlignment="1">
      <alignment horizontal="centerContinuous"/>
    </xf>
    <xf numFmtId="37" fontId="3" fillId="0" borderId="0" xfId="0" applyNumberFormat="1" applyFont="1" applyBorder="1"/>
    <xf numFmtId="37" fontId="3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3" fontId="3" fillId="0" borderId="0" xfId="0" applyNumberFormat="1" applyFont="1" applyBorder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3" fillId="0" borderId="0" xfId="0" applyNumberFormat="1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Border="1"/>
    <xf numFmtId="37" fontId="2" fillId="0" borderId="0" xfId="0" applyNumberFormat="1" applyFont="1" applyBorder="1" applyAlignment="1"/>
    <xf numFmtId="37" fontId="3" fillId="0" borderId="0" xfId="2" applyNumberFormat="1" applyFont="1" applyBorder="1" applyAlignment="1">
      <alignment horizontal="right"/>
    </xf>
    <xf numFmtId="37" fontId="2" fillId="0" borderId="0" xfId="0" applyNumberFormat="1" applyFont="1" applyBorder="1"/>
    <xf numFmtId="3" fontId="2" fillId="0" borderId="0" xfId="0" applyNumberFormat="1" applyFont="1" applyBorder="1" applyAlignment="1">
      <alignment horizontal="left"/>
    </xf>
    <xf numFmtId="3" fontId="2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3" fillId="0" borderId="0" xfId="0" applyFont="1" applyFill="1" applyBorder="1"/>
    <xf numFmtId="37" fontId="2" fillId="0" borderId="0" xfId="0" applyNumberFormat="1" applyFont="1" applyBorder="1" applyAlignment="1">
      <alignment horizontal="left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/>
    <xf numFmtId="37" fontId="3" fillId="0" borderId="0" xfId="0" applyNumberFormat="1" applyFont="1" applyAlignment="1">
      <alignment horizontal="right"/>
    </xf>
    <xf numFmtId="37" fontId="2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Continuous"/>
    </xf>
    <xf numFmtId="37" fontId="3" fillId="0" borderId="0" xfId="0" applyNumberFormat="1" applyFont="1" applyFill="1" applyBorder="1"/>
    <xf numFmtId="37" fontId="3" fillId="0" borderId="0" xfId="2" applyNumberFormat="1" applyFont="1" applyBorder="1"/>
    <xf numFmtId="37" fontId="3" fillId="0" borderId="0" xfId="0" applyNumberFormat="1" applyFont="1" applyBorder="1" applyAlignment="1">
      <alignment horizontal="right"/>
    </xf>
    <xf numFmtId="37" fontId="2" fillId="0" borderId="0" xfId="2" applyNumberFormat="1" applyFont="1" applyBorder="1" applyAlignment="1">
      <alignment horizontal="centerContinuous"/>
    </xf>
    <xf numFmtId="37" fontId="2" fillId="0" borderId="0" xfId="2" applyNumberFormat="1" applyFont="1" applyBorder="1"/>
    <xf numFmtId="37" fontId="3" fillId="0" borderId="0" xfId="2" applyNumberFormat="1" applyFont="1" applyBorder="1" applyAlignment="1">
      <alignment horizontal="left"/>
    </xf>
    <xf numFmtId="37" fontId="3" fillId="0" borderId="0" xfId="2" applyNumberFormat="1" applyFont="1" applyBorder="1" applyAlignment="1">
      <alignment horizontal="center"/>
    </xf>
    <xf numFmtId="37" fontId="2" fillId="0" borderId="0" xfId="2" applyNumberFormat="1" applyFont="1" applyBorder="1" applyAlignment="1">
      <alignment horizontal="left"/>
    </xf>
    <xf numFmtId="3" fontId="2" fillId="0" borderId="0" xfId="2" applyFont="1" applyBorder="1" applyAlignment="1">
      <alignment horizontal="left"/>
    </xf>
    <xf numFmtId="37" fontId="3" fillId="0" borderId="0" xfId="0" applyNumberFormat="1" applyFont="1" applyFill="1"/>
    <xf numFmtId="37" fontId="3" fillId="0" borderId="0" xfId="2" applyNumberFormat="1" applyFont="1" applyFill="1" applyBorder="1" applyAlignment="1">
      <alignment horizontal="right"/>
    </xf>
    <xf numFmtId="5" fontId="3" fillId="0" borderId="0" xfId="0" applyNumberFormat="1" applyFont="1" applyFill="1"/>
    <xf numFmtId="0" fontId="3" fillId="0" borderId="0" xfId="0" applyFont="1" applyFill="1"/>
    <xf numFmtId="37" fontId="3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/>
    <xf numFmtId="0" fontId="0" fillId="0" borderId="0" xfId="0" applyFill="1"/>
    <xf numFmtId="3" fontId="3" fillId="0" borderId="0" xfId="2" applyNumberFormat="1" applyFont="1" applyFill="1" applyBorder="1"/>
    <xf numFmtId="37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center"/>
    </xf>
    <xf numFmtId="37" fontId="3" fillId="0" borderId="0" xfId="2" applyNumberFormat="1" applyFont="1" applyFill="1" applyBorder="1"/>
    <xf numFmtId="0" fontId="3" fillId="0" borderId="0" xfId="0" applyFont="1" applyBorder="1" applyAlignment="1"/>
    <xf numFmtId="37" fontId="0" fillId="0" borderId="0" xfId="0" applyNumberFormat="1"/>
    <xf numFmtId="3" fontId="2" fillId="2" borderId="0" xfId="0" applyNumberFormat="1" applyFont="1" applyFill="1" applyBorder="1"/>
    <xf numFmtId="3" fontId="3" fillId="2" borderId="0" xfId="0" applyNumberFormat="1" applyFont="1" applyFill="1" applyBorder="1"/>
    <xf numFmtId="3" fontId="3" fillId="2" borderId="0" xfId="0" applyNumberFormat="1" applyFont="1" applyFill="1"/>
    <xf numFmtId="37" fontId="3" fillId="2" borderId="0" xfId="0" applyNumberFormat="1" applyFont="1" applyFill="1" applyBorder="1"/>
    <xf numFmtId="37" fontId="2" fillId="2" borderId="0" xfId="0" applyNumberFormat="1" applyFont="1" applyFill="1" applyBorder="1"/>
    <xf numFmtId="37" fontId="3" fillId="2" borderId="0" xfId="0" applyNumberFormat="1" applyFont="1" applyFill="1" applyBorder="1" applyAlignment="1">
      <alignment horizontal="center"/>
    </xf>
    <xf numFmtId="5" fontId="3" fillId="0" borderId="0" xfId="0" applyNumberFormat="1" applyFont="1" applyFill="1" applyBorder="1"/>
    <xf numFmtId="37" fontId="0" fillId="0" borderId="0" xfId="0" applyNumberFormat="1" applyFill="1"/>
    <xf numFmtId="5" fontId="0" fillId="0" borderId="0" xfId="0" applyNumberFormat="1" applyFill="1"/>
    <xf numFmtId="37" fontId="3" fillId="0" borderId="0" xfId="0" applyNumberFormat="1" applyFont="1" applyBorder="1" applyAlignment="1"/>
    <xf numFmtId="5" fontId="3" fillId="0" borderId="0" xfId="0" applyNumberFormat="1" applyFont="1" applyFill="1" applyAlignment="1">
      <alignment horizontal="right"/>
    </xf>
    <xf numFmtId="37" fontId="5" fillId="0" borderId="0" xfId="0" applyNumberFormat="1" applyFont="1"/>
    <xf numFmtId="37" fontId="2" fillId="0" borderId="0" xfId="0" applyNumberFormat="1" applyFont="1" applyAlignment="1"/>
    <xf numFmtId="37" fontId="0" fillId="0" borderId="0" xfId="0" applyNumberFormat="1" applyAlignment="1">
      <alignment horizontal="center"/>
    </xf>
    <xf numFmtId="0" fontId="3" fillId="0" borderId="1" xfId="0" applyFont="1" applyBorder="1" applyAlignment="1"/>
    <xf numFmtId="37" fontId="2" fillId="0" borderId="0" xfId="0" applyNumberFormat="1" applyFont="1" applyBorder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/>
    <xf numFmtId="3" fontId="2" fillId="0" borderId="0" xfId="2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Continuous"/>
    </xf>
    <xf numFmtId="37" fontId="3" fillId="0" borderId="2" xfId="0" applyNumberFormat="1" applyFont="1" applyFill="1" applyBorder="1" applyAlignment="1">
      <alignment horizontal="center"/>
    </xf>
    <xf numFmtId="5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37" fontId="2" fillId="0" borderId="0" xfId="2" applyNumberFormat="1" applyFont="1" applyBorder="1" applyAlignment="1"/>
    <xf numFmtId="37" fontId="3" fillId="0" borderId="0" xfId="2" applyNumberFormat="1" applyFont="1" applyBorder="1" applyAlignment="1"/>
    <xf numFmtId="37" fontId="3" fillId="0" borderId="0" xfId="2" applyNumberFormat="1" applyFont="1" applyFill="1" applyBorder="1" applyAlignment="1"/>
    <xf numFmtId="37" fontId="2" fillId="0" borderId="0" xfId="2" applyNumberFormat="1" applyFont="1" applyFill="1" applyBorder="1"/>
    <xf numFmtId="37" fontId="2" fillId="0" borderId="0" xfId="2" applyNumberFormat="1" applyFont="1" applyFill="1" applyBorder="1" applyAlignment="1">
      <alignment horizontal="centerContinuous"/>
    </xf>
    <xf numFmtId="37" fontId="3" fillId="0" borderId="0" xfId="2" applyNumberFormat="1" applyFont="1" applyFill="1" applyBorder="1" applyAlignment="1">
      <alignment horizontal="left"/>
    </xf>
    <xf numFmtId="37" fontId="2" fillId="0" borderId="0" xfId="2" applyNumberFormat="1" applyFont="1" applyFill="1" applyBorder="1" applyAlignment="1">
      <alignment horizontal="left"/>
    </xf>
    <xf numFmtId="37" fontId="3" fillId="0" borderId="0" xfId="2" applyNumberFormat="1" applyFont="1" applyFill="1" applyBorder="1" applyAlignment="1">
      <alignment horizontal="center"/>
    </xf>
    <xf numFmtId="5" fontId="3" fillId="0" borderId="0" xfId="2" applyNumberFormat="1" applyFont="1" applyFill="1" applyBorder="1"/>
    <xf numFmtId="5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5" fontId="3" fillId="0" borderId="0" xfId="2" applyNumberFormat="1" applyFont="1" applyFill="1" applyBorder="1" applyAlignment="1">
      <alignment horizontal="right"/>
    </xf>
    <xf numFmtId="5" fontId="3" fillId="0" borderId="0" xfId="2" applyNumberFormat="1" applyFont="1" applyFill="1" applyBorder="1" applyAlignment="1"/>
    <xf numFmtId="0" fontId="6" fillId="0" borderId="0" xfId="0" applyFont="1" applyFill="1"/>
    <xf numFmtId="0" fontId="3" fillId="0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1" xfId="0" quotePrefix="1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/>
    </xf>
    <xf numFmtId="164" fontId="3" fillId="0" borderId="0" xfId="1" applyNumberFormat="1" applyFont="1" applyFill="1"/>
    <xf numFmtId="37" fontId="3" fillId="0" borderId="0" xfId="0" quotePrefix="1" applyNumberFormat="1" applyFont="1" applyFill="1" applyAlignment="1">
      <alignment horizontal="center"/>
    </xf>
    <xf numFmtId="37" fontId="3" fillId="0" borderId="1" xfId="2" applyNumberFormat="1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37" fontId="6" fillId="0" borderId="0" xfId="0" applyNumberFormat="1" applyFont="1" applyFill="1"/>
    <xf numFmtId="37" fontId="7" fillId="0" borderId="0" xfId="0" applyNumberFormat="1" applyFont="1" applyFill="1"/>
    <xf numFmtId="0" fontId="8" fillId="0" borderId="0" xfId="0" applyFont="1"/>
    <xf numFmtId="3" fontId="9" fillId="0" borderId="0" xfId="0" applyNumberFormat="1" applyFont="1"/>
    <xf numFmtId="0" fontId="9" fillId="0" borderId="0" xfId="0" applyFont="1"/>
    <xf numFmtId="37" fontId="9" fillId="0" borderId="0" xfId="0" applyNumberFormat="1" applyFont="1"/>
    <xf numFmtId="37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5" fontId="9" fillId="0" borderId="0" xfId="0" applyNumberFormat="1" applyFont="1" applyFill="1"/>
    <xf numFmtId="37" fontId="9" fillId="0" borderId="0" xfId="0" applyNumberFormat="1" applyFont="1" applyFill="1"/>
    <xf numFmtId="3" fontId="9" fillId="0" borderId="0" xfId="0" applyNumberFormat="1" applyFont="1" applyFill="1"/>
    <xf numFmtId="37" fontId="9" fillId="0" borderId="0" xfId="0" applyNumberFormat="1" applyFont="1" applyFill="1" applyAlignment="1">
      <alignment horizontal="right"/>
    </xf>
    <xf numFmtId="37" fontId="3" fillId="3" borderId="0" xfId="0" applyNumberFormat="1" applyFont="1" applyFill="1"/>
    <xf numFmtId="0" fontId="3" fillId="3" borderId="0" xfId="0" applyFont="1" applyFill="1"/>
    <xf numFmtId="5" fontId="3" fillId="3" borderId="0" xfId="0" applyNumberFormat="1" applyFont="1" applyFill="1"/>
    <xf numFmtId="0" fontId="0" fillId="3" borderId="0" xfId="0" applyFill="1"/>
    <xf numFmtId="37" fontId="0" fillId="3" borderId="0" xfId="0" applyNumberFormat="1" applyFill="1"/>
    <xf numFmtId="37" fontId="3" fillId="3" borderId="0" xfId="0" applyNumberFormat="1" applyFont="1" applyFill="1" applyBorder="1"/>
    <xf numFmtId="37" fontId="3" fillId="3" borderId="0" xfId="2" applyNumberFormat="1" applyFont="1" applyFill="1" applyBorder="1" applyAlignment="1">
      <alignment horizontal="right"/>
    </xf>
    <xf numFmtId="5" fontId="3" fillId="3" borderId="0" xfId="2" applyNumberFormat="1" applyFont="1" applyFill="1" applyBorder="1" applyAlignment="1">
      <alignment horizontal="right"/>
    </xf>
    <xf numFmtId="3" fontId="3" fillId="3" borderId="0" xfId="0" applyNumberFormat="1" applyFont="1" applyFill="1"/>
    <xf numFmtId="37" fontId="3" fillId="3" borderId="0" xfId="0" applyNumberFormat="1" applyFont="1" applyFill="1" applyAlignment="1">
      <alignment horizontal="right"/>
    </xf>
    <xf numFmtId="5" fontId="3" fillId="3" borderId="0" xfId="2" applyNumberFormat="1" applyFont="1" applyFill="1" applyBorder="1"/>
    <xf numFmtId="3" fontId="3" fillId="3" borderId="0" xfId="2" applyNumberFormat="1" applyFont="1" applyFill="1" applyBorder="1"/>
    <xf numFmtId="3" fontId="3" fillId="3" borderId="0" xfId="0" applyNumberFormat="1" applyFont="1" applyFill="1" applyBorder="1"/>
    <xf numFmtId="0" fontId="9" fillId="3" borderId="0" xfId="0" applyFont="1" applyFill="1"/>
    <xf numFmtId="5" fontId="3" fillId="3" borderId="0" xfId="0" applyNumberFormat="1" applyFont="1" applyFill="1" applyBorder="1" applyAlignment="1">
      <alignment horizontal="right"/>
    </xf>
    <xf numFmtId="5" fontId="0" fillId="3" borderId="0" xfId="0" applyNumberFormat="1" applyFill="1"/>
    <xf numFmtId="37" fontId="3" fillId="3" borderId="0" xfId="0" applyNumberFormat="1" applyFont="1" applyFill="1" applyBorder="1" applyAlignment="1">
      <alignment horizontal="right"/>
    </xf>
    <xf numFmtId="5" fontId="2" fillId="3" borderId="0" xfId="0" applyNumberFormat="1" applyFont="1" applyFill="1" applyBorder="1" applyAlignment="1">
      <alignment horizontal="center"/>
    </xf>
    <xf numFmtId="37" fontId="2" fillId="3" borderId="0" xfId="0" applyNumberFormat="1" applyFont="1" applyFill="1" applyBorder="1" applyAlignment="1">
      <alignment horizontal="center"/>
    </xf>
    <xf numFmtId="37" fontId="3" fillId="3" borderId="0" xfId="2" applyNumberFormat="1" applyFont="1" applyFill="1" applyBorder="1"/>
    <xf numFmtId="37" fontId="3" fillId="3" borderId="0" xfId="2" applyNumberFormat="1" applyFont="1" applyFill="1" applyBorder="1" applyAlignment="1"/>
    <xf numFmtId="37" fontId="3" fillId="3" borderId="0" xfId="3" applyNumberFormat="1" applyFont="1" applyFill="1" applyBorder="1"/>
    <xf numFmtId="37" fontId="3" fillId="0" borderId="0" xfId="0" applyNumberFormat="1" applyFont="1" applyFill="1" applyProtection="1"/>
    <xf numFmtId="37" fontId="3" fillId="0" borderId="1" xfId="0" applyNumberFormat="1" applyFont="1" applyFill="1" applyBorder="1" applyAlignment="1">
      <alignment horizontal="center"/>
    </xf>
    <xf numFmtId="37" fontId="3" fillId="0" borderId="0" xfId="2" applyNumberFormat="1" applyFont="1" applyFill="1" applyBorder="1" applyAlignment="1">
      <alignment horizontal="right" vertical="center"/>
    </xf>
    <xf numFmtId="3" fontId="8" fillId="0" borderId="0" xfId="0" applyNumberFormat="1" applyFont="1"/>
    <xf numFmtId="0" fontId="1" fillId="0" borderId="0" xfId="0" applyFont="1"/>
    <xf numFmtId="37" fontId="1" fillId="0" borderId="0" xfId="0" applyNumberFormat="1" applyFont="1" applyFill="1"/>
    <xf numFmtId="37" fontId="3" fillId="0" borderId="1" xfId="0" applyNumberFormat="1" applyFont="1" applyFill="1" applyBorder="1" applyAlignment="1">
      <alignment horizontal="center"/>
    </xf>
    <xf numFmtId="37" fontId="3" fillId="3" borderId="0" xfId="0" applyNumberFormat="1" applyFont="1" applyFill="1" applyProtection="1"/>
    <xf numFmtId="0" fontId="3" fillId="3" borderId="0" xfId="0" applyFont="1" applyFill="1" applyBorder="1"/>
    <xf numFmtId="5" fontId="3" fillId="3" borderId="0" xfId="0" applyNumberFormat="1" applyFont="1" applyFill="1" applyBorder="1"/>
    <xf numFmtId="37" fontId="9" fillId="3" borderId="0" xfId="0" applyNumberFormat="1" applyFont="1" applyFill="1"/>
    <xf numFmtId="5" fontId="3" fillId="3" borderId="0" xfId="0" applyNumberFormat="1" applyFont="1" applyFill="1" applyAlignment="1">
      <alignment horizontal="right"/>
    </xf>
    <xf numFmtId="5" fontId="9" fillId="3" borderId="0" xfId="0" applyNumberFormat="1" applyFont="1" applyFill="1"/>
    <xf numFmtId="37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37" fontId="3" fillId="0" borderId="0" xfId="0" applyNumberFormat="1" applyFont="1" applyFill="1" applyAlignment="1">
      <alignment horizontal="center"/>
    </xf>
    <xf numFmtId="37" fontId="3" fillId="0" borderId="1" xfId="0" applyNumberFormat="1" applyFont="1" applyBorder="1" applyAlignment="1">
      <alignment horizontal="center"/>
    </xf>
    <xf numFmtId="165" fontId="3" fillId="0" borderId="0" xfId="0" applyNumberFormat="1" applyFont="1" applyFill="1"/>
    <xf numFmtId="165" fontId="0" fillId="0" borderId="0" xfId="0" applyNumberFormat="1" applyFill="1"/>
    <xf numFmtId="5" fontId="3" fillId="0" borderId="0" xfId="0" applyNumberFormat="1" applyFont="1" applyFill="1" applyProtection="1"/>
  </cellXfs>
  <cellStyles count="4">
    <cellStyle name="Comma" xfId="1" builtinId="3"/>
    <cellStyle name="Comma0" xfId="2"/>
    <cellStyle name="Currency0" xf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256"/>
  <sheetViews>
    <sheetView view="pageBreakPreview" zoomScale="75" zoomScaleNormal="100" zoomScaleSheetLayoutView="75" workbookViewId="0">
      <pane xSplit="3" ySplit="8" topLeftCell="D28" activePane="bottomRight" state="frozen"/>
      <selection pane="topRight" activeCell="D1" sqref="D1"/>
      <selection pane="bottomLeft" activeCell="A11" sqref="A11"/>
      <selection pane="bottomRight" activeCell="A5" sqref="A5"/>
    </sheetView>
  </sheetViews>
  <sheetFormatPr defaultColWidth="9.140625" defaultRowHeight="12.75" customHeight="1"/>
  <cols>
    <col min="1" max="1" width="16" style="44" customWidth="1"/>
    <col min="2" max="2" width="1.7109375" style="47" customWidth="1"/>
    <col min="3" max="3" width="12" style="44" customWidth="1"/>
    <col min="4" max="4" width="1.7109375" style="47" customWidth="1"/>
    <col min="5" max="5" width="11.7109375" style="44" customWidth="1"/>
    <col min="6" max="6" width="1.7109375" style="44" customWidth="1"/>
    <col min="7" max="7" width="13.140625" style="44" bestFit="1" customWidth="1"/>
    <col min="8" max="8" width="1.7109375" style="44" customWidth="1"/>
    <col min="9" max="9" width="12.7109375" style="44" customWidth="1"/>
    <col min="10" max="10" width="1.7109375" style="44" customWidth="1"/>
    <col min="11" max="11" width="13.140625" style="44" bestFit="1" customWidth="1"/>
    <col min="12" max="12" width="1.7109375" style="44" customWidth="1"/>
    <col min="13" max="13" width="11.7109375" style="44" customWidth="1"/>
    <col min="14" max="14" width="1.7109375" style="44" customWidth="1"/>
    <col min="15" max="15" width="12.5703125" style="44" customWidth="1"/>
    <col min="16" max="16" width="1.7109375" style="44" customWidth="1"/>
    <col min="17" max="17" width="11.7109375" style="44" customWidth="1"/>
    <col min="18" max="18" width="2.7109375" style="44" customWidth="1"/>
    <col min="19" max="19" width="11.7109375" style="44" customWidth="1"/>
    <col min="20" max="20" width="1.7109375" style="44" customWidth="1"/>
    <col min="21" max="21" width="11.7109375" style="44" customWidth="1"/>
    <col min="22" max="22" width="1.7109375" style="44" customWidth="1"/>
    <col min="23" max="23" width="11.7109375" style="44" customWidth="1"/>
    <col min="24" max="24" width="1.7109375" style="44" customWidth="1"/>
    <col min="25" max="25" width="11.7109375" style="44" customWidth="1"/>
    <col min="26" max="26" width="2.7109375" style="44" customWidth="1"/>
    <col min="27" max="27" width="2.7109375" style="44" hidden="1" customWidth="1"/>
    <col min="28" max="28" width="12.7109375" style="44" customWidth="1"/>
    <col min="29" max="29" width="16.42578125" style="44" customWidth="1"/>
    <col min="30" max="30" width="10.140625" style="44" bestFit="1" customWidth="1"/>
    <col min="31" max="33" width="9.42578125" style="44" bestFit="1" customWidth="1"/>
    <col min="34" max="34" width="10.140625" style="44" bestFit="1" customWidth="1"/>
    <col min="35" max="16384" width="9.140625" style="44"/>
  </cols>
  <sheetData>
    <row r="1" spans="1:29" ht="12.75" customHeight="1">
      <c r="A1" s="80" t="s">
        <v>424</v>
      </c>
    </row>
    <row r="2" spans="1:29" ht="12.75" customHeight="1">
      <c r="A2" s="80" t="s">
        <v>499</v>
      </c>
    </row>
    <row r="3" spans="1:29" ht="12.75" customHeight="1">
      <c r="A3" s="80" t="s">
        <v>289</v>
      </c>
    </row>
    <row r="4" spans="1:29" ht="12.75" customHeight="1">
      <c r="A4" s="80" t="s">
        <v>484</v>
      </c>
    </row>
    <row r="6" spans="1:29" ht="12.75" customHeight="1">
      <c r="A6" s="80"/>
      <c r="E6" s="156" t="s">
        <v>0</v>
      </c>
      <c r="F6" s="156"/>
      <c r="G6" s="156"/>
      <c r="H6" s="156"/>
      <c r="I6" s="156"/>
      <c r="J6" s="77"/>
      <c r="K6" s="77"/>
      <c r="M6" s="156" t="s">
        <v>1</v>
      </c>
      <c r="N6" s="156"/>
      <c r="O6" s="156"/>
      <c r="P6" s="77"/>
      <c r="Q6" s="77"/>
      <c r="S6" s="156" t="s">
        <v>2</v>
      </c>
      <c r="T6" s="156"/>
      <c r="U6" s="156"/>
      <c r="V6" s="156"/>
      <c r="W6" s="156"/>
      <c r="X6" s="77"/>
      <c r="Y6" s="77"/>
    </row>
    <row r="7" spans="1:29" ht="12.75" customHeight="1">
      <c r="A7" s="35"/>
      <c r="C7" s="35"/>
      <c r="E7" s="81" t="s">
        <v>3</v>
      </c>
      <c r="F7" s="81"/>
      <c r="G7" s="81" t="s">
        <v>4</v>
      </c>
      <c r="H7" s="81"/>
      <c r="I7" s="81" t="s">
        <v>474</v>
      </c>
      <c r="J7" s="81"/>
      <c r="K7" s="81" t="s">
        <v>6</v>
      </c>
      <c r="M7" s="81" t="s">
        <v>3</v>
      </c>
      <c r="N7" s="8"/>
      <c r="O7" s="81" t="s">
        <v>448</v>
      </c>
      <c r="P7" s="81"/>
      <c r="Q7" s="81" t="s">
        <v>6</v>
      </c>
      <c r="S7" s="8" t="s">
        <v>7</v>
      </c>
      <c r="T7" s="8"/>
      <c r="U7" s="8"/>
      <c r="V7" s="8"/>
      <c r="W7" s="8"/>
      <c r="X7" s="8"/>
      <c r="Y7" s="81" t="s">
        <v>6</v>
      </c>
      <c r="AB7" s="81" t="s">
        <v>428</v>
      </c>
    </row>
    <row r="8" spans="1:29" ht="12.75" customHeight="1">
      <c r="A8" s="78" t="s">
        <v>8</v>
      </c>
      <c r="C8" s="78" t="s">
        <v>9</v>
      </c>
      <c r="E8" s="7" t="s">
        <v>0</v>
      </c>
      <c r="F8" s="8"/>
      <c r="G8" s="7" t="s">
        <v>0</v>
      </c>
      <c r="H8" s="8"/>
      <c r="I8" s="7" t="s">
        <v>475</v>
      </c>
      <c r="J8" s="8"/>
      <c r="K8" s="7" t="s">
        <v>0</v>
      </c>
      <c r="M8" s="7" t="s">
        <v>1</v>
      </c>
      <c r="N8" s="8"/>
      <c r="O8" s="7" t="s">
        <v>438</v>
      </c>
      <c r="P8" s="8"/>
      <c r="Q8" s="7" t="s">
        <v>1</v>
      </c>
      <c r="S8" s="7" t="s">
        <v>290</v>
      </c>
      <c r="T8" s="8"/>
      <c r="U8" s="7" t="s">
        <v>10</v>
      </c>
      <c r="V8" s="8"/>
      <c r="W8" s="7" t="s">
        <v>11</v>
      </c>
      <c r="X8" s="8"/>
      <c r="Y8" s="7" t="s">
        <v>2</v>
      </c>
      <c r="AB8" s="81" t="s">
        <v>436</v>
      </c>
    </row>
    <row r="9" spans="1:29" ht="12.75" customHeight="1">
      <c r="A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Q9" s="8"/>
      <c r="S9" s="8"/>
      <c r="T9" s="8"/>
      <c r="U9" s="8"/>
      <c r="V9" s="8"/>
      <c r="W9" s="8"/>
      <c r="X9" s="8"/>
      <c r="Y9" s="8"/>
    </row>
    <row r="10" spans="1:29" s="123" customFormat="1" ht="12.75" hidden="1" customHeight="1">
      <c r="A10" s="123" t="s">
        <v>12</v>
      </c>
      <c r="C10" s="123" t="s">
        <v>13</v>
      </c>
      <c r="E10" s="123">
        <f>+K10-G10-I10</f>
        <v>0</v>
      </c>
      <c r="G10" s="123">
        <v>0</v>
      </c>
      <c r="I10" s="123">
        <v>0</v>
      </c>
      <c r="K10" s="123">
        <v>0</v>
      </c>
      <c r="M10" s="123">
        <f t="shared" ref="M10:M11" si="0">+Q10-O10</f>
        <v>0</v>
      </c>
      <c r="O10" s="123">
        <v>0</v>
      </c>
      <c r="Q10" s="123">
        <v>0</v>
      </c>
      <c r="S10" s="123">
        <v>0</v>
      </c>
      <c r="U10" s="123">
        <v>0</v>
      </c>
      <c r="W10" s="123">
        <v>0</v>
      </c>
      <c r="Y10" s="123">
        <f>S10+U10+W10</f>
        <v>0</v>
      </c>
      <c r="AB10" s="123">
        <f t="shared" ref="AB10:AB72" si="1">+K10-Q10-Y10</f>
        <v>0</v>
      </c>
      <c r="AC10" s="123" t="s">
        <v>508</v>
      </c>
    </row>
    <row r="11" spans="1:29" s="46" customFormat="1" ht="12.75" customHeight="1">
      <c r="A11" s="46" t="s">
        <v>14</v>
      </c>
      <c r="C11" s="46" t="s">
        <v>15</v>
      </c>
      <c r="E11" s="162">
        <f t="shared" ref="E11" si="2">+K11-G11-I11</f>
        <v>17506461</v>
      </c>
      <c r="G11" s="46">
        <f>3326356+16272224</f>
        <v>19598580</v>
      </c>
      <c r="I11" s="46">
        <v>0</v>
      </c>
      <c r="K11" s="46">
        <v>37105041</v>
      </c>
      <c r="M11" s="46">
        <f t="shared" si="0"/>
        <v>3140384</v>
      </c>
      <c r="O11" s="46">
        <v>3161725</v>
      </c>
      <c r="Q11" s="46">
        <v>6302109</v>
      </c>
      <c r="S11" s="46">
        <v>18368580</v>
      </c>
      <c r="U11" s="46">
        <f>30802932-18368580-5157606</f>
        <v>7276746</v>
      </c>
      <c r="W11" s="46">
        <v>5157606</v>
      </c>
      <c r="Y11" s="46">
        <f>S11+U11+W11</f>
        <v>30802932</v>
      </c>
      <c r="AB11" s="46">
        <f t="shared" si="1"/>
        <v>0</v>
      </c>
    </row>
    <row r="12" spans="1:29" ht="12.75" customHeight="1">
      <c r="A12" s="44" t="s">
        <v>16</v>
      </c>
      <c r="C12" s="44" t="s">
        <v>17</v>
      </c>
      <c r="E12" s="143">
        <f t="shared" ref="E12:E69" si="3">+K12-G12-I12</f>
        <v>13827372</v>
      </c>
      <c r="G12" s="44">
        <f>1398148+21646075</f>
        <v>23044223</v>
      </c>
      <c r="I12" s="44">
        <v>0</v>
      </c>
      <c r="K12" s="44">
        <v>36871595</v>
      </c>
      <c r="M12" s="44">
        <f t="shared" ref="M12:M69" si="4">+Q12-O12</f>
        <v>1985187</v>
      </c>
      <c r="O12" s="44">
        <v>3440095</v>
      </c>
      <c r="Q12" s="44">
        <v>5425282</v>
      </c>
      <c r="S12" s="44">
        <v>19761957</v>
      </c>
      <c r="U12" s="44">
        <f>31446313-19761957-4434550</f>
        <v>7249806</v>
      </c>
      <c r="W12" s="44">
        <v>4434550</v>
      </c>
      <c r="Y12" s="44">
        <f t="shared" ref="Y12:Y69" si="5">S12+U12+W12</f>
        <v>31446313</v>
      </c>
      <c r="AB12" s="44">
        <f>+K12-Q12-Y12</f>
        <v>0</v>
      </c>
    </row>
    <row r="13" spans="1:29" ht="12.75" customHeight="1">
      <c r="A13" s="44" t="s">
        <v>18</v>
      </c>
      <c r="C13" s="44" t="s">
        <v>18</v>
      </c>
      <c r="E13" s="143">
        <f t="shared" si="3"/>
        <v>10189406</v>
      </c>
      <c r="G13" s="44">
        <f>6683402+13428497</f>
        <v>20111899</v>
      </c>
      <c r="I13" s="44">
        <v>32868</v>
      </c>
      <c r="K13" s="44">
        <v>30334173</v>
      </c>
      <c r="M13" s="44">
        <f t="shared" si="4"/>
        <v>2382847</v>
      </c>
      <c r="O13" s="44">
        <v>3532453</v>
      </c>
      <c r="Q13" s="44">
        <v>5915300</v>
      </c>
      <c r="S13" s="44">
        <v>16855976</v>
      </c>
      <c r="U13" s="44">
        <f>24418873-16855976-2865621</f>
        <v>4697276</v>
      </c>
      <c r="W13" s="44">
        <v>2865621</v>
      </c>
      <c r="Y13" s="44">
        <f t="shared" si="5"/>
        <v>24418873</v>
      </c>
      <c r="AB13" s="44">
        <f t="shared" si="1"/>
        <v>0</v>
      </c>
    </row>
    <row r="14" spans="1:29" ht="12.75" customHeight="1">
      <c r="A14" s="44" t="s">
        <v>19</v>
      </c>
      <c r="C14" s="44" t="s">
        <v>19</v>
      </c>
      <c r="E14" s="143">
        <f t="shared" si="3"/>
        <v>10825245</v>
      </c>
      <c r="G14" s="44">
        <f>4783858+14973845</f>
        <v>19757703</v>
      </c>
      <c r="I14" s="44">
        <v>0</v>
      </c>
      <c r="K14" s="44">
        <v>30582948</v>
      </c>
      <c r="M14" s="44">
        <f t="shared" si="4"/>
        <v>4457125</v>
      </c>
      <c r="O14" s="44">
        <v>2408580</v>
      </c>
      <c r="Q14" s="44">
        <v>6865705</v>
      </c>
      <c r="S14" s="44">
        <v>19189770</v>
      </c>
      <c r="U14" s="44">
        <f>23717243-19189770-160862</f>
        <v>4366611</v>
      </c>
      <c r="W14" s="44">
        <v>160862</v>
      </c>
      <c r="Y14" s="44">
        <f t="shared" si="5"/>
        <v>23717243</v>
      </c>
      <c r="AB14" s="44">
        <f t="shared" si="1"/>
        <v>0</v>
      </c>
    </row>
    <row r="15" spans="1:29" ht="12.75" customHeight="1">
      <c r="A15" s="44" t="s">
        <v>20</v>
      </c>
      <c r="C15" s="44" t="s">
        <v>20</v>
      </c>
      <c r="E15" s="143">
        <f t="shared" si="3"/>
        <v>12146481</v>
      </c>
      <c r="G15" s="44">
        <f>42467770+19808784</f>
        <v>62276554</v>
      </c>
      <c r="I15" s="44">
        <v>50435</v>
      </c>
      <c r="K15" s="44">
        <v>74473470</v>
      </c>
      <c r="M15" s="44">
        <f t="shared" si="4"/>
        <v>6112524</v>
      </c>
      <c r="O15" s="44">
        <v>2827724</v>
      </c>
      <c r="Q15" s="44">
        <v>8940248</v>
      </c>
      <c r="S15" s="44">
        <v>57031144</v>
      </c>
      <c r="U15" s="44">
        <f>65533222-57031144-1840573</f>
        <v>6661505</v>
      </c>
      <c r="W15" s="44">
        <v>1840573</v>
      </c>
      <c r="Y15" s="44">
        <f t="shared" si="5"/>
        <v>65533222</v>
      </c>
      <c r="AB15" s="44">
        <f t="shared" si="1"/>
        <v>0</v>
      </c>
    </row>
    <row r="16" spans="1:29" ht="12.75" customHeight="1">
      <c r="A16" s="44" t="s">
        <v>467</v>
      </c>
      <c r="C16" s="44" t="s">
        <v>22</v>
      </c>
      <c r="E16" s="143">
        <f t="shared" si="3"/>
        <v>21365874</v>
      </c>
      <c r="G16" s="44">
        <v>68124026</v>
      </c>
      <c r="I16" s="44">
        <v>45851</v>
      </c>
      <c r="K16" s="44">
        <v>89535751</v>
      </c>
      <c r="M16" s="44">
        <f t="shared" si="4"/>
        <v>5497352</v>
      </c>
      <c r="O16" s="44">
        <v>9767527</v>
      </c>
      <c r="Q16" s="44">
        <v>15264879</v>
      </c>
      <c r="S16" s="44">
        <v>58489836</v>
      </c>
      <c r="U16" s="44">
        <f>74270872-58489836-7831781</f>
        <v>7949255</v>
      </c>
      <c r="W16" s="44">
        <v>7831781</v>
      </c>
      <c r="Y16" s="44">
        <f t="shared" si="5"/>
        <v>74270872</v>
      </c>
      <c r="AB16" s="44">
        <f t="shared" si="1"/>
        <v>0</v>
      </c>
    </row>
    <row r="17" spans="1:29" ht="12.75" customHeight="1">
      <c r="A17" s="44" t="s">
        <v>23</v>
      </c>
      <c r="C17" s="44" t="s">
        <v>17</v>
      </c>
      <c r="E17" s="143">
        <f t="shared" si="3"/>
        <v>30286479</v>
      </c>
      <c r="G17" s="44">
        <f>5044258+92923855</f>
        <v>97968113</v>
      </c>
      <c r="I17" s="44">
        <v>15691</v>
      </c>
      <c r="K17" s="44">
        <v>128270283</v>
      </c>
      <c r="M17" s="44">
        <f t="shared" si="4"/>
        <v>19941693</v>
      </c>
      <c r="O17" s="44">
        <v>51877779</v>
      </c>
      <c r="Q17" s="44">
        <v>71819472</v>
      </c>
      <c r="S17" s="44">
        <v>54276654</v>
      </c>
      <c r="U17" s="44">
        <f>56450811-54276654+1799650</f>
        <v>3973807</v>
      </c>
      <c r="W17" s="44">
        <v>-1799650</v>
      </c>
      <c r="Y17" s="44">
        <f t="shared" si="5"/>
        <v>56450811</v>
      </c>
      <c r="AB17" s="44">
        <f t="shared" si="1"/>
        <v>0</v>
      </c>
    </row>
    <row r="18" spans="1:29" s="121" customFormat="1" ht="12.75" hidden="1" customHeight="1">
      <c r="A18" s="121" t="s">
        <v>24</v>
      </c>
      <c r="B18" s="122"/>
      <c r="C18" s="121" t="s">
        <v>17</v>
      </c>
      <c r="D18" s="122"/>
      <c r="E18" s="150">
        <f t="shared" si="3"/>
        <v>0</v>
      </c>
      <c r="G18" s="121">
        <v>0</v>
      </c>
      <c r="I18" s="121">
        <v>0</v>
      </c>
      <c r="K18" s="121">
        <v>0</v>
      </c>
      <c r="M18" s="121">
        <f t="shared" si="4"/>
        <v>0</v>
      </c>
      <c r="O18" s="121">
        <v>0</v>
      </c>
      <c r="Q18" s="121">
        <v>0</v>
      </c>
      <c r="S18" s="121">
        <v>0</v>
      </c>
      <c r="U18" s="121">
        <v>0</v>
      </c>
      <c r="W18" s="121">
        <v>0</v>
      </c>
      <c r="Y18" s="121">
        <f t="shared" si="5"/>
        <v>0</v>
      </c>
      <c r="AB18" s="121">
        <f t="shared" si="1"/>
        <v>0</v>
      </c>
      <c r="AC18" s="121" t="s">
        <v>508</v>
      </c>
    </row>
    <row r="19" spans="1:29" ht="12.75" customHeight="1">
      <c r="A19" s="44" t="s">
        <v>25</v>
      </c>
      <c r="C19" s="44" t="s">
        <v>13</v>
      </c>
      <c r="E19" s="143">
        <f t="shared" si="3"/>
        <v>13135329</v>
      </c>
      <c r="G19" s="44">
        <v>25246901</v>
      </c>
      <c r="I19" s="44">
        <v>109169</v>
      </c>
      <c r="K19" s="44">
        <v>38491399</v>
      </c>
      <c r="M19" s="44">
        <f t="shared" si="4"/>
        <v>5822577</v>
      </c>
      <c r="O19" s="44">
        <v>6943059</v>
      </c>
      <c r="Q19" s="44">
        <v>12765636</v>
      </c>
      <c r="S19" s="44">
        <v>19684621</v>
      </c>
      <c r="U19" s="44">
        <f>25725763-19684621-1471258</f>
        <v>4569884</v>
      </c>
      <c r="W19" s="44">
        <v>1471258</v>
      </c>
      <c r="Y19" s="44">
        <f t="shared" si="5"/>
        <v>25725763</v>
      </c>
      <c r="AB19" s="44">
        <f t="shared" si="1"/>
        <v>0</v>
      </c>
    </row>
    <row r="20" spans="1:29" ht="12.75" customHeight="1">
      <c r="A20" s="44" t="s">
        <v>26</v>
      </c>
      <c r="C20" s="44" t="s">
        <v>27</v>
      </c>
      <c r="E20" s="143">
        <f t="shared" si="3"/>
        <v>22467163</v>
      </c>
      <c r="G20" s="44">
        <v>22802753</v>
      </c>
      <c r="I20" s="44">
        <v>100348</v>
      </c>
      <c r="K20" s="44">
        <v>45370264</v>
      </c>
      <c r="M20" s="44">
        <f t="shared" si="4"/>
        <v>10819439</v>
      </c>
      <c r="O20" s="44">
        <v>7808887</v>
      </c>
      <c r="Q20" s="44">
        <v>18628326</v>
      </c>
      <c r="S20" s="44">
        <v>14537451</v>
      </c>
      <c r="U20" s="44">
        <f>26741938-14537451-2313104</f>
        <v>9891383</v>
      </c>
      <c r="W20" s="44">
        <v>2313104</v>
      </c>
      <c r="Y20" s="44">
        <f t="shared" si="5"/>
        <v>26741938</v>
      </c>
      <c r="AB20" s="44">
        <f t="shared" si="1"/>
        <v>0</v>
      </c>
    </row>
    <row r="21" spans="1:29" ht="12.75" customHeight="1">
      <c r="A21" s="44" t="s">
        <v>28</v>
      </c>
      <c r="C21" s="44" t="s">
        <v>27</v>
      </c>
      <c r="E21" s="143">
        <f t="shared" si="3"/>
        <v>47047433</v>
      </c>
      <c r="G21" s="44">
        <f>20850988+69119544</f>
        <v>89970532</v>
      </c>
      <c r="I21" s="44">
        <v>171804</v>
      </c>
      <c r="K21" s="44">
        <v>137189769</v>
      </c>
      <c r="M21" s="44">
        <f t="shared" si="4"/>
        <v>14327119</v>
      </c>
      <c r="O21" s="44">
        <v>21405669</v>
      </c>
      <c r="Q21" s="44">
        <v>35732788</v>
      </c>
      <c r="S21" s="44">
        <v>68442636</v>
      </c>
      <c r="U21" s="44">
        <f>101456981-68442636-27534624</f>
        <v>5479721</v>
      </c>
      <c r="W21" s="44">
        <v>27534624</v>
      </c>
      <c r="Y21" s="44">
        <f t="shared" si="5"/>
        <v>101456981</v>
      </c>
      <c r="AB21" s="44">
        <f t="shared" si="1"/>
        <v>0</v>
      </c>
    </row>
    <row r="22" spans="1:29" ht="12.75" customHeight="1">
      <c r="A22" s="44" t="s">
        <v>29</v>
      </c>
      <c r="C22" s="44" t="s">
        <v>30</v>
      </c>
      <c r="E22" s="143">
        <f t="shared" si="3"/>
        <v>30480425</v>
      </c>
      <c r="G22" s="44">
        <f>12289476+189104544</f>
        <v>201394020</v>
      </c>
      <c r="I22" s="44">
        <v>0</v>
      </c>
      <c r="K22" s="44">
        <v>231874445</v>
      </c>
      <c r="M22" s="44">
        <f t="shared" si="4"/>
        <v>15032822</v>
      </c>
      <c r="O22" s="44">
        <v>7487110</v>
      </c>
      <c r="Q22" s="44">
        <v>22519932</v>
      </c>
      <c r="S22" s="44">
        <v>192929020</v>
      </c>
      <c r="U22" s="44">
        <f>209354513-192929020-3649585</f>
        <v>12775908</v>
      </c>
      <c r="W22" s="44">
        <v>3649585</v>
      </c>
      <c r="Y22" s="44">
        <f t="shared" si="5"/>
        <v>209354513</v>
      </c>
      <c r="AB22" s="44">
        <f t="shared" si="1"/>
        <v>0</v>
      </c>
    </row>
    <row r="23" spans="1:29" ht="12.75" customHeight="1">
      <c r="A23" s="44" t="s">
        <v>31</v>
      </c>
      <c r="C23" s="44" t="s">
        <v>27</v>
      </c>
      <c r="E23" s="143">
        <f t="shared" si="3"/>
        <v>24963096</v>
      </c>
      <c r="G23" s="44">
        <f>2945398+31558509</f>
        <v>34503907</v>
      </c>
      <c r="I23" s="44">
        <v>241717</v>
      </c>
      <c r="K23" s="44">
        <v>59708720</v>
      </c>
      <c r="M23" s="44">
        <f t="shared" si="4"/>
        <v>8857723</v>
      </c>
      <c r="O23" s="44">
        <v>13095778</v>
      </c>
      <c r="Q23" s="44">
        <v>21953501</v>
      </c>
      <c r="S23" s="44">
        <v>22729591</v>
      </c>
      <c r="U23" s="44">
        <f>37755219-22729591-10878025</f>
        <v>4147603</v>
      </c>
      <c r="W23" s="44">
        <v>10878025</v>
      </c>
      <c r="Y23" s="44">
        <f t="shared" si="5"/>
        <v>37755219</v>
      </c>
      <c r="AB23" s="44">
        <f t="shared" si="1"/>
        <v>0</v>
      </c>
    </row>
    <row r="24" spans="1:29" ht="12.75" customHeight="1">
      <c r="A24" s="44" t="s">
        <v>466</v>
      </c>
      <c r="C24" s="44" t="s">
        <v>27</v>
      </c>
      <c r="E24" s="143">
        <f t="shared" si="3"/>
        <v>11784481</v>
      </c>
      <c r="G24" s="44">
        <f>2063971+15977537</f>
        <v>18041508</v>
      </c>
      <c r="I24" s="44">
        <v>0</v>
      </c>
      <c r="K24" s="44">
        <v>29825989</v>
      </c>
      <c r="M24" s="44">
        <f t="shared" si="4"/>
        <v>7498537</v>
      </c>
      <c r="O24" s="44">
        <v>4525908</v>
      </c>
      <c r="Q24" s="44">
        <v>12024445</v>
      </c>
      <c r="S24" s="44">
        <v>13953257</v>
      </c>
      <c r="U24" s="44">
        <f>37919+392780+116368</f>
        <v>547067</v>
      </c>
      <c r="W24" s="44">
        <v>3301220</v>
      </c>
      <c r="Y24" s="44">
        <f t="shared" si="5"/>
        <v>17801544</v>
      </c>
      <c r="AB24" s="44">
        <f t="shared" si="1"/>
        <v>0</v>
      </c>
    </row>
    <row r="25" spans="1:29" ht="12.75" customHeight="1">
      <c r="A25" s="44" t="s">
        <v>34</v>
      </c>
      <c r="B25" s="47" t="s">
        <v>461</v>
      </c>
      <c r="C25" s="44" t="s">
        <v>30</v>
      </c>
      <c r="E25" s="143">
        <f t="shared" si="3"/>
        <v>6643787</v>
      </c>
      <c r="G25" s="44">
        <f>282980+5086137</f>
        <v>5369117</v>
      </c>
      <c r="I25" s="44">
        <v>0</v>
      </c>
      <c r="K25" s="44">
        <v>12012904</v>
      </c>
      <c r="M25" s="44">
        <f t="shared" si="4"/>
        <v>2891436</v>
      </c>
      <c r="O25" s="44">
        <v>96639</v>
      </c>
      <c r="Q25" s="44">
        <v>2988075</v>
      </c>
      <c r="S25" s="44">
        <v>5369117</v>
      </c>
      <c r="U25" s="44">
        <v>2791247</v>
      </c>
      <c r="W25" s="44">
        <v>864465</v>
      </c>
      <c r="Y25" s="44">
        <f t="shared" si="5"/>
        <v>9024829</v>
      </c>
      <c r="AB25" s="44">
        <f t="shared" si="1"/>
        <v>0</v>
      </c>
    </row>
    <row r="26" spans="1:29" ht="12.75" customHeight="1">
      <c r="A26" s="44" t="s">
        <v>35</v>
      </c>
      <c r="C26" s="44" t="s">
        <v>36</v>
      </c>
      <c r="E26" s="143">
        <f t="shared" si="3"/>
        <v>8887378</v>
      </c>
      <c r="G26" s="44">
        <f>10685291+13722646</f>
        <v>24407937</v>
      </c>
      <c r="I26" s="44">
        <v>27928</v>
      </c>
      <c r="K26" s="44">
        <v>33323243</v>
      </c>
      <c r="M26" s="44">
        <f t="shared" si="4"/>
        <v>2066442</v>
      </c>
      <c r="O26" s="44">
        <v>1618451</v>
      </c>
      <c r="Q26" s="44">
        <v>3684893</v>
      </c>
      <c r="S26" s="44">
        <v>23782937</v>
      </c>
      <c r="U26" s="44">
        <f>29638350-23782937-1441866</f>
        <v>4413547</v>
      </c>
      <c r="W26" s="44">
        <v>1441866</v>
      </c>
      <c r="Y26" s="44">
        <f t="shared" si="5"/>
        <v>29638350</v>
      </c>
      <c r="AB26" s="44">
        <f t="shared" si="1"/>
        <v>0</v>
      </c>
    </row>
    <row r="27" spans="1:29" ht="12.75" customHeight="1">
      <c r="A27" s="44" t="s">
        <v>37</v>
      </c>
      <c r="C27" s="44" t="s">
        <v>38</v>
      </c>
      <c r="E27" s="143">
        <f t="shared" si="3"/>
        <v>6794766</v>
      </c>
      <c r="G27" s="44">
        <f>719694+12425459</f>
        <v>13145153</v>
      </c>
      <c r="I27" s="44">
        <v>0</v>
      </c>
      <c r="K27" s="44">
        <v>19939919</v>
      </c>
      <c r="M27" s="44">
        <f t="shared" si="4"/>
        <v>1446877</v>
      </c>
      <c r="O27" s="44">
        <v>1423857</v>
      </c>
      <c r="Q27" s="44">
        <v>2870734</v>
      </c>
      <c r="S27" s="44">
        <v>11642856</v>
      </c>
      <c r="U27" s="44">
        <f>773291+23376+2003451</f>
        <v>2800118</v>
      </c>
      <c r="W27" s="44">
        <v>2626211</v>
      </c>
      <c r="Y27" s="44">
        <f t="shared" si="5"/>
        <v>17069185</v>
      </c>
      <c r="AB27" s="44">
        <f t="shared" si="1"/>
        <v>0</v>
      </c>
    </row>
    <row r="28" spans="1:29" ht="12.75" customHeight="1">
      <c r="A28" s="44" t="s">
        <v>39</v>
      </c>
      <c r="C28" s="44" t="s">
        <v>40</v>
      </c>
      <c r="E28" s="143">
        <f t="shared" si="3"/>
        <v>2729562</v>
      </c>
      <c r="G28" s="44">
        <f>2744328+11179364</f>
        <v>13923692</v>
      </c>
      <c r="I28" s="44">
        <v>0</v>
      </c>
      <c r="K28" s="44">
        <v>16653254</v>
      </c>
      <c r="M28" s="44">
        <f t="shared" si="4"/>
        <v>596532</v>
      </c>
      <c r="O28" s="44">
        <v>858650</v>
      </c>
      <c r="Q28" s="44">
        <v>1455182</v>
      </c>
      <c r="S28" s="44">
        <v>12991458</v>
      </c>
      <c r="U28" s="44">
        <f>501049+18466+1919+158246</f>
        <v>679680</v>
      </c>
      <c r="W28" s="44">
        <v>1526934</v>
      </c>
      <c r="Y28" s="44">
        <f t="shared" si="5"/>
        <v>15198072</v>
      </c>
      <c r="AB28" s="44">
        <f t="shared" si="1"/>
        <v>0</v>
      </c>
    </row>
    <row r="29" spans="1:29" ht="12.75" customHeight="1">
      <c r="A29" s="44" t="s">
        <v>41</v>
      </c>
      <c r="C29" s="44" t="s">
        <v>27</v>
      </c>
      <c r="E29" s="143">
        <f t="shared" si="3"/>
        <v>17509321</v>
      </c>
      <c r="G29" s="44">
        <f>23552427+51800414</f>
        <v>75352841</v>
      </c>
      <c r="I29" s="44">
        <v>0</v>
      </c>
      <c r="K29" s="44">
        <v>92862162</v>
      </c>
      <c r="M29" s="44">
        <f t="shared" si="4"/>
        <v>10640646</v>
      </c>
      <c r="O29" s="44">
        <v>13076872</v>
      </c>
      <c r="Q29" s="44">
        <v>23717518</v>
      </c>
      <c r="S29" s="44">
        <v>58591099</v>
      </c>
      <c r="U29" s="44">
        <f>3415815+1292551+1055354+376397+701198</f>
        <v>6841315</v>
      </c>
      <c r="W29" s="44">
        <v>3712230</v>
      </c>
      <c r="Y29" s="44">
        <f t="shared" si="5"/>
        <v>69144644</v>
      </c>
      <c r="AB29" s="44">
        <f t="shared" si="1"/>
        <v>0</v>
      </c>
    </row>
    <row r="30" spans="1:29" ht="12.75" customHeight="1">
      <c r="A30" s="44" t="s">
        <v>42</v>
      </c>
      <c r="C30" s="44" t="s">
        <v>43</v>
      </c>
      <c r="E30" s="143">
        <f t="shared" si="3"/>
        <v>15288596</v>
      </c>
      <c r="G30" s="44">
        <f>6478606+27942402</f>
        <v>34421008</v>
      </c>
      <c r="I30" s="44">
        <v>479810</v>
      </c>
      <c r="K30" s="44">
        <v>50189414</v>
      </c>
      <c r="M30" s="44">
        <f t="shared" si="4"/>
        <v>4563952</v>
      </c>
      <c r="O30" s="44">
        <v>21323934</v>
      </c>
      <c r="Q30" s="44">
        <v>25887886</v>
      </c>
      <c r="S30" s="44">
        <v>15559431</v>
      </c>
      <c r="U30" s="44">
        <f>192160+95461+1302534</f>
        <v>1590155</v>
      </c>
      <c r="W30" s="44">
        <v>7151942</v>
      </c>
      <c r="Y30" s="44">
        <f t="shared" si="5"/>
        <v>24301528</v>
      </c>
      <c r="AB30" s="44">
        <f t="shared" si="1"/>
        <v>0</v>
      </c>
    </row>
    <row r="31" spans="1:29" ht="12.75" customHeight="1">
      <c r="A31" s="44" t="s">
        <v>44</v>
      </c>
      <c r="C31" s="44" t="s">
        <v>45</v>
      </c>
      <c r="E31" s="143">
        <f t="shared" si="3"/>
        <v>44418067</v>
      </c>
      <c r="G31" s="44">
        <f>40111044+54523920</f>
        <v>94634964</v>
      </c>
      <c r="I31" s="44">
        <v>322285</v>
      </c>
      <c r="K31" s="44">
        <v>139375316</v>
      </c>
      <c r="M31" s="44">
        <f t="shared" si="4"/>
        <v>10750716</v>
      </c>
      <c r="O31" s="44">
        <v>50532334</v>
      </c>
      <c r="Q31" s="44">
        <v>61283050</v>
      </c>
      <c r="S31" s="44">
        <v>52322247</v>
      </c>
      <c r="U31" s="44">
        <f>78092266-52322247-12119627</f>
        <v>13650392</v>
      </c>
      <c r="W31" s="44">
        <v>12119627</v>
      </c>
      <c r="Y31" s="44">
        <f t="shared" si="5"/>
        <v>78092266</v>
      </c>
      <c r="AB31" s="44">
        <f t="shared" si="1"/>
        <v>0</v>
      </c>
    </row>
    <row r="32" spans="1:29" ht="12.75" customHeight="1">
      <c r="A32" s="44" t="s">
        <v>46</v>
      </c>
      <c r="C32" s="44" t="s">
        <v>47</v>
      </c>
      <c r="E32" s="143">
        <f t="shared" si="3"/>
        <v>23866584</v>
      </c>
      <c r="G32" s="44">
        <f>4780064+42726077</f>
        <v>47506141</v>
      </c>
      <c r="I32" s="44">
        <v>104018</v>
      </c>
      <c r="K32" s="44">
        <v>71476743</v>
      </c>
      <c r="M32" s="44">
        <f t="shared" si="4"/>
        <v>11376449</v>
      </c>
      <c r="O32" s="44">
        <v>27485185</v>
      </c>
      <c r="Q32" s="44">
        <v>38861634</v>
      </c>
      <c r="S32" s="44">
        <v>34237675</v>
      </c>
      <c r="U32" s="44">
        <f>32615109-34237675+8977089</f>
        <v>7354523</v>
      </c>
      <c r="W32" s="44">
        <v>-8977089</v>
      </c>
      <c r="Y32" s="44">
        <f t="shared" si="5"/>
        <v>32615109</v>
      </c>
      <c r="AB32" s="44">
        <f t="shared" si="1"/>
        <v>0</v>
      </c>
    </row>
    <row r="33" spans="1:47" ht="12.75" customHeight="1">
      <c r="A33" s="44" t="s">
        <v>48</v>
      </c>
      <c r="C33" s="44" t="s">
        <v>27</v>
      </c>
      <c r="E33" s="143">
        <f t="shared" si="3"/>
        <v>26023238</v>
      </c>
      <c r="G33" s="44">
        <f>9024750+70766914</f>
        <v>79791664</v>
      </c>
      <c r="I33" s="44">
        <v>78225</v>
      </c>
      <c r="K33" s="44">
        <v>105893127</v>
      </c>
      <c r="M33" s="44">
        <f t="shared" si="4"/>
        <v>9255424</v>
      </c>
      <c r="O33" s="44">
        <v>11849782</v>
      </c>
      <c r="Q33" s="44">
        <v>21105206</v>
      </c>
      <c r="S33" s="44">
        <v>65615699</v>
      </c>
      <c r="U33" s="44">
        <f>84787921-65615699-10215534</f>
        <v>8956688</v>
      </c>
      <c r="W33" s="44">
        <v>10215534</v>
      </c>
      <c r="Y33" s="44">
        <f t="shared" si="5"/>
        <v>84787921</v>
      </c>
      <c r="AB33" s="44">
        <f t="shared" si="1"/>
        <v>0</v>
      </c>
    </row>
    <row r="34" spans="1:47" ht="12.75" customHeight="1">
      <c r="A34" s="44" t="s">
        <v>49</v>
      </c>
      <c r="C34" s="44" t="s">
        <v>27</v>
      </c>
      <c r="E34" s="143">
        <f t="shared" si="3"/>
        <v>17732975</v>
      </c>
      <c r="G34" s="44">
        <f>4033802+27445121</f>
        <v>31478923</v>
      </c>
      <c r="I34" s="44">
        <v>0</v>
      </c>
      <c r="K34" s="44">
        <v>49211898</v>
      </c>
      <c r="M34" s="44">
        <f t="shared" si="4"/>
        <v>5882111</v>
      </c>
      <c r="O34" s="44">
        <v>9449885</v>
      </c>
      <c r="Q34" s="44">
        <v>15331996</v>
      </c>
      <c r="S34" s="44">
        <v>22930338</v>
      </c>
      <c r="U34" s="44">
        <f>777874+4958625+1463189</f>
        <v>7199688</v>
      </c>
      <c r="W34" s="44">
        <v>3749876</v>
      </c>
      <c r="Y34" s="44">
        <f t="shared" si="5"/>
        <v>33879902</v>
      </c>
      <c r="AB34" s="44">
        <f t="shared" si="1"/>
        <v>0</v>
      </c>
    </row>
    <row r="35" spans="1:47" ht="12.75" customHeight="1">
      <c r="A35" s="44" t="s">
        <v>50</v>
      </c>
      <c r="C35" s="44" t="s">
        <v>27</v>
      </c>
      <c r="E35" s="143">
        <f t="shared" si="3"/>
        <v>23556354</v>
      </c>
      <c r="G35" s="44">
        <f>23763601+47807313</f>
        <v>71570914</v>
      </c>
      <c r="I35" s="44">
        <v>0</v>
      </c>
      <c r="K35" s="44">
        <v>95127268</v>
      </c>
      <c r="M35" s="44">
        <f t="shared" si="4"/>
        <v>6994392</v>
      </c>
      <c r="O35" s="44">
        <v>4645733</v>
      </c>
      <c r="Q35" s="44">
        <v>11640125</v>
      </c>
      <c r="S35" s="44">
        <v>69340252</v>
      </c>
      <c r="U35" s="44">
        <f>83487143-69340252-5286791</f>
        <v>8860100</v>
      </c>
      <c r="W35" s="44">
        <v>5286791</v>
      </c>
      <c r="Y35" s="44">
        <f t="shared" si="5"/>
        <v>83487143</v>
      </c>
      <c r="AB35" s="44">
        <f t="shared" si="1"/>
        <v>0</v>
      </c>
    </row>
    <row r="36" spans="1:47" ht="12.75" customHeight="1">
      <c r="A36" s="44" t="s">
        <v>51</v>
      </c>
      <c r="C36" s="44" t="s">
        <v>27</v>
      </c>
      <c r="E36" s="143">
        <f t="shared" si="3"/>
        <v>18917479</v>
      </c>
      <c r="G36" s="44">
        <f>2950212+27299839</f>
        <v>30250051</v>
      </c>
      <c r="I36" s="44">
        <v>87682</v>
      </c>
      <c r="K36" s="44">
        <v>49255212</v>
      </c>
      <c r="M36" s="44">
        <f t="shared" si="4"/>
        <v>4083827</v>
      </c>
      <c r="O36" s="44">
        <v>16855965</v>
      </c>
      <c r="Q36" s="44">
        <v>20939792</v>
      </c>
      <c r="S36" s="44">
        <v>21141592</v>
      </c>
      <c r="U36" s="44">
        <f>28315420-21141592-2933062</f>
        <v>4240766</v>
      </c>
      <c r="W36" s="44">
        <v>2933062</v>
      </c>
      <c r="Y36" s="44">
        <f t="shared" si="5"/>
        <v>28315420</v>
      </c>
      <c r="AB36" s="44">
        <f t="shared" si="1"/>
        <v>0</v>
      </c>
    </row>
    <row r="37" spans="1:47" ht="12.75" customHeight="1">
      <c r="A37" s="44" t="s">
        <v>462</v>
      </c>
      <c r="C37" s="44" t="s">
        <v>66</v>
      </c>
      <c r="E37" s="143">
        <f t="shared" si="3"/>
        <v>2886584</v>
      </c>
      <c r="G37" s="44">
        <f>3030200+6092353</f>
        <v>9122553</v>
      </c>
      <c r="I37" s="44">
        <v>0</v>
      </c>
      <c r="K37" s="44">
        <v>12009137</v>
      </c>
      <c r="M37" s="44">
        <f t="shared" si="4"/>
        <v>1178543</v>
      </c>
      <c r="O37" s="44">
        <v>1021564</v>
      </c>
      <c r="Q37" s="44">
        <v>2200107</v>
      </c>
      <c r="S37" s="44">
        <v>7286863</v>
      </c>
      <c r="U37" s="44">
        <f>650609+66164+266040</f>
        <v>982813</v>
      </c>
      <c r="W37" s="44">
        <v>1539354</v>
      </c>
      <c r="Y37" s="44">
        <f t="shared" si="5"/>
        <v>9809030</v>
      </c>
      <c r="AB37" s="44">
        <f t="shared" si="1"/>
        <v>0</v>
      </c>
      <c r="AC37" s="47"/>
      <c r="AD37" s="47"/>
      <c r="AE37" s="47"/>
      <c r="AF37" s="47"/>
      <c r="AG37" s="48"/>
      <c r="AH37" s="47"/>
      <c r="AI37" s="47"/>
      <c r="AJ37" s="47"/>
      <c r="AK37" s="48"/>
      <c r="AL37" s="48"/>
      <c r="AM37" s="48"/>
      <c r="AN37" s="48"/>
      <c r="AO37" s="45"/>
      <c r="AP37" s="45"/>
      <c r="AQ37" s="45"/>
      <c r="AR37" s="45"/>
      <c r="AS37" s="45"/>
      <c r="AT37" s="45"/>
      <c r="AU37" s="45"/>
    </row>
    <row r="38" spans="1:47" ht="12.75" customHeight="1">
      <c r="A38" s="44" t="s">
        <v>52</v>
      </c>
      <c r="C38" s="44" t="s">
        <v>53</v>
      </c>
      <c r="E38" s="143">
        <f t="shared" si="3"/>
        <v>23828143</v>
      </c>
      <c r="G38" s="44">
        <f>8890664+32906784</f>
        <v>41797448</v>
      </c>
      <c r="I38" s="44">
        <v>144056</v>
      </c>
      <c r="K38" s="44">
        <v>65769647</v>
      </c>
      <c r="M38" s="44">
        <f t="shared" si="4"/>
        <v>6935571</v>
      </c>
      <c r="O38" s="44">
        <v>6717225</v>
      </c>
      <c r="Q38" s="44">
        <v>13652796</v>
      </c>
      <c r="S38" s="44">
        <v>32948516</v>
      </c>
      <c r="U38" s="44">
        <f>52116851-32948516-3496299</f>
        <v>15672036</v>
      </c>
      <c r="W38" s="44">
        <v>3496299</v>
      </c>
      <c r="Y38" s="44">
        <f t="shared" si="5"/>
        <v>52116851</v>
      </c>
      <c r="AB38" s="44">
        <f t="shared" si="1"/>
        <v>0</v>
      </c>
    </row>
    <row r="39" spans="1:47" ht="12.75" customHeight="1">
      <c r="A39" s="44" t="s">
        <v>54</v>
      </c>
      <c r="C39" s="44" t="s">
        <v>55</v>
      </c>
      <c r="E39" s="143">
        <f t="shared" si="3"/>
        <v>19670518</v>
      </c>
      <c r="G39" s="44">
        <v>21963485</v>
      </c>
      <c r="I39" s="44">
        <v>0</v>
      </c>
      <c r="K39" s="44">
        <v>41634003</v>
      </c>
      <c r="M39" s="44">
        <f t="shared" si="4"/>
        <v>3108903</v>
      </c>
      <c r="O39" s="44">
        <v>733298</v>
      </c>
      <c r="Q39" s="44">
        <v>3842201</v>
      </c>
      <c r="S39" s="44">
        <v>20163485</v>
      </c>
      <c r="U39" s="44">
        <f>3923285+15539+5698548</f>
        <v>9637372</v>
      </c>
      <c r="W39" s="44">
        <v>7990945</v>
      </c>
      <c r="Y39" s="44">
        <f t="shared" si="5"/>
        <v>37791802</v>
      </c>
      <c r="AB39" s="44">
        <f t="shared" si="1"/>
        <v>0</v>
      </c>
    </row>
    <row r="40" spans="1:47" ht="12.75" customHeight="1">
      <c r="A40" s="44" t="s">
        <v>56</v>
      </c>
      <c r="C40" s="44" t="s">
        <v>57</v>
      </c>
      <c r="E40" s="143">
        <f t="shared" si="3"/>
        <v>7526117</v>
      </c>
      <c r="G40" s="44">
        <f>1908827+13507944</f>
        <v>15416771</v>
      </c>
      <c r="I40" s="44">
        <v>0</v>
      </c>
      <c r="K40" s="44">
        <v>22942888</v>
      </c>
      <c r="M40" s="44">
        <f t="shared" si="4"/>
        <v>1528774</v>
      </c>
      <c r="O40" s="44">
        <v>987501</v>
      </c>
      <c r="Q40" s="44">
        <v>2516275</v>
      </c>
      <c r="S40" s="44">
        <v>15170387</v>
      </c>
      <c r="U40" s="44">
        <f>568646+7272+2972900+820988</f>
        <v>4369806</v>
      </c>
      <c r="W40" s="44">
        <v>886420</v>
      </c>
      <c r="Y40" s="44">
        <f t="shared" si="5"/>
        <v>20426613</v>
      </c>
      <c r="AB40" s="44">
        <f t="shared" si="1"/>
        <v>0</v>
      </c>
    </row>
    <row r="41" spans="1:47" ht="12.75" customHeight="1">
      <c r="A41" s="44" t="s">
        <v>58</v>
      </c>
      <c r="C41" s="44" t="s">
        <v>59</v>
      </c>
      <c r="E41" s="143">
        <f t="shared" si="3"/>
        <v>8982681</v>
      </c>
      <c r="G41" s="44">
        <f>2784313+18473968</f>
        <v>21258281</v>
      </c>
      <c r="I41" s="44">
        <v>162662</v>
      </c>
      <c r="K41" s="44">
        <v>30403624</v>
      </c>
      <c r="M41" s="44">
        <f t="shared" si="4"/>
        <v>2451523</v>
      </c>
      <c r="O41" s="44">
        <v>5324030</v>
      </c>
      <c r="Q41" s="44">
        <v>7775553</v>
      </c>
      <c r="S41" s="44">
        <v>17145468</v>
      </c>
      <c r="U41" s="44">
        <f>43313+445082+3198152</f>
        <v>3686547</v>
      </c>
      <c r="W41" s="44">
        <v>1796056</v>
      </c>
      <c r="Y41" s="44">
        <f t="shared" si="5"/>
        <v>22628071</v>
      </c>
      <c r="AB41" s="44">
        <f t="shared" si="1"/>
        <v>0</v>
      </c>
    </row>
    <row r="42" spans="1:47" ht="12.75" customHeight="1">
      <c r="A42" s="44" t="s">
        <v>476</v>
      </c>
      <c r="C42" s="44" t="s">
        <v>15</v>
      </c>
      <c r="E42" s="143">
        <f t="shared" si="3"/>
        <v>2145218</v>
      </c>
      <c r="G42" s="44">
        <f>3038243+5829270</f>
        <v>8867513</v>
      </c>
      <c r="I42" s="44">
        <v>0</v>
      </c>
      <c r="K42" s="44">
        <v>11012731</v>
      </c>
      <c r="M42" s="44">
        <f t="shared" si="4"/>
        <v>612243</v>
      </c>
      <c r="O42" s="44">
        <v>1222063</v>
      </c>
      <c r="Q42" s="44">
        <v>1834306</v>
      </c>
      <c r="S42" s="44">
        <v>7596631</v>
      </c>
      <c r="U42" s="44">
        <f>9178425-7596631-566514</f>
        <v>1015280</v>
      </c>
      <c r="W42" s="44">
        <v>566514</v>
      </c>
      <c r="Y42" s="44">
        <f t="shared" si="5"/>
        <v>9178425</v>
      </c>
      <c r="AB42" s="44">
        <f>+K42-Q42-Y42</f>
        <v>0</v>
      </c>
    </row>
    <row r="43" spans="1:47" ht="12.75" customHeight="1">
      <c r="A43" s="44" t="s">
        <v>60</v>
      </c>
      <c r="C43" s="44" t="s">
        <v>61</v>
      </c>
      <c r="E43" s="143">
        <f t="shared" si="3"/>
        <v>5621202</v>
      </c>
      <c r="G43" s="44">
        <v>13423218</v>
      </c>
      <c r="I43" s="44">
        <v>0</v>
      </c>
      <c r="K43" s="44">
        <v>19044420</v>
      </c>
      <c r="M43" s="44">
        <f t="shared" si="4"/>
        <v>2120404</v>
      </c>
      <c r="O43" s="44">
        <v>188411</v>
      </c>
      <c r="Q43" s="44">
        <v>2308815</v>
      </c>
      <c r="S43" s="44">
        <v>12104028</v>
      </c>
      <c r="U43" s="44">
        <f>16735605-12104028-2406377</f>
        <v>2225200</v>
      </c>
      <c r="W43" s="44">
        <v>2406377</v>
      </c>
      <c r="Y43" s="44">
        <f t="shared" si="5"/>
        <v>16735605</v>
      </c>
      <c r="AB43" s="44">
        <f t="shared" si="1"/>
        <v>0</v>
      </c>
    </row>
    <row r="44" spans="1:47" ht="12.75" customHeight="1">
      <c r="A44" s="44" t="s">
        <v>62</v>
      </c>
      <c r="C44" s="44" t="s">
        <v>15</v>
      </c>
      <c r="E44" s="143">
        <f t="shared" si="3"/>
        <v>57192941</v>
      </c>
      <c r="G44" s="44">
        <v>109386645</v>
      </c>
      <c r="I44" s="44">
        <v>0</v>
      </c>
      <c r="K44" s="44">
        <v>166579586</v>
      </c>
      <c r="M44" s="44">
        <f t="shared" si="4"/>
        <v>16983584</v>
      </c>
      <c r="O44" s="44">
        <v>23255346</v>
      </c>
      <c r="Q44" s="44">
        <v>40238930</v>
      </c>
      <c r="S44" s="44">
        <v>96658405</v>
      </c>
      <c r="U44" s="44">
        <f>126340656-96658405+4901157</f>
        <v>34583408</v>
      </c>
      <c r="W44" s="44">
        <v>-4901157</v>
      </c>
      <c r="Y44" s="44">
        <f t="shared" si="5"/>
        <v>126340656</v>
      </c>
      <c r="AB44" s="44">
        <f t="shared" si="1"/>
        <v>0</v>
      </c>
    </row>
    <row r="45" spans="1:47" ht="12.75" customHeight="1">
      <c r="A45" s="44" t="s">
        <v>485</v>
      </c>
      <c r="C45" s="44" t="s">
        <v>111</v>
      </c>
      <c r="E45" s="143">
        <f t="shared" si="3"/>
        <v>1993505</v>
      </c>
      <c r="G45" s="44">
        <v>4526481</v>
      </c>
      <c r="I45" s="44">
        <v>0</v>
      </c>
      <c r="K45" s="44">
        <v>6519986</v>
      </c>
      <c r="M45" s="44">
        <f t="shared" si="4"/>
        <v>2535288</v>
      </c>
      <c r="O45" s="44">
        <v>551324</v>
      </c>
      <c r="Q45" s="44">
        <v>3086612</v>
      </c>
      <c r="S45" s="44">
        <v>3430728</v>
      </c>
      <c r="U45" s="44">
        <f>100292+358963+662225+24321</f>
        <v>1145801</v>
      </c>
      <c r="W45" s="44">
        <v>-1143155</v>
      </c>
      <c r="Y45" s="44">
        <f t="shared" si="5"/>
        <v>3433374</v>
      </c>
      <c r="AB45" s="44">
        <f>+K45-Q45-Y45</f>
        <v>0</v>
      </c>
    </row>
    <row r="46" spans="1:47" ht="12.75" customHeight="1">
      <c r="A46" s="44" t="s">
        <v>469</v>
      </c>
      <c r="C46" s="44" t="s">
        <v>64</v>
      </c>
      <c r="E46" s="143">
        <f t="shared" si="3"/>
        <v>6862842</v>
      </c>
      <c r="G46" s="44">
        <f>12435735+5647994</f>
        <v>18083729</v>
      </c>
      <c r="I46" s="44">
        <v>0</v>
      </c>
      <c r="K46" s="44">
        <v>24946571</v>
      </c>
      <c r="M46" s="44">
        <f t="shared" si="4"/>
        <v>2788997</v>
      </c>
      <c r="O46" s="44">
        <v>5633820</v>
      </c>
      <c r="Q46" s="44">
        <v>8422817</v>
      </c>
      <c r="S46" s="44">
        <v>12484307</v>
      </c>
      <c r="U46" s="44">
        <f>32608+1566627+984600</f>
        <v>2583835</v>
      </c>
      <c r="W46" s="44">
        <v>1455612</v>
      </c>
      <c r="Y46" s="44">
        <f t="shared" si="5"/>
        <v>16523754</v>
      </c>
      <c r="AB46" s="44">
        <f t="shared" si="1"/>
        <v>0</v>
      </c>
    </row>
    <row r="47" spans="1:47" ht="12.75" customHeight="1">
      <c r="A47" s="44" t="s">
        <v>65</v>
      </c>
      <c r="C47" s="44" t="s">
        <v>66</v>
      </c>
      <c r="E47" s="143">
        <f t="shared" si="3"/>
        <v>32831035</v>
      </c>
      <c r="G47" s="44">
        <f>4775388+43058446</f>
        <v>47833834</v>
      </c>
      <c r="I47" s="44">
        <v>6761</v>
      </c>
      <c r="K47" s="44">
        <v>80671630</v>
      </c>
      <c r="M47" s="44">
        <f t="shared" si="4"/>
        <v>3595736</v>
      </c>
      <c r="O47" s="44">
        <v>7880994</v>
      </c>
      <c r="Q47" s="44">
        <v>11476730</v>
      </c>
      <c r="S47" s="44">
        <v>40098262</v>
      </c>
      <c r="U47" s="44">
        <f>69194900-40098262-13822659</f>
        <v>15273979</v>
      </c>
      <c r="W47" s="44">
        <v>13822659</v>
      </c>
      <c r="Y47" s="44">
        <f t="shared" si="5"/>
        <v>69194900</v>
      </c>
      <c r="AB47" s="44">
        <f t="shared" si="1"/>
        <v>0</v>
      </c>
    </row>
    <row r="48" spans="1:47" ht="12.75" customHeight="1">
      <c r="A48" s="44" t="s">
        <v>67</v>
      </c>
      <c r="C48" s="44" t="s">
        <v>375</v>
      </c>
      <c r="E48" s="143">
        <f t="shared" si="3"/>
        <v>7319291</v>
      </c>
      <c r="G48" s="44">
        <f>3180486+34897896</f>
        <v>38078382</v>
      </c>
      <c r="I48" s="44">
        <v>0</v>
      </c>
      <c r="K48" s="44">
        <v>45397673</v>
      </c>
      <c r="M48" s="44">
        <f t="shared" si="4"/>
        <v>2036739</v>
      </c>
      <c r="O48" s="44">
        <v>2066305</v>
      </c>
      <c r="Q48" s="44">
        <v>4103044</v>
      </c>
      <c r="S48" s="44">
        <v>36173719</v>
      </c>
      <c r="U48" s="44">
        <f>41294629-36173719-2421371</f>
        <v>2699539</v>
      </c>
      <c r="W48" s="44">
        <v>2421371</v>
      </c>
      <c r="Y48" s="44">
        <f t="shared" si="5"/>
        <v>41294629</v>
      </c>
      <c r="AB48" s="44">
        <f t="shared" si="1"/>
        <v>0</v>
      </c>
    </row>
    <row r="49" spans="1:29" ht="12.75" customHeight="1">
      <c r="A49" s="44" t="s">
        <v>68</v>
      </c>
      <c r="C49" s="44" t="s">
        <v>45</v>
      </c>
      <c r="E49" s="143">
        <f t="shared" si="3"/>
        <v>4392998</v>
      </c>
      <c r="G49" s="44">
        <f>365780+3367409</f>
        <v>3733189</v>
      </c>
      <c r="I49" s="44">
        <v>0</v>
      </c>
      <c r="K49" s="44">
        <v>8126187</v>
      </c>
      <c r="M49" s="44">
        <f t="shared" si="4"/>
        <v>2365796</v>
      </c>
      <c r="O49" s="44">
        <v>112917</v>
      </c>
      <c r="Q49" s="44">
        <v>2478713</v>
      </c>
      <c r="S49" s="44">
        <v>3689185</v>
      </c>
      <c r="U49" s="44">
        <f>169446+485116</f>
        <v>654562</v>
      </c>
      <c r="W49" s="44">
        <v>1303727</v>
      </c>
      <c r="Y49" s="44">
        <f t="shared" si="5"/>
        <v>5647474</v>
      </c>
      <c r="AB49" s="44">
        <f t="shared" si="1"/>
        <v>0</v>
      </c>
    </row>
    <row r="50" spans="1:29" ht="12.75" customHeight="1">
      <c r="A50" s="44" t="s">
        <v>69</v>
      </c>
      <c r="C50" s="44" t="s">
        <v>70</v>
      </c>
      <c r="E50" s="143">
        <f t="shared" si="3"/>
        <v>9949546</v>
      </c>
      <c r="G50" s="44">
        <f>6864490+36931994</f>
        <v>43796484</v>
      </c>
      <c r="I50" s="44">
        <v>0</v>
      </c>
      <c r="K50" s="44">
        <v>53746030</v>
      </c>
      <c r="M50" s="44">
        <f t="shared" si="4"/>
        <v>8629691</v>
      </c>
      <c r="O50" s="44">
        <v>2429264</v>
      </c>
      <c r="Q50" s="44">
        <v>11058955</v>
      </c>
      <c r="S50" s="44">
        <v>39921089</v>
      </c>
      <c r="U50" s="44">
        <f>42687075-39921089+71753</f>
        <v>2837739</v>
      </c>
      <c r="W50" s="44">
        <v>-71753</v>
      </c>
      <c r="Y50" s="44">
        <f t="shared" si="5"/>
        <v>42687075</v>
      </c>
      <c r="AB50" s="44">
        <f t="shared" si="1"/>
        <v>0</v>
      </c>
    </row>
    <row r="51" spans="1:29" ht="12.75" customHeight="1">
      <c r="A51" s="44" t="s">
        <v>71</v>
      </c>
      <c r="C51" s="44" t="s">
        <v>45</v>
      </c>
      <c r="E51" s="143">
        <f t="shared" si="3"/>
        <v>403535000</v>
      </c>
      <c r="G51" s="44">
        <f>1325319000-222850000-24367000-5197000</f>
        <v>1072905000</v>
      </c>
      <c r="I51" s="44">
        <f>222850000+24367000+5197000</f>
        <v>252414000</v>
      </c>
      <c r="K51" s="44">
        <v>1728854000</v>
      </c>
      <c r="M51" s="44">
        <f t="shared" si="4"/>
        <v>284065000</v>
      </c>
      <c r="O51" s="44">
        <v>656008000</v>
      </c>
      <c r="Q51" s="44">
        <v>940073000</v>
      </c>
      <c r="S51" s="44">
        <v>713700000</v>
      </c>
      <c r="U51" s="44">
        <v>133944000</v>
      </c>
      <c r="W51" s="44">
        <v>-58863000</v>
      </c>
      <c r="Y51" s="44">
        <f t="shared" si="5"/>
        <v>788781000</v>
      </c>
      <c r="AB51" s="44">
        <f t="shared" si="1"/>
        <v>0</v>
      </c>
    </row>
    <row r="52" spans="1:29" ht="12.75" customHeight="1">
      <c r="A52" s="44" t="s">
        <v>463</v>
      </c>
      <c r="C52" s="44" t="s">
        <v>464</v>
      </c>
      <c r="E52" s="143">
        <f t="shared" si="3"/>
        <v>9057061</v>
      </c>
      <c r="G52" s="44">
        <f>1105680+22154674</f>
        <v>23260354</v>
      </c>
      <c r="I52" s="44">
        <v>57551</v>
      </c>
      <c r="K52" s="44">
        <v>32374966</v>
      </c>
      <c r="M52" s="44">
        <f t="shared" si="4"/>
        <v>2261210</v>
      </c>
      <c r="O52" s="44">
        <v>3543853</v>
      </c>
      <c r="Q52" s="44">
        <v>5805063</v>
      </c>
      <c r="S52" s="44">
        <v>20530905</v>
      </c>
      <c r="U52" s="44">
        <f>26569903-20530905-2259217</f>
        <v>3779781</v>
      </c>
      <c r="W52" s="44">
        <v>2259217</v>
      </c>
      <c r="Y52" s="44">
        <f t="shared" si="5"/>
        <v>26569903</v>
      </c>
      <c r="AB52" s="44">
        <f>+K52-Q52-Y52</f>
        <v>0</v>
      </c>
    </row>
    <row r="53" spans="1:29" ht="12.75" customHeight="1">
      <c r="A53" s="44" t="s">
        <v>72</v>
      </c>
      <c r="C53" s="44" t="s">
        <v>66</v>
      </c>
      <c r="E53" s="143">
        <f t="shared" si="3"/>
        <v>11046930</v>
      </c>
      <c r="G53" s="44">
        <f>6077595+5714845</f>
        <v>11792440</v>
      </c>
      <c r="I53" s="44">
        <v>152317</v>
      </c>
      <c r="K53" s="44">
        <v>22991687</v>
      </c>
      <c r="M53" s="44">
        <f t="shared" si="4"/>
        <v>5211114</v>
      </c>
      <c r="O53" s="44">
        <v>5673565</v>
      </c>
      <c r="Q53" s="44">
        <v>10884679</v>
      </c>
      <c r="S53" s="44">
        <v>6188910</v>
      </c>
      <c r="U53" s="44">
        <f>12107008-6188910-3262866</f>
        <v>2655232</v>
      </c>
      <c r="W53" s="44">
        <v>3262866</v>
      </c>
      <c r="Y53" s="44">
        <f t="shared" si="5"/>
        <v>12107008</v>
      </c>
      <c r="AB53" s="44">
        <f t="shared" si="1"/>
        <v>0</v>
      </c>
    </row>
    <row r="54" spans="1:29" ht="12.75" customHeight="1">
      <c r="A54" s="44" t="s">
        <v>73</v>
      </c>
      <c r="C54" s="44" t="s">
        <v>27</v>
      </c>
      <c r="E54" s="143">
        <f t="shared" si="3"/>
        <v>741444320</v>
      </c>
      <c r="G54" s="44">
        <v>898221000</v>
      </c>
      <c r="I54" s="44">
        <f>259680+914000</f>
        <v>1173680</v>
      </c>
      <c r="K54" s="44">
        <v>1640839000</v>
      </c>
      <c r="M54" s="44">
        <f t="shared" si="4"/>
        <v>364660000</v>
      </c>
      <c r="O54" s="44">
        <v>697229000</v>
      </c>
      <c r="Q54" s="44">
        <v>1061889000</v>
      </c>
      <c r="S54" s="44">
        <v>538954000</v>
      </c>
      <c r="U54" s="44">
        <f>26265000+113418000+20259000</f>
        <v>159942000</v>
      </c>
      <c r="W54" s="44">
        <v>-119946000</v>
      </c>
      <c r="Y54" s="44">
        <f t="shared" si="5"/>
        <v>578950000</v>
      </c>
      <c r="AB54" s="44">
        <f t="shared" si="1"/>
        <v>0</v>
      </c>
    </row>
    <row r="55" spans="1:29" ht="12.75" customHeight="1">
      <c r="A55" s="44" t="s">
        <v>74</v>
      </c>
      <c r="C55" s="44" t="s">
        <v>27</v>
      </c>
      <c r="E55" s="143">
        <f t="shared" si="3"/>
        <v>41731084</v>
      </c>
      <c r="G55" s="44">
        <f>4450412+65037501</f>
        <v>69487913</v>
      </c>
      <c r="I55" s="44">
        <v>193231</v>
      </c>
      <c r="K55" s="44">
        <v>111412228</v>
      </c>
      <c r="M55" s="44">
        <f t="shared" si="4"/>
        <v>20077588</v>
      </c>
      <c r="O55" s="44">
        <v>16795603</v>
      </c>
      <c r="Q55" s="44">
        <v>36873191</v>
      </c>
      <c r="S55" s="44">
        <v>53327332</v>
      </c>
      <c r="U55" s="44">
        <f>74539037-53327332-11571370</f>
        <v>9640335</v>
      </c>
      <c r="W55" s="44">
        <v>11571370</v>
      </c>
      <c r="Y55" s="44">
        <f t="shared" si="5"/>
        <v>74539037</v>
      </c>
      <c r="AB55" s="44">
        <f t="shared" si="1"/>
        <v>0</v>
      </c>
      <c r="AC55" s="47"/>
    </row>
    <row r="56" spans="1:29" ht="12.75" customHeight="1">
      <c r="A56" s="44" t="s">
        <v>75</v>
      </c>
      <c r="C56" s="44" t="s">
        <v>76</v>
      </c>
      <c r="E56" s="143">
        <f t="shared" si="3"/>
        <v>3593246</v>
      </c>
      <c r="G56" s="44">
        <v>16312235</v>
      </c>
      <c r="I56" s="44">
        <v>0</v>
      </c>
      <c r="K56" s="44">
        <v>19905481</v>
      </c>
      <c r="M56" s="44">
        <f t="shared" si="4"/>
        <v>1197423</v>
      </c>
      <c r="O56" s="44">
        <v>4095288</v>
      </c>
      <c r="Q56" s="44">
        <v>5292711</v>
      </c>
      <c r="S56" s="44">
        <v>11811758</v>
      </c>
      <c r="U56" s="44">
        <f>680217+515265+69960+79487</f>
        <v>1344929</v>
      </c>
      <c r="W56" s="44">
        <v>1456083</v>
      </c>
      <c r="Y56" s="44">
        <f t="shared" si="5"/>
        <v>14612770</v>
      </c>
      <c r="AB56" s="44">
        <f t="shared" si="1"/>
        <v>0</v>
      </c>
    </row>
    <row r="57" spans="1:29" ht="12.75" customHeight="1">
      <c r="A57" s="44" t="s">
        <v>77</v>
      </c>
      <c r="C57" s="44" t="s">
        <v>468</v>
      </c>
      <c r="E57" s="143">
        <f t="shared" si="3"/>
        <v>789558000</v>
      </c>
      <c r="G57" s="44">
        <f>258021000+1592009000</f>
        <v>1850030000</v>
      </c>
      <c r="I57" s="44">
        <v>5562000</v>
      </c>
      <c r="K57" s="44">
        <v>2645150000</v>
      </c>
      <c r="M57" s="44">
        <f t="shared" si="4"/>
        <v>354677000</v>
      </c>
      <c r="O57" s="44">
        <f>21254000+2000000+25849000+902390000</f>
        <v>951493000</v>
      </c>
      <c r="Q57" s="44">
        <v>1306170000</v>
      </c>
      <c r="S57" s="44">
        <v>1018020000</v>
      </c>
      <c r="U57" s="44">
        <v>60578000</v>
      </c>
      <c r="W57" s="44">
        <v>260382000</v>
      </c>
      <c r="Y57" s="44">
        <f t="shared" si="5"/>
        <v>1338980000</v>
      </c>
      <c r="AB57" s="44">
        <f t="shared" si="1"/>
        <v>0</v>
      </c>
    </row>
    <row r="58" spans="1:29" ht="12.75" customHeight="1">
      <c r="A58" s="44" t="s">
        <v>94</v>
      </c>
      <c r="C58" s="44" t="s">
        <v>94</v>
      </c>
      <c r="E58" s="143">
        <f t="shared" si="3"/>
        <v>3244230</v>
      </c>
      <c r="G58" s="44">
        <v>6036113</v>
      </c>
      <c r="I58" s="44">
        <v>0</v>
      </c>
      <c r="K58" s="44">
        <v>9280343</v>
      </c>
      <c r="M58" s="44">
        <f t="shared" si="4"/>
        <v>815099</v>
      </c>
      <c r="O58" s="44">
        <v>83441</v>
      </c>
      <c r="Q58" s="44">
        <v>898540</v>
      </c>
      <c r="S58" s="44">
        <v>6036113</v>
      </c>
      <c r="U58" s="44">
        <f>539273+80046+1281595</f>
        <v>1900914</v>
      </c>
      <c r="W58" s="44">
        <v>444776</v>
      </c>
      <c r="Y58" s="44">
        <f t="shared" si="5"/>
        <v>8381803</v>
      </c>
      <c r="AB58" s="44">
        <f>+K58-Q58-Y58</f>
        <v>0</v>
      </c>
    </row>
    <row r="59" spans="1:29" ht="12.75" customHeight="1">
      <c r="A59" s="44" t="s">
        <v>78</v>
      </c>
      <c r="C59" s="44" t="s">
        <v>19</v>
      </c>
      <c r="E59" s="143">
        <f t="shared" si="3"/>
        <v>7188870</v>
      </c>
      <c r="G59" s="44">
        <f>672172+29221988</f>
        <v>29894160</v>
      </c>
      <c r="I59" s="44">
        <v>0</v>
      </c>
      <c r="K59" s="44">
        <v>37083030</v>
      </c>
      <c r="M59" s="44">
        <f t="shared" si="4"/>
        <v>2447803</v>
      </c>
      <c r="O59" s="44">
        <v>3194279</v>
      </c>
      <c r="Q59" s="44">
        <v>5642082</v>
      </c>
      <c r="S59" s="44">
        <v>28696100</v>
      </c>
      <c r="U59" s="44">
        <f>31440948-28696100-326391</f>
        <v>2418457</v>
      </c>
      <c r="W59" s="44">
        <v>326391</v>
      </c>
      <c r="Y59" s="44">
        <f t="shared" si="5"/>
        <v>31440948</v>
      </c>
      <c r="AB59" s="44">
        <f t="shared" si="1"/>
        <v>0</v>
      </c>
    </row>
    <row r="60" spans="1:29" ht="12.75" customHeight="1">
      <c r="A60" s="44" t="s">
        <v>79</v>
      </c>
      <c r="C60" s="44" t="s">
        <v>80</v>
      </c>
      <c r="E60" s="143">
        <f t="shared" si="3"/>
        <v>4800182</v>
      </c>
      <c r="G60" s="44">
        <f>17576+3987173</f>
        <v>4004749</v>
      </c>
      <c r="I60" s="44">
        <v>0</v>
      </c>
      <c r="K60" s="44">
        <v>8804931</v>
      </c>
      <c r="M60" s="44">
        <f t="shared" si="4"/>
        <v>2546545</v>
      </c>
      <c r="O60" s="44">
        <v>209611</v>
      </c>
      <c r="Q60" s="44">
        <v>2756156</v>
      </c>
      <c r="S60" s="44">
        <v>4004749</v>
      </c>
      <c r="U60" s="44">
        <f>6048775-4004749-843549</f>
        <v>1200477</v>
      </c>
      <c r="W60" s="44">
        <v>843549</v>
      </c>
      <c r="Y60" s="44">
        <f t="shared" si="5"/>
        <v>6048775</v>
      </c>
      <c r="AB60" s="44">
        <f t="shared" si="1"/>
        <v>0</v>
      </c>
    </row>
    <row r="61" spans="1:29" ht="12.75" customHeight="1">
      <c r="A61" s="44" t="s">
        <v>81</v>
      </c>
      <c r="C61" s="44" t="s">
        <v>81</v>
      </c>
      <c r="E61" s="143">
        <f t="shared" si="3"/>
        <v>4352552</v>
      </c>
      <c r="G61" s="44">
        <v>6311467</v>
      </c>
      <c r="I61" s="44">
        <v>0</v>
      </c>
      <c r="K61" s="44">
        <v>10664019</v>
      </c>
      <c r="M61" s="44">
        <f t="shared" si="4"/>
        <v>1151962</v>
      </c>
      <c r="O61" s="44">
        <v>774944</v>
      </c>
      <c r="Q61" s="44">
        <v>1926906</v>
      </c>
      <c r="S61" s="44">
        <v>6311467</v>
      </c>
      <c r="U61" s="44">
        <f>8737113-6311467+409738</f>
        <v>2835384</v>
      </c>
      <c r="W61" s="44">
        <v>-409738</v>
      </c>
      <c r="Y61" s="44">
        <f t="shared" si="5"/>
        <v>8737113</v>
      </c>
      <c r="AB61" s="44">
        <f t="shared" si="1"/>
        <v>0</v>
      </c>
    </row>
    <row r="62" spans="1:29" s="121" customFormat="1" ht="12.75" hidden="1" customHeight="1">
      <c r="A62" s="122" t="s">
        <v>465</v>
      </c>
      <c r="B62" s="122"/>
      <c r="C62" s="122" t="s">
        <v>57</v>
      </c>
      <c r="D62" s="122"/>
      <c r="E62" s="150">
        <f t="shared" si="3"/>
        <v>0</v>
      </c>
      <c r="G62" s="121">
        <v>0</v>
      </c>
      <c r="I62" s="121">
        <v>0</v>
      </c>
      <c r="K62" s="121">
        <v>0</v>
      </c>
      <c r="M62" s="121">
        <f t="shared" si="4"/>
        <v>0</v>
      </c>
      <c r="O62" s="121">
        <v>0</v>
      </c>
      <c r="Q62" s="121">
        <v>0</v>
      </c>
      <c r="S62" s="121">
        <v>0</v>
      </c>
      <c r="U62" s="121">
        <v>0</v>
      </c>
      <c r="W62" s="121">
        <v>0</v>
      </c>
      <c r="Y62" s="121">
        <f t="shared" si="5"/>
        <v>0</v>
      </c>
      <c r="AB62" s="121">
        <f>+K62-Q62-Y62</f>
        <v>0</v>
      </c>
      <c r="AC62" s="121" t="s">
        <v>502</v>
      </c>
    </row>
    <row r="63" spans="1:29" ht="12.75" customHeight="1">
      <c r="A63" s="44" t="s">
        <v>82</v>
      </c>
      <c r="C63" s="44" t="s">
        <v>13</v>
      </c>
      <c r="E63" s="143">
        <f t="shared" si="3"/>
        <v>55316508</v>
      </c>
      <c r="G63" s="44">
        <f>13278667+74106165</f>
        <v>87384832</v>
      </c>
      <c r="I63" s="44">
        <v>309019</v>
      </c>
      <c r="K63" s="44">
        <v>143010359</v>
      </c>
      <c r="M63" s="44">
        <f t="shared" si="4"/>
        <v>29365732</v>
      </c>
      <c r="O63" s="44">
        <f>5078508+458274+1662120+4455970</f>
        <v>11654872</v>
      </c>
      <c r="Q63" s="44">
        <v>41020604</v>
      </c>
      <c r="S63" s="44">
        <v>77734747</v>
      </c>
      <c r="U63" s="44">
        <f>101989755-77734747-13316106</f>
        <v>10938902</v>
      </c>
      <c r="W63" s="44">
        <v>13316106</v>
      </c>
      <c r="Y63" s="44">
        <f t="shared" si="5"/>
        <v>101989755</v>
      </c>
      <c r="AB63" s="44">
        <f t="shared" si="1"/>
        <v>0</v>
      </c>
    </row>
    <row r="64" spans="1:29" ht="12.75" customHeight="1">
      <c r="A64" s="46"/>
      <c r="B64" s="46"/>
      <c r="C64" s="46"/>
      <c r="D64" s="44"/>
      <c r="Y64" s="48" t="s">
        <v>484</v>
      </c>
    </row>
    <row r="65" spans="1:32" ht="12.75" customHeight="1">
      <c r="A65" s="44" t="s">
        <v>83</v>
      </c>
      <c r="C65" s="44" t="s">
        <v>66</v>
      </c>
      <c r="E65" s="162">
        <f t="shared" si="3"/>
        <v>196680223</v>
      </c>
      <c r="F65" s="46"/>
      <c r="G65" s="46">
        <v>374724048</v>
      </c>
      <c r="H65" s="46"/>
      <c r="I65" s="46">
        <v>1562591</v>
      </c>
      <c r="J65" s="46"/>
      <c r="K65" s="46">
        <v>572966862</v>
      </c>
      <c r="L65" s="46"/>
      <c r="M65" s="46">
        <f t="shared" si="4"/>
        <v>49587154</v>
      </c>
      <c r="N65" s="46"/>
      <c r="O65" s="46">
        <v>95148897</v>
      </c>
      <c r="P65" s="46"/>
      <c r="Q65" s="46">
        <v>144736051</v>
      </c>
      <c r="R65" s="46"/>
      <c r="S65" s="46">
        <v>321452359</v>
      </c>
      <c r="T65" s="46"/>
      <c r="U65" s="46">
        <f>428230811-321452359-7086581</f>
        <v>99691871</v>
      </c>
      <c r="V65" s="46"/>
      <c r="W65" s="46">
        <v>7086581</v>
      </c>
      <c r="X65" s="46"/>
      <c r="Y65" s="46">
        <f t="shared" si="5"/>
        <v>428230811</v>
      </c>
      <c r="AB65" s="44">
        <f t="shared" si="1"/>
        <v>0</v>
      </c>
    </row>
    <row r="66" spans="1:32" ht="12.75" customHeight="1">
      <c r="A66" s="44" t="s">
        <v>84</v>
      </c>
      <c r="C66" s="44" t="s">
        <v>45</v>
      </c>
      <c r="E66" s="143">
        <f t="shared" si="3"/>
        <v>3709759</v>
      </c>
      <c r="G66" s="44">
        <f>286445+3443553</f>
        <v>3729998</v>
      </c>
      <c r="I66" s="44">
        <v>0</v>
      </c>
      <c r="K66" s="44">
        <v>7439757</v>
      </c>
      <c r="M66" s="44">
        <f t="shared" si="4"/>
        <v>1567664</v>
      </c>
      <c r="O66" s="44">
        <v>2613784</v>
      </c>
      <c r="Q66" s="44">
        <v>4181448</v>
      </c>
      <c r="S66" s="44">
        <v>1039136</v>
      </c>
      <c r="U66" s="44">
        <f>27303+391332+104346</f>
        <v>522981</v>
      </c>
      <c r="W66" s="44">
        <v>1696192</v>
      </c>
      <c r="Y66" s="44">
        <f t="shared" si="5"/>
        <v>3258309</v>
      </c>
      <c r="AB66" s="44">
        <f t="shared" si="1"/>
        <v>0</v>
      </c>
    </row>
    <row r="67" spans="1:32" ht="12.75" customHeight="1">
      <c r="A67" s="44" t="s">
        <v>85</v>
      </c>
      <c r="C67" s="44" t="s">
        <v>85</v>
      </c>
      <c r="E67" s="143">
        <f t="shared" si="3"/>
        <v>11476978</v>
      </c>
      <c r="G67" s="44">
        <v>18360366</v>
      </c>
      <c r="I67" s="44">
        <v>0</v>
      </c>
      <c r="K67" s="44">
        <v>29837344</v>
      </c>
      <c r="M67" s="44">
        <f t="shared" si="4"/>
        <v>6970028</v>
      </c>
      <c r="O67" s="44">
        <v>398355</v>
      </c>
      <c r="Q67" s="44">
        <v>7368383</v>
      </c>
      <c r="S67" s="44">
        <v>13848663</v>
      </c>
      <c r="U67" s="44">
        <f>22468961-13848663-2229975</f>
        <v>6390323</v>
      </c>
      <c r="W67" s="44">
        <v>2229975</v>
      </c>
      <c r="Y67" s="44">
        <f t="shared" si="5"/>
        <v>22468961</v>
      </c>
      <c r="AB67" s="44">
        <f t="shared" si="1"/>
        <v>0</v>
      </c>
    </row>
    <row r="68" spans="1:32" ht="12.75" customHeight="1">
      <c r="A68" s="44" t="s">
        <v>86</v>
      </c>
      <c r="C68" s="44" t="s">
        <v>86</v>
      </c>
      <c r="E68" s="143">
        <f t="shared" si="3"/>
        <v>47186982</v>
      </c>
      <c r="G68" s="44">
        <f>18330948+63018175</f>
        <v>81349123</v>
      </c>
      <c r="I68" s="44">
        <v>292093</v>
      </c>
      <c r="K68" s="44">
        <v>128828198</v>
      </c>
      <c r="M68" s="44">
        <f t="shared" si="4"/>
        <v>27240251</v>
      </c>
      <c r="O68" s="44">
        <v>29969841</v>
      </c>
      <c r="Q68" s="44">
        <v>57210092</v>
      </c>
      <c r="S68" s="44">
        <v>49555182</v>
      </c>
      <c r="U68" s="44">
        <f>71618106-49555182+5629421</f>
        <v>27692345</v>
      </c>
      <c r="W68" s="44">
        <v>-5629421</v>
      </c>
      <c r="Y68" s="44">
        <f t="shared" si="5"/>
        <v>71618106</v>
      </c>
      <c r="AB68" s="44">
        <f t="shared" si="1"/>
        <v>0</v>
      </c>
    </row>
    <row r="69" spans="1:32" ht="12.75" customHeight="1">
      <c r="A69" s="46" t="s">
        <v>87</v>
      </c>
      <c r="B69" s="46"/>
      <c r="C69" s="46" t="s">
        <v>88</v>
      </c>
      <c r="D69" s="44"/>
      <c r="E69" s="143">
        <f t="shared" si="3"/>
        <v>2787514</v>
      </c>
      <c r="G69" s="44">
        <f>476660+2387903</f>
        <v>2864563</v>
      </c>
      <c r="I69" s="44">
        <v>0</v>
      </c>
      <c r="K69" s="44">
        <v>5652077</v>
      </c>
      <c r="M69" s="44">
        <f t="shared" si="4"/>
        <v>648410</v>
      </c>
      <c r="O69" s="44">
        <v>269006</v>
      </c>
      <c r="Q69" s="44">
        <v>917416</v>
      </c>
      <c r="S69" s="44">
        <v>2834159</v>
      </c>
      <c r="U69" s="44">
        <f>5750+956951</f>
        <v>962701</v>
      </c>
      <c r="W69" s="44">
        <v>937801</v>
      </c>
      <c r="Y69" s="44">
        <f t="shared" si="5"/>
        <v>4734661</v>
      </c>
      <c r="AB69" s="44">
        <f t="shared" si="1"/>
        <v>0</v>
      </c>
    </row>
    <row r="70" spans="1:32" ht="12.75" customHeight="1">
      <c r="A70" s="44" t="s">
        <v>394</v>
      </c>
      <c r="C70" s="44" t="s">
        <v>89</v>
      </c>
      <c r="E70" s="44">
        <f>+K70-G70-I70</f>
        <v>8041044</v>
      </c>
      <c r="G70" s="44">
        <f>1324572+15413921</f>
        <v>16738493</v>
      </c>
      <c r="I70" s="44">
        <v>0</v>
      </c>
      <c r="K70" s="44">
        <v>24779537</v>
      </c>
      <c r="M70" s="44">
        <f t="shared" ref="M70" si="6">+Q70-O70</f>
        <v>2778848</v>
      </c>
      <c r="O70" s="44">
        <v>4536045</v>
      </c>
      <c r="Q70" s="44">
        <v>7314893</v>
      </c>
      <c r="S70" s="44">
        <v>13998493</v>
      </c>
      <c r="U70" s="44">
        <f>17464644-13998493-890225</f>
        <v>2575926</v>
      </c>
      <c r="W70" s="44">
        <v>890225</v>
      </c>
      <c r="Y70" s="44">
        <f>S70+U70+W70</f>
        <v>17464644</v>
      </c>
      <c r="Z70" s="46"/>
      <c r="AA70" s="46"/>
      <c r="AB70" s="46">
        <f t="shared" si="1"/>
        <v>0</v>
      </c>
    </row>
    <row r="71" spans="1:32" ht="12.75" customHeight="1">
      <c r="A71" s="44" t="s">
        <v>90</v>
      </c>
      <c r="C71" s="44" t="s">
        <v>43</v>
      </c>
      <c r="E71" s="143">
        <f t="shared" ref="E71:E131" si="7">+K71-G71-I71</f>
        <v>359858627</v>
      </c>
      <c r="G71" s="44">
        <f>271519097-122474543</f>
        <v>149044554</v>
      </c>
      <c r="I71" s="44">
        <v>351618</v>
      </c>
      <c r="K71" s="44">
        <v>509254799</v>
      </c>
      <c r="M71" s="44">
        <f t="shared" ref="M71:M131" si="8">+Q71-O71</f>
        <v>27654497</v>
      </c>
      <c r="O71" s="44">
        <v>46355801</v>
      </c>
      <c r="Q71" s="44">
        <v>74010298</v>
      </c>
      <c r="S71" s="44">
        <v>347551817</v>
      </c>
      <c r="U71" s="44">
        <f>5617712+1469240+438260</f>
        <v>7525212</v>
      </c>
      <c r="W71" s="44">
        <v>80167472</v>
      </c>
      <c r="Y71" s="44">
        <f t="shared" ref="Y71:Y131" si="9">S71+U71+W71</f>
        <v>435244501</v>
      </c>
      <c r="AB71" s="44">
        <f t="shared" si="1"/>
        <v>0</v>
      </c>
    </row>
    <row r="72" spans="1:32" s="121" customFormat="1" ht="12.75" hidden="1" customHeight="1">
      <c r="A72" s="122" t="s">
        <v>488</v>
      </c>
      <c r="B72" s="122"/>
      <c r="C72" s="122" t="s">
        <v>27</v>
      </c>
      <c r="D72" s="122"/>
      <c r="E72" s="150">
        <f t="shared" si="7"/>
        <v>0</v>
      </c>
      <c r="G72" s="121">
        <v>0</v>
      </c>
      <c r="I72" s="121">
        <v>0</v>
      </c>
      <c r="K72" s="121">
        <v>0</v>
      </c>
      <c r="M72" s="121">
        <f t="shared" si="8"/>
        <v>0</v>
      </c>
      <c r="O72" s="121">
        <v>0</v>
      </c>
      <c r="Q72" s="121">
        <v>0</v>
      </c>
      <c r="S72" s="121">
        <v>0</v>
      </c>
      <c r="U72" s="121">
        <v>0</v>
      </c>
      <c r="W72" s="121">
        <v>0</v>
      </c>
      <c r="Y72" s="121">
        <f t="shared" si="9"/>
        <v>0</v>
      </c>
      <c r="AB72" s="121">
        <f t="shared" si="1"/>
        <v>0</v>
      </c>
      <c r="AC72" s="121" t="s">
        <v>502</v>
      </c>
    </row>
    <row r="73" spans="1:32" ht="12.75" customHeight="1">
      <c r="A73" s="44" t="s">
        <v>93</v>
      </c>
      <c r="C73" s="44" t="s">
        <v>94</v>
      </c>
      <c r="E73" s="143">
        <f t="shared" si="7"/>
        <v>3812338</v>
      </c>
      <c r="G73" s="44">
        <f>1905350+5615500</f>
        <v>7520850</v>
      </c>
      <c r="I73" s="44">
        <v>0</v>
      </c>
      <c r="K73" s="44">
        <v>11333188</v>
      </c>
      <c r="M73" s="44">
        <f t="shared" si="8"/>
        <v>1808157</v>
      </c>
      <c r="O73" s="44">
        <v>3366771</v>
      </c>
      <c r="Q73" s="44">
        <v>5174928</v>
      </c>
      <c r="S73" s="44">
        <v>5037677</v>
      </c>
      <c r="U73" s="44">
        <f>263267+96521+495467+565791</f>
        <v>1421046</v>
      </c>
      <c r="W73" s="44">
        <v>-300463</v>
      </c>
      <c r="Y73" s="44">
        <f t="shared" si="9"/>
        <v>6158260</v>
      </c>
      <c r="AB73" s="44">
        <f t="shared" ref="AB73:AB80" si="10">+K73-Q73-Y73</f>
        <v>0</v>
      </c>
    </row>
    <row r="74" spans="1:32" s="46" customFormat="1" ht="12.75" customHeight="1">
      <c r="A74" s="46" t="s">
        <v>95</v>
      </c>
      <c r="C74" s="46" t="s">
        <v>94</v>
      </c>
      <c r="E74" s="143">
        <f t="shared" si="7"/>
        <v>2275904</v>
      </c>
      <c r="F74" s="44"/>
      <c r="G74" s="44">
        <v>5043642</v>
      </c>
      <c r="H74" s="44"/>
      <c r="I74" s="44">
        <v>0</v>
      </c>
      <c r="J74" s="44"/>
      <c r="K74" s="44">
        <v>7319546</v>
      </c>
      <c r="L74" s="44"/>
      <c r="M74" s="44">
        <f t="shared" si="8"/>
        <v>929923</v>
      </c>
      <c r="N74" s="44"/>
      <c r="O74" s="44">
        <v>1144233</v>
      </c>
      <c r="P74" s="44"/>
      <c r="Q74" s="44">
        <v>2074156</v>
      </c>
      <c r="R74" s="44"/>
      <c r="S74" s="44">
        <v>3940447</v>
      </c>
      <c r="T74" s="44"/>
      <c r="U74" s="44">
        <v>3613939</v>
      </c>
      <c r="V74" s="44"/>
      <c r="W74" s="44">
        <v>-2308996</v>
      </c>
      <c r="X74" s="44"/>
      <c r="Y74" s="44">
        <f t="shared" si="9"/>
        <v>5245390</v>
      </c>
      <c r="Z74" s="44"/>
      <c r="AA74" s="44"/>
      <c r="AB74" s="44">
        <f t="shared" si="10"/>
        <v>0</v>
      </c>
      <c r="AF74" s="44"/>
    </row>
    <row r="75" spans="1:32" s="121" customFormat="1" ht="12.75" hidden="1" customHeight="1">
      <c r="A75" s="121" t="s">
        <v>91</v>
      </c>
      <c r="B75" s="122"/>
      <c r="C75" s="121" t="s">
        <v>92</v>
      </c>
      <c r="D75" s="122"/>
      <c r="E75" s="150">
        <f t="shared" si="7"/>
        <v>0</v>
      </c>
      <c r="G75" s="121">
        <v>0</v>
      </c>
      <c r="I75" s="121">
        <v>0</v>
      </c>
      <c r="K75" s="121">
        <v>0</v>
      </c>
      <c r="M75" s="121">
        <f t="shared" si="8"/>
        <v>0</v>
      </c>
      <c r="O75" s="121">
        <v>0</v>
      </c>
      <c r="Q75" s="121">
        <v>0</v>
      </c>
      <c r="S75" s="121">
        <v>0</v>
      </c>
      <c r="U75" s="121">
        <v>0</v>
      </c>
      <c r="W75" s="121">
        <v>0</v>
      </c>
      <c r="Y75" s="121">
        <f t="shared" si="9"/>
        <v>0</v>
      </c>
      <c r="AB75" s="121">
        <f t="shared" si="10"/>
        <v>0</v>
      </c>
      <c r="AC75" s="121" t="s">
        <v>504</v>
      </c>
    </row>
    <row r="76" spans="1:32" ht="12.75" customHeight="1">
      <c r="A76" s="44" t="s">
        <v>96</v>
      </c>
      <c r="C76" s="44" t="s">
        <v>97</v>
      </c>
      <c r="E76" s="143">
        <f t="shared" si="7"/>
        <v>7545275</v>
      </c>
      <c r="G76" s="44">
        <f>820439+63100+7862206</f>
        <v>8745745</v>
      </c>
      <c r="I76" s="44">
        <v>0</v>
      </c>
      <c r="K76" s="44">
        <v>16291020</v>
      </c>
      <c r="M76" s="44">
        <f t="shared" si="8"/>
        <v>1479249</v>
      </c>
      <c r="O76" s="44">
        <v>2043451</v>
      </c>
      <c r="Q76" s="44">
        <v>3522700</v>
      </c>
      <c r="S76" s="44">
        <v>6856357</v>
      </c>
      <c r="U76" s="44">
        <f>12768320-6856357-1971564</f>
        <v>3940399</v>
      </c>
      <c r="W76" s="44">
        <v>1971564</v>
      </c>
      <c r="Y76" s="44">
        <f t="shared" si="9"/>
        <v>12768320</v>
      </c>
      <c r="AB76" s="44">
        <f t="shared" si="10"/>
        <v>0</v>
      </c>
    </row>
    <row r="77" spans="1:32" ht="12.75" customHeight="1">
      <c r="A77" s="44" t="s">
        <v>98</v>
      </c>
      <c r="C77" s="44" t="s">
        <v>17</v>
      </c>
      <c r="E77" s="143">
        <f t="shared" si="7"/>
        <v>25910554</v>
      </c>
      <c r="G77" s="44">
        <f>6706674+25495150+3400140+5153516+42119130+2807938+2842111</f>
        <v>88524659</v>
      </c>
      <c r="I77" s="44">
        <v>200873</v>
      </c>
      <c r="K77" s="44">
        <v>114636086</v>
      </c>
      <c r="M77" s="44">
        <f t="shared" si="8"/>
        <v>16060769</v>
      </c>
      <c r="O77" s="44">
        <v>34260132</v>
      </c>
      <c r="Q77" s="44">
        <v>50320901</v>
      </c>
      <c r="S77" s="44">
        <v>51674839</v>
      </c>
      <c r="U77" s="44">
        <f>64315185-51674839-2237974</f>
        <v>10402372</v>
      </c>
      <c r="W77" s="44">
        <v>2237974</v>
      </c>
      <c r="Y77" s="44">
        <f t="shared" si="9"/>
        <v>64315185</v>
      </c>
      <c r="AB77" s="44">
        <f t="shared" si="10"/>
        <v>0</v>
      </c>
    </row>
    <row r="78" spans="1:32" ht="12.75" customHeight="1">
      <c r="A78" s="44" t="s">
        <v>99</v>
      </c>
      <c r="C78" s="44" t="s">
        <v>66</v>
      </c>
      <c r="E78" s="143">
        <f t="shared" si="7"/>
        <v>17387717</v>
      </c>
      <c r="G78" s="44">
        <f>4745091+32574630</f>
        <v>37319721</v>
      </c>
      <c r="I78" s="44">
        <v>0</v>
      </c>
      <c r="K78" s="44">
        <v>54707438</v>
      </c>
      <c r="M78" s="44">
        <f t="shared" si="8"/>
        <v>2431447</v>
      </c>
      <c r="O78" s="44">
        <v>328864</v>
      </c>
      <c r="Q78" s="44">
        <v>2760311</v>
      </c>
      <c r="S78" s="44">
        <v>37136159</v>
      </c>
      <c r="U78" s="44">
        <f>51947127-37136159-5525394</f>
        <v>9285574</v>
      </c>
      <c r="W78" s="44">
        <v>5525394</v>
      </c>
      <c r="Y78" s="44">
        <f t="shared" si="9"/>
        <v>51947127</v>
      </c>
      <c r="AB78" s="44">
        <f t="shared" si="10"/>
        <v>0</v>
      </c>
    </row>
    <row r="79" spans="1:32" ht="12.75" customHeight="1">
      <c r="A79" s="44" t="s">
        <v>100</v>
      </c>
      <c r="C79" s="44" t="s">
        <v>27</v>
      </c>
      <c r="E79" s="143">
        <f t="shared" si="7"/>
        <v>35696082</v>
      </c>
      <c r="G79" s="44">
        <f>15496521+51446355+1103292</f>
        <v>68046168</v>
      </c>
      <c r="I79" s="44">
        <v>602374</v>
      </c>
      <c r="K79" s="44">
        <v>104344624</v>
      </c>
      <c r="M79" s="44">
        <f t="shared" si="8"/>
        <v>16480494</v>
      </c>
      <c r="O79" s="44">
        <v>32905740</v>
      </c>
      <c r="Q79" s="44">
        <v>49386234</v>
      </c>
      <c r="S79" s="44">
        <v>36838939</v>
      </c>
      <c r="U79" s="44">
        <f>54958390-36838939-4557455</f>
        <v>13561996</v>
      </c>
      <c r="W79" s="44">
        <v>4557455</v>
      </c>
      <c r="Y79" s="44">
        <f t="shared" si="9"/>
        <v>54958390</v>
      </c>
      <c r="AB79" s="44">
        <f t="shared" si="10"/>
        <v>0</v>
      </c>
    </row>
    <row r="80" spans="1:32" ht="12.75" customHeight="1">
      <c r="A80" s="44" t="s">
        <v>101</v>
      </c>
      <c r="C80" s="44" t="s">
        <v>30</v>
      </c>
      <c r="E80" s="143">
        <f t="shared" si="7"/>
        <v>24663650</v>
      </c>
      <c r="G80" s="44">
        <f>14153545+53983747</f>
        <v>68137292</v>
      </c>
      <c r="I80" s="44">
        <v>852</v>
      </c>
      <c r="K80" s="44">
        <v>92801794</v>
      </c>
      <c r="M80" s="44">
        <f t="shared" si="8"/>
        <v>10669930</v>
      </c>
      <c r="O80" s="44">
        <v>6522515</v>
      </c>
      <c r="Q80" s="44">
        <v>17192445</v>
      </c>
      <c r="S80" s="44">
        <v>58223118</v>
      </c>
      <c r="U80" s="44">
        <f>75609349-58223118-5630336</f>
        <v>11755895</v>
      </c>
      <c r="W80" s="44">
        <v>5630336</v>
      </c>
      <c r="Y80" s="44">
        <f t="shared" si="9"/>
        <v>75609349</v>
      </c>
      <c r="AB80" s="44">
        <f t="shared" si="10"/>
        <v>0</v>
      </c>
    </row>
    <row r="81" spans="1:28" ht="12.75" customHeight="1">
      <c r="A81" s="44" t="s">
        <v>102</v>
      </c>
      <c r="C81" s="44" t="s">
        <v>103</v>
      </c>
      <c r="E81" s="143">
        <f t="shared" si="7"/>
        <v>40400834</v>
      </c>
      <c r="G81" s="44">
        <f>21540338+62692284</f>
        <v>84232622</v>
      </c>
      <c r="I81" s="44">
        <v>207127</v>
      </c>
      <c r="K81" s="44">
        <v>124840583</v>
      </c>
      <c r="M81" s="44">
        <f t="shared" si="8"/>
        <v>8946775</v>
      </c>
      <c r="O81" s="44">
        <v>27197046</v>
      </c>
      <c r="Q81" s="44">
        <v>36143821</v>
      </c>
      <c r="S81" s="44">
        <v>66371105</v>
      </c>
      <c r="U81" s="44">
        <f>88696762-66371105-9016660</f>
        <v>13308997</v>
      </c>
      <c r="W81" s="44">
        <v>9016660</v>
      </c>
      <c r="Y81" s="44">
        <f t="shared" si="9"/>
        <v>88696762</v>
      </c>
      <c r="AB81" s="44">
        <f t="shared" ref="AB81:AB146" si="11">+K81-Q81-Y81</f>
        <v>0</v>
      </c>
    </row>
    <row r="82" spans="1:28" ht="12.75" customHeight="1">
      <c r="A82" s="44" t="s">
        <v>104</v>
      </c>
      <c r="C82" s="44" t="s">
        <v>13</v>
      </c>
      <c r="E82" s="143">
        <f t="shared" si="7"/>
        <v>17783592</v>
      </c>
      <c r="G82" s="44">
        <f>3229638+61510178</f>
        <v>64739816</v>
      </c>
      <c r="I82" s="44">
        <v>0</v>
      </c>
      <c r="K82" s="44">
        <v>82523408</v>
      </c>
      <c r="M82" s="44">
        <f t="shared" si="8"/>
        <v>3419397</v>
      </c>
      <c r="O82" s="44">
        <v>6560521</v>
      </c>
      <c r="Q82" s="44">
        <v>9979918</v>
      </c>
      <c r="S82" s="44">
        <v>58076467</v>
      </c>
      <c r="U82" s="44">
        <f>72543490-58076467-9428634</f>
        <v>5038389</v>
      </c>
      <c r="W82" s="44">
        <v>9428634</v>
      </c>
      <c r="Y82" s="44">
        <f t="shared" si="9"/>
        <v>72543490</v>
      </c>
      <c r="AB82" s="44">
        <f t="shared" si="11"/>
        <v>0</v>
      </c>
    </row>
    <row r="83" spans="1:28" ht="12.75" customHeight="1">
      <c r="A83" s="44" t="s">
        <v>105</v>
      </c>
      <c r="C83" s="44" t="s">
        <v>27</v>
      </c>
      <c r="E83" s="143">
        <f t="shared" si="7"/>
        <v>13886628</v>
      </c>
      <c r="G83" s="44">
        <f>1050943+49232487</f>
        <v>50283430</v>
      </c>
      <c r="I83" s="44">
        <v>231655</v>
      </c>
      <c r="K83" s="44">
        <v>64401713</v>
      </c>
      <c r="M83" s="44">
        <f t="shared" si="8"/>
        <v>6928092</v>
      </c>
      <c r="O83" s="44">
        <v>25513524</v>
      </c>
      <c r="Q83" s="44">
        <v>32441616</v>
      </c>
      <c r="S83" s="44">
        <v>26270731</v>
      </c>
      <c r="U83" s="44">
        <f>31960097-26270731-740374</f>
        <v>4948992</v>
      </c>
      <c r="W83" s="44">
        <v>740374</v>
      </c>
      <c r="Y83" s="44">
        <f t="shared" si="9"/>
        <v>31960097</v>
      </c>
      <c r="AB83" s="44">
        <f t="shared" si="11"/>
        <v>0</v>
      </c>
    </row>
    <row r="84" spans="1:28" ht="12.75" customHeight="1">
      <c r="A84" s="44" t="s">
        <v>106</v>
      </c>
      <c r="C84" s="44" t="s">
        <v>107</v>
      </c>
      <c r="E84" s="143">
        <f t="shared" si="7"/>
        <v>26145460</v>
      </c>
      <c r="G84" s="44">
        <v>81641678</v>
      </c>
      <c r="I84" s="44">
        <v>0</v>
      </c>
      <c r="K84" s="44">
        <v>107787138</v>
      </c>
      <c r="M84" s="44">
        <f t="shared" si="8"/>
        <v>7739727</v>
      </c>
      <c r="O84" s="44">
        <v>12223195</v>
      </c>
      <c r="Q84" s="44">
        <v>19962922</v>
      </c>
      <c r="S84" s="44">
        <v>72061766</v>
      </c>
      <c r="U84" s="44">
        <f>87824216-72061766-5000096</f>
        <v>10762354</v>
      </c>
      <c r="W84" s="44">
        <v>5000096</v>
      </c>
      <c r="Y84" s="44">
        <f t="shared" si="9"/>
        <v>87824216</v>
      </c>
      <c r="AB84" s="44">
        <f>+K84-Q84-Y84</f>
        <v>0</v>
      </c>
    </row>
    <row r="85" spans="1:28" ht="12.75" customHeight="1">
      <c r="A85" s="44" t="s">
        <v>108</v>
      </c>
      <c r="C85" s="44" t="s">
        <v>45</v>
      </c>
      <c r="E85" s="143">
        <f t="shared" si="7"/>
        <v>23423935</v>
      </c>
      <c r="G85" s="44">
        <f>13461676+25610795</f>
        <v>39072471</v>
      </c>
      <c r="I85" s="44">
        <v>0</v>
      </c>
      <c r="K85" s="44">
        <v>62496406</v>
      </c>
      <c r="M85" s="44">
        <f t="shared" si="8"/>
        <v>9253150</v>
      </c>
      <c r="O85" s="44">
        <v>2394590</v>
      </c>
      <c r="Q85" s="44">
        <v>11647740</v>
      </c>
      <c r="S85" s="44">
        <v>33845751</v>
      </c>
      <c r="U85" s="44">
        <f>50848666-33845751-9728159</f>
        <v>7274756</v>
      </c>
      <c r="W85" s="44">
        <v>9728159</v>
      </c>
      <c r="Y85" s="44">
        <f t="shared" si="9"/>
        <v>50848666</v>
      </c>
      <c r="AB85" s="44">
        <f>+K85-Q85-Y85</f>
        <v>0</v>
      </c>
    </row>
    <row r="86" spans="1:28" ht="12.75" customHeight="1">
      <c r="A86" s="44" t="s">
        <v>109</v>
      </c>
      <c r="B86" s="44"/>
      <c r="C86" s="44" t="s">
        <v>110</v>
      </c>
      <c r="D86" s="44"/>
      <c r="E86" s="143">
        <f t="shared" si="7"/>
        <v>7231921</v>
      </c>
      <c r="G86" s="44">
        <v>9843595</v>
      </c>
      <c r="I86" s="44">
        <v>0</v>
      </c>
      <c r="K86" s="44">
        <v>17075516</v>
      </c>
      <c r="M86" s="44">
        <f t="shared" si="8"/>
        <v>1810378</v>
      </c>
      <c r="O86" s="44">
        <v>1167224</v>
      </c>
      <c r="Q86" s="44">
        <v>2977602</v>
      </c>
      <c r="S86" s="44">
        <v>9339509</v>
      </c>
      <c r="U86" s="44">
        <f>14097914-9339509+141645</f>
        <v>4900050</v>
      </c>
      <c r="W86" s="44">
        <v>-141645</v>
      </c>
      <c r="Y86" s="44">
        <f t="shared" si="9"/>
        <v>14097914</v>
      </c>
      <c r="AB86" s="44">
        <f t="shared" si="11"/>
        <v>0</v>
      </c>
    </row>
    <row r="87" spans="1:28" ht="12.75" customHeight="1">
      <c r="A87" s="44" t="s">
        <v>43</v>
      </c>
      <c r="C87" s="44" t="s">
        <v>111</v>
      </c>
      <c r="E87" s="143">
        <v>14463483</v>
      </c>
      <c r="G87" s="44">
        <v>48738717</v>
      </c>
      <c r="I87" s="44">
        <v>18005</v>
      </c>
      <c r="K87" s="44">
        <v>63220205</v>
      </c>
      <c r="M87" s="44">
        <f t="shared" si="8"/>
        <v>4105040</v>
      </c>
      <c r="O87" s="44">
        <v>8826893</v>
      </c>
      <c r="Q87" s="44">
        <v>12931933</v>
      </c>
      <c r="S87" s="44">
        <v>40082870</v>
      </c>
      <c r="U87" s="44">
        <v>6717135</v>
      </c>
      <c r="W87" s="44">
        <v>3488267</v>
      </c>
      <c r="Y87" s="44">
        <f t="shared" si="9"/>
        <v>50288272</v>
      </c>
      <c r="AB87" s="44">
        <f t="shared" si="11"/>
        <v>0</v>
      </c>
    </row>
    <row r="88" spans="1:28" ht="12.75" customHeight="1">
      <c r="A88" s="44" t="s">
        <v>112</v>
      </c>
      <c r="C88" s="44" t="s">
        <v>76</v>
      </c>
      <c r="E88" s="143">
        <f t="shared" si="7"/>
        <v>16635170</v>
      </c>
      <c r="G88" s="44">
        <f>870603+21455517</f>
        <v>22326120</v>
      </c>
      <c r="I88" s="44">
        <v>0</v>
      </c>
      <c r="K88" s="44">
        <v>38961290</v>
      </c>
      <c r="M88" s="44">
        <f t="shared" si="8"/>
        <v>2065345</v>
      </c>
      <c r="O88" s="44">
        <v>3865482</v>
      </c>
      <c r="Q88" s="44">
        <v>5930827</v>
      </c>
      <c r="S88" s="44">
        <v>19598099</v>
      </c>
      <c r="U88" s="44">
        <f>33030463-19598099-6944252</f>
        <v>6488112</v>
      </c>
      <c r="W88" s="44">
        <v>6944252</v>
      </c>
      <c r="Y88" s="44">
        <f t="shared" si="9"/>
        <v>33030463</v>
      </c>
      <c r="AB88" s="44">
        <f t="shared" si="11"/>
        <v>0</v>
      </c>
    </row>
    <row r="89" spans="1:28" ht="12.75" customHeight="1">
      <c r="A89" s="44" t="s">
        <v>113</v>
      </c>
      <c r="C89" s="44" t="s">
        <v>43</v>
      </c>
      <c r="E89" s="143">
        <f t="shared" si="7"/>
        <v>42553251</v>
      </c>
      <c r="G89" s="44">
        <v>85716877</v>
      </c>
      <c r="I89" s="44">
        <v>173397</v>
      </c>
      <c r="K89" s="44">
        <v>128443525</v>
      </c>
      <c r="M89" s="44">
        <f t="shared" si="8"/>
        <v>6572630</v>
      </c>
      <c r="O89" s="44">
        <v>22174777</v>
      </c>
      <c r="Q89" s="44">
        <v>28747407</v>
      </c>
      <c r="S89" s="44">
        <v>64354828</v>
      </c>
      <c r="U89" s="44">
        <f>99696118-64354828-22595293</f>
        <v>12745997</v>
      </c>
      <c r="W89" s="44">
        <v>22595293</v>
      </c>
      <c r="Y89" s="44">
        <f t="shared" si="9"/>
        <v>99696118</v>
      </c>
      <c r="AB89" s="44">
        <f t="shared" si="11"/>
        <v>0</v>
      </c>
    </row>
    <row r="90" spans="1:28" ht="12.75" customHeight="1">
      <c r="A90" s="44" t="s">
        <v>489</v>
      </c>
      <c r="C90" s="44" t="s">
        <v>57</v>
      </c>
      <c r="E90" s="143">
        <f t="shared" si="7"/>
        <v>8767673</v>
      </c>
      <c r="G90" s="44">
        <f>4088475+12106283</f>
        <v>16194758</v>
      </c>
      <c r="I90" s="44">
        <v>0</v>
      </c>
      <c r="K90" s="44">
        <v>24962431</v>
      </c>
      <c r="M90" s="44">
        <f t="shared" si="8"/>
        <v>2430129</v>
      </c>
      <c r="O90" s="44">
        <v>1706319</v>
      </c>
      <c r="Q90" s="44">
        <v>4136448</v>
      </c>
      <c r="S90" s="44">
        <v>14664142</v>
      </c>
      <c r="U90" s="44">
        <f>20825983-14664142-3926522</f>
        <v>2235319</v>
      </c>
      <c r="W90" s="44">
        <v>3926522</v>
      </c>
      <c r="Y90" s="44">
        <f t="shared" si="9"/>
        <v>20825983</v>
      </c>
      <c r="AB90" s="44">
        <f t="shared" si="11"/>
        <v>0</v>
      </c>
    </row>
    <row r="91" spans="1:28" ht="12.75" customHeight="1">
      <c r="A91" s="44" t="s">
        <v>114</v>
      </c>
      <c r="C91" s="44" t="s">
        <v>27</v>
      </c>
      <c r="E91" s="143">
        <f t="shared" si="7"/>
        <v>21432540</v>
      </c>
      <c r="G91" s="44">
        <f>2332288+30241428</f>
        <v>32573716</v>
      </c>
      <c r="I91" s="44">
        <v>638626</v>
      </c>
      <c r="K91" s="44">
        <v>54644882</v>
      </c>
      <c r="M91" s="44">
        <f t="shared" si="8"/>
        <v>17912265</v>
      </c>
      <c r="O91" s="44">
        <v>33405753</v>
      </c>
      <c r="Q91" s="44">
        <v>51318018</v>
      </c>
      <c r="S91" s="44">
        <v>10314779</v>
      </c>
      <c r="U91" s="44">
        <f>3326864-10314779+11544783</f>
        <v>4556868</v>
      </c>
      <c r="W91" s="44">
        <v>-11544783</v>
      </c>
      <c r="Y91" s="44">
        <f t="shared" si="9"/>
        <v>3326864</v>
      </c>
      <c r="AB91" s="44">
        <f t="shared" si="11"/>
        <v>0</v>
      </c>
    </row>
    <row r="92" spans="1:28" ht="12.75" customHeight="1">
      <c r="A92" s="44" t="s">
        <v>115</v>
      </c>
      <c r="C92" s="44" t="s">
        <v>19</v>
      </c>
      <c r="E92" s="143">
        <f t="shared" si="7"/>
        <v>5096871</v>
      </c>
      <c r="G92" s="44">
        <f>1891692+14141671</f>
        <v>16033363</v>
      </c>
      <c r="I92" s="44">
        <v>0</v>
      </c>
      <c r="K92" s="44">
        <v>21130234</v>
      </c>
      <c r="M92" s="44">
        <f t="shared" si="8"/>
        <v>1300878</v>
      </c>
      <c r="O92" s="44">
        <v>2637027</v>
      </c>
      <c r="Q92" s="44">
        <v>3937905</v>
      </c>
      <c r="S92" s="44">
        <v>13113176</v>
      </c>
      <c r="U92" s="44">
        <f>348020+334375+927276</f>
        <v>1609671</v>
      </c>
      <c r="W92" s="44">
        <v>2469482</v>
      </c>
      <c r="Y92" s="44">
        <f t="shared" si="9"/>
        <v>17192329</v>
      </c>
      <c r="AB92" s="44">
        <f t="shared" si="11"/>
        <v>0</v>
      </c>
    </row>
    <row r="93" spans="1:28" ht="12.75" customHeight="1">
      <c r="A93" s="44" t="s">
        <v>116</v>
      </c>
      <c r="C93" s="44" t="s">
        <v>80</v>
      </c>
      <c r="E93" s="143">
        <f t="shared" si="7"/>
        <v>5055765</v>
      </c>
      <c r="G93" s="44">
        <f>1073640+29042992</f>
        <v>30116632</v>
      </c>
      <c r="I93" s="44">
        <v>0</v>
      </c>
      <c r="K93" s="44">
        <v>35172397</v>
      </c>
      <c r="M93" s="44">
        <f t="shared" si="8"/>
        <v>6188290</v>
      </c>
      <c r="O93" s="44">
        <v>791948</v>
      </c>
      <c r="Q93" s="44">
        <v>6980238</v>
      </c>
      <c r="S93" s="44">
        <v>25734663</v>
      </c>
      <c r="U93" s="44">
        <f>28192159-25734663-556913</f>
        <v>1900583</v>
      </c>
      <c r="W93" s="44">
        <v>556913</v>
      </c>
      <c r="Y93" s="44">
        <f t="shared" si="9"/>
        <v>28192159</v>
      </c>
      <c r="AB93" s="44">
        <f t="shared" si="11"/>
        <v>0</v>
      </c>
    </row>
    <row r="94" spans="1:28" ht="12.75" customHeight="1">
      <c r="A94" s="47" t="s">
        <v>117</v>
      </c>
      <c r="C94" s="47" t="s">
        <v>43</v>
      </c>
      <c r="E94" s="143">
        <f t="shared" si="7"/>
        <v>9923426</v>
      </c>
      <c r="G94" s="44">
        <f>8596267+4790344</f>
        <v>13386611</v>
      </c>
      <c r="I94" s="44">
        <v>0</v>
      </c>
      <c r="K94" s="44">
        <v>23310037</v>
      </c>
      <c r="M94" s="44">
        <f t="shared" si="8"/>
        <v>4602903</v>
      </c>
      <c r="O94" s="44">
        <v>1468483</v>
      </c>
      <c r="Q94" s="44">
        <v>6071386</v>
      </c>
      <c r="S94" s="44">
        <v>12133217</v>
      </c>
      <c r="U94" s="44">
        <f>17238651-12133217-3494112</f>
        <v>1611322</v>
      </c>
      <c r="W94" s="44">
        <v>3494112</v>
      </c>
      <c r="Y94" s="44">
        <f t="shared" si="9"/>
        <v>17238651</v>
      </c>
      <c r="AB94" s="44">
        <f t="shared" si="11"/>
        <v>0</v>
      </c>
    </row>
    <row r="95" spans="1:28" ht="12.75" customHeight="1">
      <c r="A95" s="44" t="s">
        <v>118</v>
      </c>
      <c r="C95" s="44" t="s">
        <v>13</v>
      </c>
      <c r="E95" s="143">
        <f t="shared" si="7"/>
        <v>60728281</v>
      </c>
      <c r="G95" s="44">
        <f>29947657+67224876</f>
        <v>97172533</v>
      </c>
      <c r="I95" s="44">
        <v>282292</v>
      </c>
      <c r="K95" s="44">
        <v>158183106</v>
      </c>
      <c r="M95" s="44">
        <f t="shared" si="8"/>
        <v>20720069</v>
      </c>
      <c r="O95" s="44">
        <v>44918858</v>
      </c>
      <c r="Q95" s="44">
        <v>65638927</v>
      </c>
      <c r="S95" s="44">
        <v>53086130</v>
      </c>
      <c r="U95" s="44">
        <f>92544179-53086130-24760921</f>
        <v>14697128</v>
      </c>
      <c r="W95" s="44">
        <v>24760921</v>
      </c>
      <c r="Y95" s="44">
        <f t="shared" si="9"/>
        <v>92544179</v>
      </c>
      <c r="AB95" s="44">
        <f t="shared" si="11"/>
        <v>0</v>
      </c>
    </row>
    <row r="96" spans="1:28" ht="12.75" customHeight="1">
      <c r="A96" s="44" t="s">
        <v>120</v>
      </c>
      <c r="C96" s="44" t="s">
        <v>121</v>
      </c>
      <c r="E96" s="143">
        <f t="shared" si="7"/>
        <v>9274668</v>
      </c>
      <c r="G96" s="44">
        <v>15637428</v>
      </c>
      <c r="I96" s="44">
        <v>43136</v>
      </c>
      <c r="K96" s="44">
        <v>24955232</v>
      </c>
      <c r="M96" s="44">
        <f t="shared" si="8"/>
        <v>2827108</v>
      </c>
      <c r="O96" s="44">
        <v>3205487</v>
      </c>
      <c r="Q96" s="44">
        <v>6032595</v>
      </c>
      <c r="S96" s="44">
        <v>12560463</v>
      </c>
      <c r="U96" s="44">
        <f>18922637-12560463-3979407</f>
        <v>2382767</v>
      </c>
      <c r="W96" s="44">
        <v>3979407</v>
      </c>
      <c r="Y96" s="44">
        <f t="shared" si="9"/>
        <v>18922637</v>
      </c>
      <c r="AB96" s="44">
        <f t="shared" si="11"/>
        <v>0</v>
      </c>
    </row>
    <row r="97" spans="1:28" ht="12.75" customHeight="1">
      <c r="A97" s="44" t="s">
        <v>122</v>
      </c>
      <c r="C97" s="44" t="s">
        <v>43</v>
      </c>
      <c r="E97" s="143">
        <f t="shared" si="7"/>
        <v>50355290</v>
      </c>
      <c r="G97" s="44">
        <f>44476507+153669659</f>
        <v>198146166</v>
      </c>
      <c r="I97" s="44">
        <v>444665</v>
      </c>
      <c r="K97" s="44">
        <v>248946121</v>
      </c>
      <c r="M97" s="44">
        <f t="shared" si="8"/>
        <v>10276024</v>
      </c>
      <c r="O97" s="44">
        <v>36074243</v>
      </c>
      <c r="Q97" s="44">
        <v>46350267</v>
      </c>
      <c r="S97" s="44">
        <v>163869512</v>
      </c>
      <c r="U97" s="44">
        <f>202595854-163869512-18875692</f>
        <v>19850650</v>
      </c>
      <c r="W97" s="44">
        <v>18875692</v>
      </c>
      <c r="Y97" s="44">
        <f t="shared" si="9"/>
        <v>202595854</v>
      </c>
      <c r="AB97" s="44">
        <f t="shared" si="11"/>
        <v>0</v>
      </c>
    </row>
    <row r="98" spans="1:28" ht="12.75" customHeight="1">
      <c r="A98" s="44" t="s">
        <v>45</v>
      </c>
      <c r="C98" s="44" t="s">
        <v>103</v>
      </c>
      <c r="E98" s="143">
        <f t="shared" si="7"/>
        <v>39039494</v>
      </c>
      <c r="G98" s="44">
        <f>37668117+53705726</f>
        <v>91373843</v>
      </c>
      <c r="I98" s="44">
        <v>315262</v>
      </c>
      <c r="K98" s="44">
        <v>130728599</v>
      </c>
      <c r="M98" s="44">
        <f t="shared" si="8"/>
        <v>18245787</v>
      </c>
      <c r="O98" s="44">
        <v>33648902</v>
      </c>
      <c r="Q98" s="44">
        <v>51894689</v>
      </c>
      <c r="S98" s="44">
        <v>63645718</v>
      </c>
      <c r="U98" s="44">
        <f>78833910-63645718-815360</f>
        <v>14372832</v>
      </c>
      <c r="W98" s="44">
        <v>815360</v>
      </c>
      <c r="Y98" s="44">
        <f t="shared" si="9"/>
        <v>78833910</v>
      </c>
      <c r="AB98" s="44">
        <f t="shared" si="11"/>
        <v>0</v>
      </c>
    </row>
    <row r="99" spans="1:28" ht="12.75" customHeight="1">
      <c r="A99" s="44" t="s">
        <v>123</v>
      </c>
      <c r="C99" s="44" t="s">
        <v>45</v>
      </c>
      <c r="E99" s="143">
        <f t="shared" si="7"/>
        <v>7742709</v>
      </c>
      <c r="G99" s="44">
        <f>3035891+11460770</f>
        <v>14496661</v>
      </c>
      <c r="I99" s="44">
        <v>84296</v>
      </c>
      <c r="K99" s="44">
        <v>22323666</v>
      </c>
      <c r="M99" s="44">
        <f t="shared" si="8"/>
        <v>4096405</v>
      </c>
      <c r="O99" s="44">
        <v>6590417</v>
      </c>
      <c r="Q99" s="44">
        <v>10686822</v>
      </c>
      <c r="S99" s="44">
        <v>8613002</v>
      </c>
      <c r="U99" s="44">
        <f>11636844-8613002-898341</f>
        <v>2125501</v>
      </c>
      <c r="W99" s="44">
        <v>898341</v>
      </c>
      <c r="Y99" s="44">
        <f t="shared" si="9"/>
        <v>11636844</v>
      </c>
      <c r="AB99" s="44">
        <f t="shared" si="11"/>
        <v>0</v>
      </c>
    </row>
    <row r="100" spans="1:28" ht="12.75" customHeight="1">
      <c r="A100" s="44" t="s">
        <v>124</v>
      </c>
      <c r="C100" s="44" t="s">
        <v>125</v>
      </c>
      <c r="E100" s="143">
        <f t="shared" si="7"/>
        <v>9341244</v>
      </c>
      <c r="G100" s="44">
        <f>10191441+19733905</f>
        <v>29925346</v>
      </c>
      <c r="I100" s="44">
        <v>0</v>
      </c>
      <c r="K100" s="44">
        <v>39266590</v>
      </c>
      <c r="M100" s="44">
        <f t="shared" si="8"/>
        <v>2270428</v>
      </c>
      <c r="O100" s="44">
        <v>4174174</v>
      </c>
      <c r="Q100" s="44">
        <v>6444602</v>
      </c>
      <c r="S100" s="44">
        <v>26184975</v>
      </c>
      <c r="U100" s="44">
        <f>32821988-26184975-2584668</f>
        <v>4052345</v>
      </c>
      <c r="W100" s="44">
        <v>2584668</v>
      </c>
      <c r="Y100" s="44">
        <f t="shared" si="9"/>
        <v>32821988</v>
      </c>
      <c r="AB100" s="44">
        <f>+K100-Q100-Y100</f>
        <v>0</v>
      </c>
    </row>
    <row r="101" spans="1:28" ht="12.75" customHeight="1">
      <c r="A101" s="44" t="s">
        <v>126</v>
      </c>
      <c r="C101" s="44" t="s">
        <v>27</v>
      </c>
      <c r="E101" s="143">
        <f t="shared" si="7"/>
        <v>18522333</v>
      </c>
      <c r="G101" s="44">
        <f>3374737+43045645</f>
        <v>46420382</v>
      </c>
      <c r="I101" s="44">
        <v>58828</v>
      </c>
      <c r="K101" s="44">
        <v>65001543</v>
      </c>
      <c r="M101" s="44">
        <f t="shared" si="8"/>
        <v>4031820</v>
      </c>
      <c r="O101" s="44">
        <v>12794361</v>
      </c>
      <c r="Q101" s="44">
        <v>16826181</v>
      </c>
      <c r="S101" s="44">
        <v>33218194</v>
      </c>
      <c r="U101" s="44">
        <f>6735172+26898+461975+547230</f>
        <v>7771275</v>
      </c>
      <c r="W101" s="44">
        <v>7185893</v>
      </c>
      <c r="Y101" s="44">
        <f t="shared" si="9"/>
        <v>48175362</v>
      </c>
      <c r="AB101" s="44">
        <f t="shared" si="11"/>
        <v>0</v>
      </c>
    </row>
    <row r="102" spans="1:28" ht="12.75" customHeight="1">
      <c r="A102" s="44" t="s">
        <v>127</v>
      </c>
      <c r="C102" s="44" t="s">
        <v>43</v>
      </c>
      <c r="E102" s="143">
        <f t="shared" si="7"/>
        <v>24437602</v>
      </c>
      <c r="G102" s="44">
        <f>11900475+402335783-157881616</f>
        <v>256354642</v>
      </c>
      <c r="I102" s="44">
        <v>773330</v>
      </c>
      <c r="K102" s="44">
        <v>281565574</v>
      </c>
      <c r="M102" s="44">
        <f t="shared" si="8"/>
        <v>13831157</v>
      </c>
      <c r="O102" s="44">
        <v>56844088</v>
      </c>
      <c r="Q102" s="44">
        <v>70675245</v>
      </c>
      <c r="S102" s="44">
        <v>193490449</v>
      </c>
      <c r="U102" s="44">
        <f>4239370+1573292+3396433+5249807</f>
        <v>14458902</v>
      </c>
      <c r="W102" s="44">
        <v>2940978</v>
      </c>
      <c r="Y102" s="44">
        <f t="shared" si="9"/>
        <v>210890329</v>
      </c>
      <c r="AB102" s="44">
        <f t="shared" si="11"/>
        <v>0</v>
      </c>
    </row>
    <row r="103" spans="1:28" ht="12.75" customHeight="1">
      <c r="A103" s="44" t="s">
        <v>128</v>
      </c>
      <c r="C103" s="44" t="s">
        <v>119</v>
      </c>
      <c r="E103" s="143">
        <f t="shared" si="7"/>
        <v>3860577</v>
      </c>
      <c r="G103" s="44">
        <f>774913+13057623</f>
        <v>13832536</v>
      </c>
      <c r="I103" s="44">
        <v>0</v>
      </c>
      <c r="K103" s="44">
        <v>17693113</v>
      </c>
      <c r="M103" s="44">
        <f t="shared" si="8"/>
        <v>887077</v>
      </c>
      <c r="O103" s="44">
        <v>3428493</v>
      </c>
      <c r="Q103" s="44">
        <v>4315570</v>
      </c>
      <c r="S103" s="44">
        <v>10563401</v>
      </c>
      <c r="U103" s="44">
        <f>13377543-10563401-1350520</f>
        <v>1463622</v>
      </c>
      <c r="W103" s="44">
        <v>1350520</v>
      </c>
      <c r="Y103" s="44">
        <f t="shared" si="9"/>
        <v>13377543</v>
      </c>
      <c r="AB103" s="44">
        <f>+K103-Q103-Y103</f>
        <v>0</v>
      </c>
    </row>
    <row r="104" spans="1:28" ht="12.75" customHeight="1">
      <c r="A104" s="44" t="s">
        <v>129</v>
      </c>
      <c r="C104" s="44" t="s">
        <v>80</v>
      </c>
      <c r="E104" s="143">
        <f t="shared" si="7"/>
        <v>1925597</v>
      </c>
      <c r="G104" s="44">
        <v>4582697</v>
      </c>
      <c r="I104" s="44">
        <v>0</v>
      </c>
      <c r="K104" s="44">
        <v>6508294</v>
      </c>
      <c r="M104" s="44">
        <f t="shared" si="8"/>
        <v>1200594</v>
      </c>
      <c r="O104" s="44">
        <v>2958562</v>
      </c>
      <c r="Q104" s="44">
        <v>4159156</v>
      </c>
      <c r="S104" s="44">
        <v>1333597</v>
      </c>
      <c r="U104" s="44">
        <f>2349138-1333597-418618</f>
        <v>596923</v>
      </c>
      <c r="W104" s="44">
        <v>418618</v>
      </c>
      <c r="Y104" s="44">
        <f t="shared" si="9"/>
        <v>2349138</v>
      </c>
      <c r="AB104" s="44">
        <f t="shared" si="11"/>
        <v>0</v>
      </c>
    </row>
    <row r="105" spans="1:28" ht="12.75" customHeight="1">
      <c r="A105" s="44" t="s">
        <v>130</v>
      </c>
      <c r="C105" s="44" t="s">
        <v>66</v>
      </c>
      <c r="E105" s="143">
        <f t="shared" si="7"/>
        <v>56384328</v>
      </c>
      <c r="G105" s="44">
        <f>25896877+69195891</f>
        <v>95092768</v>
      </c>
      <c r="I105" s="44">
        <v>260789</v>
      </c>
      <c r="K105" s="44">
        <v>151737885</v>
      </c>
      <c r="M105" s="44">
        <f t="shared" si="8"/>
        <v>9880492</v>
      </c>
      <c r="O105" s="44">
        <v>27866408</v>
      </c>
      <c r="Q105" s="44">
        <v>37746900</v>
      </c>
      <c r="S105" s="44">
        <v>68594710</v>
      </c>
      <c r="U105" s="44">
        <f>113990985-68594710-12559614</f>
        <v>32836661</v>
      </c>
      <c r="W105" s="44">
        <v>12559614</v>
      </c>
      <c r="Y105" s="44">
        <f t="shared" si="9"/>
        <v>113990985</v>
      </c>
      <c r="AB105" s="44">
        <f t="shared" si="11"/>
        <v>0</v>
      </c>
    </row>
    <row r="106" spans="1:28" ht="12.75" customHeight="1">
      <c r="A106" s="44" t="s">
        <v>131</v>
      </c>
      <c r="C106" s="44" t="s">
        <v>13</v>
      </c>
      <c r="E106" s="143">
        <f t="shared" si="7"/>
        <v>38756423</v>
      </c>
      <c r="G106" s="44">
        <f>17173286+90358635</f>
        <v>107531921</v>
      </c>
      <c r="I106" s="44">
        <v>135053</v>
      </c>
      <c r="K106" s="44">
        <v>146423397</v>
      </c>
      <c r="M106" s="44">
        <f t="shared" si="8"/>
        <v>23477483</v>
      </c>
      <c r="O106" s="44">
        <v>22179377</v>
      </c>
      <c r="Q106" s="44">
        <v>45656860</v>
      </c>
      <c r="S106" s="44">
        <v>79652873</v>
      </c>
      <c r="U106" s="44">
        <f>100766537-79652873-12159550</f>
        <v>8954114</v>
      </c>
      <c r="W106" s="44">
        <v>12159550</v>
      </c>
      <c r="Y106" s="44">
        <f t="shared" si="9"/>
        <v>100766537</v>
      </c>
      <c r="AB106" s="44">
        <f>+K106-Q106-Y106</f>
        <v>0</v>
      </c>
    </row>
    <row r="107" spans="1:28" ht="12.75" customHeight="1">
      <c r="A107" s="44" t="s">
        <v>38</v>
      </c>
      <c r="C107" s="44" t="s">
        <v>132</v>
      </c>
      <c r="E107" s="143">
        <f t="shared" si="7"/>
        <v>5449651</v>
      </c>
      <c r="G107" s="44">
        <f>7727477+3615085</f>
        <v>11342562</v>
      </c>
      <c r="I107" s="44">
        <v>0</v>
      </c>
      <c r="K107" s="44">
        <v>16792213</v>
      </c>
      <c r="M107" s="44">
        <f t="shared" si="8"/>
        <v>2699892</v>
      </c>
      <c r="O107" s="44">
        <v>2199322</v>
      </c>
      <c r="Q107" s="44">
        <v>4899214</v>
      </c>
      <c r="S107" s="44">
        <v>9301447</v>
      </c>
      <c r="U107" s="44">
        <f>346460+32903+1267643</f>
        <v>1647006</v>
      </c>
      <c r="W107" s="44">
        <v>944546</v>
      </c>
      <c r="Y107" s="44">
        <f t="shared" si="9"/>
        <v>11892999</v>
      </c>
      <c r="AB107" s="44">
        <f t="shared" si="11"/>
        <v>0</v>
      </c>
    </row>
    <row r="108" spans="1:28" ht="12.75" customHeight="1">
      <c r="A108" s="44" t="s">
        <v>133</v>
      </c>
      <c r="C108" s="44" t="s">
        <v>27</v>
      </c>
      <c r="E108" s="143">
        <f t="shared" si="7"/>
        <v>22002709</v>
      </c>
      <c r="G108" s="44">
        <f>17646704+72607382</f>
        <v>90254086</v>
      </c>
      <c r="I108" s="44">
        <v>325370</v>
      </c>
      <c r="K108" s="44">
        <v>112582165</v>
      </c>
      <c r="M108" s="44">
        <f t="shared" si="8"/>
        <v>6293306</v>
      </c>
      <c r="O108" s="44">
        <v>31476179</v>
      </c>
      <c r="Q108" s="44">
        <v>37769485</v>
      </c>
      <c r="S108" s="44">
        <v>59124288</v>
      </c>
      <c r="U108" s="44">
        <f>6753085+1587228</f>
        <v>8340313</v>
      </c>
      <c r="W108" s="44">
        <v>7348079</v>
      </c>
      <c r="Y108" s="44">
        <f t="shared" si="9"/>
        <v>74812680</v>
      </c>
      <c r="AB108" s="44">
        <f t="shared" si="11"/>
        <v>0</v>
      </c>
    </row>
    <row r="109" spans="1:28" ht="12.75" customHeight="1">
      <c r="A109" s="44" t="s">
        <v>482</v>
      </c>
      <c r="C109" s="44" t="s">
        <v>45</v>
      </c>
      <c r="E109" s="143">
        <f t="shared" si="7"/>
        <v>20592034</v>
      </c>
      <c r="G109" s="44">
        <f>80548396+18716865</f>
        <v>99265261</v>
      </c>
      <c r="I109" s="44">
        <v>0</v>
      </c>
      <c r="K109" s="44">
        <v>119857295</v>
      </c>
      <c r="M109" s="44">
        <f t="shared" si="8"/>
        <v>2840337</v>
      </c>
      <c r="O109" s="44">
        <v>3966100</v>
      </c>
      <c r="Q109" s="44">
        <v>6806437</v>
      </c>
      <c r="S109" s="44">
        <v>95849061</v>
      </c>
      <c r="U109" s="44">
        <f>1860014+2350613+3385+1076375</f>
        <v>5290387</v>
      </c>
      <c r="W109" s="44">
        <v>11911410</v>
      </c>
      <c r="Y109" s="44">
        <f t="shared" si="9"/>
        <v>113050858</v>
      </c>
      <c r="AB109" s="44">
        <f t="shared" si="11"/>
        <v>0</v>
      </c>
    </row>
    <row r="110" spans="1:28" ht="12.75" customHeight="1">
      <c r="A110" s="44" t="s">
        <v>136</v>
      </c>
      <c r="C110" s="44" t="s">
        <v>136</v>
      </c>
      <c r="E110" s="143">
        <f t="shared" si="7"/>
        <v>8241541</v>
      </c>
      <c r="G110" s="44">
        <f>171968+6302912</f>
        <v>6474880</v>
      </c>
      <c r="I110" s="44">
        <v>0</v>
      </c>
      <c r="K110" s="44">
        <v>14716421</v>
      </c>
      <c r="M110" s="44">
        <f t="shared" si="8"/>
        <v>1047418</v>
      </c>
      <c r="O110" s="44">
        <v>862199</v>
      </c>
      <c r="Q110" s="44">
        <v>1909617</v>
      </c>
      <c r="S110" s="44">
        <v>7005139</v>
      </c>
      <c r="U110" s="44">
        <f>12806804-7005139-2268521</f>
        <v>3533144</v>
      </c>
      <c r="W110" s="44">
        <v>2268521</v>
      </c>
      <c r="Y110" s="44">
        <f t="shared" si="9"/>
        <v>12806804</v>
      </c>
      <c r="AB110" s="44">
        <f>+K110-Q110-Y110</f>
        <v>0</v>
      </c>
    </row>
    <row r="111" spans="1:28" ht="12.75" customHeight="1">
      <c r="A111" s="44" t="s">
        <v>137</v>
      </c>
      <c r="C111" s="44" t="s">
        <v>22</v>
      </c>
      <c r="E111" s="143">
        <f t="shared" si="7"/>
        <v>32537032</v>
      </c>
      <c r="G111" s="44">
        <f>13775521+25095338</f>
        <v>38870859</v>
      </c>
      <c r="I111" s="44">
        <v>0</v>
      </c>
      <c r="K111" s="44">
        <v>71407891</v>
      </c>
      <c r="M111" s="44">
        <f t="shared" si="8"/>
        <v>9360287</v>
      </c>
      <c r="O111" s="44">
        <v>2185124</v>
      </c>
      <c r="Q111" s="44">
        <v>11545411</v>
      </c>
      <c r="S111" s="44">
        <v>34008833</v>
      </c>
      <c r="U111" s="44">
        <f>59862480-34008833-15267285</f>
        <v>10586362</v>
      </c>
      <c r="W111" s="44">
        <v>15267285</v>
      </c>
      <c r="Y111" s="44">
        <f t="shared" si="9"/>
        <v>59862480</v>
      </c>
      <c r="AB111" s="44">
        <f t="shared" si="11"/>
        <v>0</v>
      </c>
    </row>
    <row r="112" spans="1:28" ht="12.75" hidden="1" customHeight="1">
      <c r="A112" s="44" t="s">
        <v>491</v>
      </c>
      <c r="C112" s="44" t="s">
        <v>139</v>
      </c>
      <c r="E112" s="143">
        <f t="shared" si="7"/>
        <v>0</v>
      </c>
      <c r="G112" s="44">
        <v>0</v>
      </c>
      <c r="I112" s="44">
        <v>0</v>
      </c>
      <c r="K112" s="44">
        <v>0</v>
      </c>
      <c r="M112" s="44">
        <f t="shared" si="8"/>
        <v>0</v>
      </c>
      <c r="O112" s="44">
        <v>0</v>
      </c>
      <c r="Q112" s="44">
        <v>0</v>
      </c>
      <c r="S112" s="44">
        <v>0</v>
      </c>
      <c r="U112" s="44">
        <v>0</v>
      </c>
      <c r="W112" s="44">
        <v>0</v>
      </c>
      <c r="Y112" s="44">
        <f t="shared" si="9"/>
        <v>0</v>
      </c>
      <c r="AB112" s="44">
        <f t="shared" si="11"/>
        <v>0</v>
      </c>
    </row>
    <row r="113" spans="1:34" ht="12.75" customHeight="1">
      <c r="A113" s="44" t="s">
        <v>140</v>
      </c>
      <c r="C113" s="44" t="s">
        <v>66</v>
      </c>
      <c r="E113" s="143">
        <f t="shared" si="7"/>
        <v>92289048</v>
      </c>
      <c r="G113" s="44">
        <f>10897040+124273842</f>
        <v>135170882</v>
      </c>
      <c r="I113" s="44">
        <v>0</v>
      </c>
      <c r="K113" s="44">
        <v>227459930</v>
      </c>
      <c r="M113" s="44">
        <f t="shared" si="8"/>
        <v>22932675</v>
      </c>
      <c r="O113" s="44">
        <v>18191696</v>
      </c>
      <c r="Q113" s="44">
        <v>41124371</v>
      </c>
      <c r="S113" s="44">
        <v>124238000</v>
      </c>
      <c r="U113" s="44">
        <f>186335559-124238000-48507291</f>
        <v>13590268</v>
      </c>
      <c r="W113" s="44">
        <v>48507291</v>
      </c>
      <c r="Y113" s="44">
        <f t="shared" si="9"/>
        <v>186335559</v>
      </c>
      <c r="AB113" s="44">
        <f>+K113-Q113-Y113</f>
        <v>0</v>
      </c>
      <c r="AD113" s="44">
        <f>6+3+6+4+8+8</f>
        <v>35</v>
      </c>
      <c r="AE113" s="44">
        <f>2+2+9+1+1+9+6+2+6+7</f>
        <v>45</v>
      </c>
      <c r="AF113" s="44">
        <f>7+4+7+3+3+3</f>
        <v>27</v>
      </c>
      <c r="AG113" s="44">
        <f>715127+1691954+8422177+171133+12064953+1236513</f>
        <v>24301857</v>
      </c>
      <c r="AH113" s="44">
        <f>24301857+105196955+46312490</f>
        <v>175811302</v>
      </c>
    </row>
    <row r="114" spans="1:34" ht="12.75" customHeight="1">
      <c r="A114" s="44" t="s">
        <v>478</v>
      </c>
      <c r="C114" s="44" t="s">
        <v>92</v>
      </c>
      <c r="E114" s="143">
        <f t="shared" si="7"/>
        <v>4862017</v>
      </c>
      <c r="G114" s="44">
        <f>1364602+17030759</f>
        <v>18395361</v>
      </c>
      <c r="I114" s="44">
        <v>54246</v>
      </c>
      <c r="K114" s="44">
        <v>23311624</v>
      </c>
      <c r="M114" s="44">
        <f t="shared" si="8"/>
        <v>2370706</v>
      </c>
      <c r="O114" s="44">
        <v>4473615</v>
      </c>
      <c r="Q114" s="44">
        <v>6844321</v>
      </c>
      <c r="S114" s="44">
        <v>13851909</v>
      </c>
      <c r="U114" s="44">
        <f>16467303-13851909-882997</f>
        <v>1732397</v>
      </c>
      <c r="W114" s="44">
        <v>882997</v>
      </c>
      <c r="Y114" s="44">
        <f t="shared" si="9"/>
        <v>16467303</v>
      </c>
      <c r="AB114" s="44">
        <f t="shared" si="11"/>
        <v>0</v>
      </c>
    </row>
    <row r="115" spans="1:34" ht="12.75" customHeight="1">
      <c r="A115" s="44" t="s">
        <v>141</v>
      </c>
      <c r="C115" s="44" t="s">
        <v>27</v>
      </c>
      <c r="E115" s="143">
        <f t="shared" si="7"/>
        <v>41193299</v>
      </c>
      <c r="G115" s="44">
        <f>8937063+57385571</f>
        <v>66322634</v>
      </c>
      <c r="I115" s="44">
        <v>928285</v>
      </c>
      <c r="K115" s="44">
        <v>108444218</v>
      </c>
      <c r="M115" s="44">
        <f t="shared" si="8"/>
        <v>21003014</v>
      </c>
      <c r="O115" s="44">
        <v>40698981</v>
      </c>
      <c r="Q115" s="44">
        <v>61701995</v>
      </c>
      <c r="S115" s="44">
        <v>26641073</v>
      </c>
      <c r="U115" s="44">
        <f>46742223-26641073-12489477</f>
        <v>7611673</v>
      </c>
      <c r="W115" s="44">
        <v>12489477</v>
      </c>
      <c r="Y115" s="44">
        <f t="shared" si="9"/>
        <v>46742223</v>
      </c>
      <c r="AB115" s="44">
        <f t="shared" si="11"/>
        <v>0</v>
      </c>
    </row>
    <row r="116" spans="1:34" s="121" customFormat="1" ht="12.75" hidden="1" customHeight="1">
      <c r="A116" s="121" t="s">
        <v>142</v>
      </c>
      <c r="B116" s="122"/>
      <c r="C116" s="121" t="s">
        <v>102</v>
      </c>
      <c r="D116" s="122"/>
      <c r="E116" s="150">
        <f t="shared" si="7"/>
        <v>0</v>
      </c>
      <c r="G116" s="121">
        <v>0</v>
      </c>
      <c r="I116" s="121">
        <v>0</v>
      </c>
      <c r="K116" s="121">
        <v>0</v>
      </c>
      <c r="M116" s="121">
        <f t="shared" si="8"/>
        <v>0</v>
      </c>
      <c r="O116" s="121">
        <v>0</v>
      </c>
      <c r="Q116" s="121">
        <v>0</v>
      </c>
      <c r="S116" s="121">
        <v>0</v>
      </c>
      <c r="U116" s="121">
        <v>0</v>
      </c>
      <c r="W116" s="121">
        <v>0</v>
      </c>
      <c r="Y116" s="121">
        <f t="shared" si="9"/>
        <v>0</v>
      </c>
      <c r="AB116" s="121">
        <f t="shared" si="11"/>
        <v>0</v>
      </c>
      <c r="AC116" s="121" t="s">
        <v>503</v>
      </c>
    </row>
    <row r="117" spans="1:34" ht="12.75" customHeight="1">
      <c r="A117" s="44" t="s">
        <v>143</v>
      </c>
      <c r="C117" s="44" t="s">
        <v>111</v>
      </c>
      <c r="E117" s="143">
        <f t="shared" si="7"/>
        <v>27120152</v>
      </c>
      <c r="G117" s="44">
        <f>14487958+30946289</f>
        <v>45434247</v>
      </c>
      <c r="I117" s="44">
        <v>124124</v>
      </c>
      <c r="K117" s="44">
        <v>72678523</v>
      </c>
      <c r="M117" s="44">
        <f t="shared" si="8"/>
        <v>6333634</v>
      </c>
      <c r="O117" s="44">
        <v>6514502</v>
      </c>
      <c r="Q117" s="44">
        <v>12848136</v>
      </c>
      <c r="S117" s="44">
        <v>39380807</v>
      </c>
      <c r="U117" s="44">
        <f>59830387-39380807-7094257</f>
        <v>13355323</v>
      </c>
      <c r="W117" s="44">
        <v>7094257</v>
      </c>
      <c r="Y117" s="44">
        <f t="shared" si="9"/>
        <v>59830387</v>
      </c>
      <c r="AB117" s="44">
        <f t="shared" si="11"/>
        <v>0</v>
      </c>
    </row>
    <row r="118" spans="1:34" ht="12.75" customHeight="1">
      <c r="A118" s="44" t="s">
        <v>144</v>
      </c>
      <c r="C118" s="44" t="s">
        <v>88</v>
      </c>
      <c r="E118" s="143">
        <f t="shared" si="7"/>
        <v>38165225</v>
      </c>
      <c r="G118" s="44">
        <f>17175220+35503896</f>
        <v>52679116</v>
      </c>
      <c r="I118" s="44">
        <v>51802</v>
      </c>
      <c r="K118" s="44">
        <v>90896143</v>
      </c>
      <c r="M118" s="44">
        <f t="shared" si="8"/>
        <v>20752202</v>
      </c>
      <c r="O118" s="44">
        <v>4359055</v>
      </c>
      <c r="Q118" s="44">
        <v>25111257</v>
      </c>
      <c r="S118" s="44">
        <v>50005873</v>
      </c>
      <c r="U118" s="44">
        <f>1406929+761623+5975922</f>
        <v>8144474</v>
      </c>
      <c r="W118" s="44">
        <v>7634539</v>
      </c>
      <c r="Y118" s="44">
        <f t="shared" si="9"/>
        <v>65784886</v>
      </c>
      <c r="AB118" s="44">
        <f t="shared" si="11"/>
        <v>0</v>
      </c>
    </row>
    <row r="119" spans="1:34" ht="12.75" customHeight="1">
      <c r="A119" s="44" t="s">
        <v>36</v>
      </c>
      <c r="C119" s="44" t="s">
        <v>145</v>
      </c>
      <c r="E119" s="143">
        <f t="shared" si="7"/>
        <v>3853159</v>
      </c>
      <c r="G119" s="44">
        <f>982863+6191055</f>
        <v>7173918</v>
      </c>
      <c r="I119" s="44">
        <v>0</v>
      </c>
      <c r="K119" s="44">
        <v>11027077</v>
      </c>
      <c r="M119" s="44">
        <f t="shared" si="8"/>
        <v>876326</v>
      </c>
      <c r="O119" s="44">
        <v>598082</v>
      </c>
      <c r="Q119" s="44">
        <v>1474408</v>
      </c>
      <c r="S119" s="44">
        <v>6660395</v>
      </c>
      <c r="U119" s="44">
        <f>9552669-6660395-1432681</f>
        <v>1459593</v>
      </c>
      <c r="W119" s="44">
        <v>1432681</v>
      </c>
      <c r="Y119" s="44">
        <f t="shared" si="9"/>
        <v>9552669</v>
      </c>
      <c r="AB119" s="44">
        <f t="shared" si="11"/>
        <v>0</v>
      </c>
    </row>
    <row r="120" spans="1:34" ht="12.75" customHeight="1">
      <c r="Y120" s="48" t="s">
        <v>484</v>
      </c>
    </row>
    <row r="121" spans="1:34" ht="12.75" customHeight="1">
      <c r="A121" s="44" t="s">
        <v>146</v>
      </c>
      <c r="C121" s="44" t="s">
        <v>147</v>
      </c>
      <c r="E121" s="162">
        <f t="shared" si="7"/>
        <v>6930315</v>
      </c>
      <c r="F121" s="46"/>
      <c r="G121" s="46">
        <f>3691853+13724780</f>
        <v>17416633</v>
      </c>
      <c r="H121" s="46"/>
      <c r="I121" s="46">
        <v>0</v>
      </c>
      <c r="J121" s="46"/>
      <c r="K121" s="46">
        <v>24346948</v>
      </c>
      <c r="L121" s="46"/>
      <c r="M121" s="46">
        <f t="shared" si="8"/>
        <v>2436029</v>
      </c>
      <c r="N121" s="46"/>
      <c r="O121" s="46">
        <v>5061231</v>
      </c>
      <c r="P121" s="46"/>
      <c r="Q121" s="46">
        <v>7497260</v>
      </c>
      <c r="R121" s="46"/>
      <c r="S121" s="46">
        <v>13865141</v>
      </c>
      <c r="T121" s="46"/>
      <c r="U121" s="46">
        <f>16849688-13865141-862322</f>
        <v>2122225</v>
      </c>
      <c r="V121" s="46"/>
      <c r="W121" s="46">
        <v>862322</v>
      </c>
      <c r="X121" s="46"/>
      <c r="Y121" s="46">
        <f t="shared" si="9"/>
        <v>16849688</v>
      </c>
      <c r="AB121" s="44">
        <f t="shared" si="11"/>
        <v>0</v>
      </c>
    </row>
    <row r="122" spans="1:34" ht="12.75" customHeight="1">
      <c r="A122" s="44" t="s">
        <v>17</v>
      </c>
      <c r="C122" s="44" t="s">
        <v>17</v>
      </c>
      <c r="E122" s="143">
        <f t="shared" si="7"/>
        <v>45604203</v>
      </c>
      <c r="G122" s="44">
        <f>16548225+93459578</f>
        <v>110007803</v>
      </c>
      <c r="I122" s="44">
        <v>910979</v>
      </c>
      <c r="K122" s="44">
        <v>156522985</v>
      </c>
      <c r="M122" s="44">
        <f t="shared" si="8"/>
        <v>14331759</v>
      </c>
      <c r="O122" s="44">
        <v>50809507</v>
      </c>
      <c r="Q122" s="44">
        <v>65141266</v>
      </c>
      <c r="S122" s="44">
        <v>68630911</v>
      </c>
      <c r="U122" s="44">
        <f>1748331+1976270+17810159</f>
        <v>21534760</v>
      </c>
      <c r="W122" s="44">
        <v>1216048</v>
      </c>
      <c r="Y122" s="44">
        <f t="shared" si="9"/>
        <v>91381719</v>
      </c>
      <c r="AB122" s="44">
        <f t="shared" si="11"/>
        <v>0</v>
      </c>
    </row>
    <row r="123" spans="1:34" ht="12.75" customHeight="1">
      <c r="A123" s="44" t="s">
        <v>148</v>
      </c>
      <c r="C123" s="44" t="s">
        <v>15</v>
      </c>
      <c r="E123" s="143">
        <f t="shared" si="7"/>
        <v>3859669</v>
      </c>
      <c r="G123" s="44">
        <f>1943070+2549882</f>
        <v>4492952</v>
      </c>
      <c r="I123" s="44">
        <v>0</v>
      </c>
      <c r="K123" s="44">
        <v>8352621</v>
      </c>
      <c r="M123" s="44">
        <f t="shared" si="8"/>
        <v>785843</v>
      </c>
      <c r="O123" s="44">
        <v>346634</v>
      </c>
      <c r="Q123" s="44">
        <v>1132477</v>
      </c>
      <c r="S123" s="44">
        <v>4238952</v>
      </c>
      <c r="U123" s="44">
        <f>7220144-4238952-2065143</f>
        <v>916049</v>
      </c>
      <c r="W123" s="44">
        <v>2065143</v>
      </c>
      <c r="Y123" s="44">
        <f t="shared" si="9"/>
        <v>7220144</v>
      </c>
      <c r="AB123" s="44">
        <f t="shared" si="11"/>
        <v>0</v>
      </c>
    </row>
    <row r="124" spans="1:34" ht="12.75" customHeight="1">
      <c r="A124" s="44" t="s">
        <v>149</v>
      </c>
      <c r="C124" s="44" t="s">
        <v>45</v>
      </c>
      <c r="E124" s="143">
        <f t="shared" si="7"/>
        <v>10078566</v>
      </c>
      <c r="G124" s="44">
        <f>3842681+17612921</f>
        <v>21455602</v>
      </c>
      <c r="I124" s="44">
        <v>0</v>
      </c>
      <c r="K124" s="44">
        <v>31534168</v>
      </c>
      <c r="M124" s="44">
        <f t="shared" si="8"/>
        <v>6139959</v>
      </c>
      <c r="O124" s="44">
        <v>5845888</v>
      </c>
      <c r="Q124" s="44">
        <v>11985847</v>
      </c>
      <c r="S124" s="44">
        <v>13337321</v>
      </c>
      <c r="U124" s="44">
        <f>2962346+24815+1096573</f>
        <v>4083734</v>
      </c>
      <c r="W124" s="44">
        <v>2127266</v>
      </c>
      <c r="Y124" s="44">
        <f t="shared" si="9"/>
        <v>19548321</v>
      </c>
      <c r="AB124" s="44">
        <f t="shared" si="11"/>
        <v>0</v>
      </c>
    </row>
    <row r="125" spans="1:34" ht="12.75" customHeight="1">
      <c r="A125" s="44" t="s">
        <v>150</v>
      </c>
      <c r="C125" s="44" t="s">
        <v>27</v>
      </c>
      <c r="E125" s="143">
        <f t="shared" si="7"/>
        <v>27186178</v>
      </c>
      <c r="G125" s="44">
        <f>1111578+71572444</f>
        <v>72684022</v>
      </c>
      <c r="I125" s="44">
        <v>0</v>
      </c>
      <c r="K125" s="44">
        <v>99870200</v>
      </c>
      <c r="M125" s="44">
        <f t="shared" si="8"/>
        <v>7262971</v>
      </c>
      <c r="O125" s="44">
        <v>2459560</v>
      </c>
      <c r="Q125" s="44">
        <v>9722531</v>
      </c>
      <c r="S125" s="44">
        <v>69353928</v>
      </c>
      <c r="U125" s="44">
        <f>7573322+1993392+3931346</f>
        <v>13498060</v>
      </c>
      <c r="W125" s="44">
        <v>7295681</v>
      </c>
      <c r="Y125" s="44">
        <f t="shared" si="9"/>
        <v>90147669</v>
      </c>
      <c r="AB125" s="44">
        <f t="shared" si="11"/>
        <v>0</v>
      </c>
    </row>
    <row r="126" spans="1:34" ht="12.75" customHeight="1">
      <c r="A126" s="44" t="s">
        <v>151</v>
      </c>
      <c r="C126" s="44" t="s">
        <v>13</v>
      </c>
      <c r="E126" s="143">
        <f t="shared" si="7"/>
        <v>10709786</v>
      </c>
      <c r="G126" s="44">
        <f>7466013+37924510</f>
        <v>45390523</v>
      </c>
      <c r="I126" s="44">
        <v>132951</v>
      </c>
      <c r="K126" s="44">
        <v>56233260</v>
      </c>
      <c r="M126" s="44">
        <f t="shared" si="8"/>
        <v>4117117</v>
      </c>
      <c r="O126" s="44">
        <v>12711424</v>
      </c>
      <c r="Q126" s="44">
        <v>16828541</v>
      </c>
      <c r="S126" s="44">
        <v>31976646</v>
      </c>
      <c r="U126" s="44">
        <f>39404719-31976646-3689231</f>
        <v>3738842</v>
      </c>
      <c r="W126" s="44">
        <v>3689231</v>
      </c>
      <c r="Y126" s="44">
        <f t="shared" si="9"/>
        <v>39404719</v>
      </c>
      <c r="AB126" s="44">
        <f t="shared" si="11"/>
        <v>0</v>
      </c>
    </row>
    <row r="127" spans="1:34" ht="12.75" customHeight="1">
      <c r="A127" s="44" t="s">
        <v>481</v>
      </c>
      <c r="C127" s="44" t="s">
        <v>45</v>
      </c>
      <c r="E127" s="143">
        <f t="shared" si="7"/>
        <v>6272226</v>
      </c>
      <c r="G127" s="44">
        <f>645000+8228721</f>
        <v>8873721</v>
      </c>
      <c r="I127" s="44">
        <v>0</v>
      </c>
      <c r="K127" s="44">
        <v>15145947</v>
      </c>
      <c r="M127" s="44">
        <f t="shared" si="8"/>
        <v>4508160</v>
      </c>
      <c r="O127" s="44">
        <v>37194</v>
      </c>
      <c r="Q127" s="44">
        <v>4545354</v>
      </c>
      <c r="S127" s="44">
        <v>7388721</v>
      </c>
      <c r="U127" s="44">
        <v>233775</v>
      </c>
      <c r="W127" s="44">
        <v>2978097</v>
      </c>
      <c r="Y127" s="44">
        <f t="shared" si="9"/>
        <v>10600593</v>
      </c>
      <c r="AB127" s="44">
        <f t="shared" si="11"/>
        <v>0</v>
      </c>
    </row>
    <row r="128" spans="1:34" ht="12.75" customHeight="1">
      <c r="A128" s="44" t="s">
        <v>152</v>
      </c>
      <c r="C128" s="44" t="s">
        <v>153</v>
      </c>
      <c r="E128" s="143">
        <f t="shared" si="7"/>
        <v>26740796</v>
      </c>
      <c r="G128" s="44">
        <v>55044425</v>
      </c>
      <c r="I128" s="44">
        <v>0</v>
      </c>
      <c r="K128" s="44">
        <v>81785221</v>
      </c>
      <c r="M128" s="44">
        <f t="shared" si="8"/>
        <v>6906096</v>
      </c>
      <c r="O128" s="44">
        <v>9628119</v>
      </c>
      <c r="Q128" s="44">
        <v>16534215</v>
      </c>
      <c r="S128" s="44">
        <v>49379425</v>
      </c>
      <c r="U128" s="44">
        <f>65251006-49379425+1923290</f>
        <v>17794871</v>
      </c>
      <c r="W128" s="44">
        <v>-1923290</v>
      </c>
      <c r="Y128" s="44">
        <f t="shared" si="9"/>
        <v>65251006</v>
      </c>
      <c r="AB128" s="44">
        <f t="shared" si="11"/>
        <v>0</v>
      </c>
    </row>
    <row r="129" spans="1:29" ht="12.75" customHeight="1">
      <c r="A129" s="44" t="s">
        <v>154</v>
      </c>
      <c r="C129" s="44" t="s">
        <v>27</v>
      </c>
      <c r="E129" s="143">
        <f t="shared" si="7"/>
        <v>14994674</v>
      </c>
      <c r="G129" s="44">
        <f>1770083+50035514</f>
        <v>51805597</v>
      </c>
      <c r="I129" s="44">
        <v>258123</v>
      </c>
      <c r="K129" s="44">
        <v>67058394</v>
      </c>
      <c r="M129" s="44">
        <f t="shared" si="8"/>
        <v>9838975</v>
      </c>
      <c r="O129" s="44">
        <v>19976941</v>
      </c>
      <c r="Q129" s="44">
        <v>29815916</v>
      </c>
      <c r="S129" s="44">
        <v>33379276</v>
      </c>
      <c r="U129" s="44">
        <f>37242478-33379276+1631290</f>
        <v>5494492</v>
      </c>
      <c r="W129" s="44">
        <v>-1631290</v>
      </c>
      <c r="Y129" s="44">
        <f t="shared" si="9"/>
        <v>37242478</v>
      </c>
      <c r="AB129" s="44">
        <f t="shared" si="11"/>
        <v>0</v>
      </c>
    </row>
    <row r="130" spans="1:29" ht="12.75" customHeight="1">
      <c r="A130" s="44" t="s">
        <v>155</v>
      </c>
      <c r="C130" s="44" t="s">
        <v>40</v>
      </c>
      <c r="E130" s="143">
        <f t="shared" si="7"/>
        <v>10084160</v>
      </c>
      <c r="G130" s="44">
        <f>6171590+15829478</f>
        <v>22001068</v>
      </c>
      <c r="I130" s="44">
        <v>0</v>
      </c>
      <c r="K130" s="44">
        <v>32085228</v>
      </c>
      <c r="M130" s="44">
        <f t="shared" si="8"/>
        <v>2686123</v>
      </c>
      <c r="O130" s="44">
        <v>1763272</v>
      </c>
      <c r="Q130" s="44">
        <v>4449395</v>
      </c>
      <c r="S130" s="44">
        <v>20584002</v>
      </c>
      <c r="U130" s="44">
        <f>27635833-20584002-1364445</f>
        <v>5687386</v>
      </c>
      <c r="W130" s="44">
        <v>1364445</v>
      </c>
      <c r="Y130" s="44">
        <f t="shared" si="9"/>
        <v>27635833</v>
      </c>
      <c r="AB130" s="44">
        <f t="shared" si="11"/>
        <v>0</v>
      </c>
    </row>
    <row r="131" spans="1:29" s="121" customFormat="1" ht="12.75" hidden="1" customHeight="1">
      <c r="A131" s="121" t="s">
        <v>156</v>
      </c>
      <c r="B131" s="122"/>
      <c r="C131" s="121" t="s">
        <v>156</v>
      </c>
      <c r="D131" s="122"/>
      <c r="E131" s="150">
        <f t="shared" si="7"/>
        <v>0</v>
      </c>
      <c r="G131" s="121">
        <v>0</v>
      </c>
      <c r="I131" s="121">
        <v>0</v>
      </c>
      <c r="K131" s="121">
        <v>0</v>
      </c>
      <c r="M131" s="121">
        <f t="shared" si="8"/>
        <v>0</v>
      </c>
      <c r="O131" s="121">
        <v>0</v>
      </c>
      <c r="Q131" s="121">
        <v>0</v>
      </c>
      <c r="S131" s="121">
        <v>0</v>
      </c>
      <c r="U131" s="121">
        <v>0</v>
      </c>
      <c r="W131" s="121">
        <v>0</v>
      </c>
      <c r="Y131" s="121">
        <f t="shared" si="9"/>
        <v>0</v>
      </c>
      <c r="Z131" s="123"/>
      <c r="AA131" s="123"/>
      <c r="AB131" s="123">
        <f t="shared" si="11"/>
        <v>0</v>
      </c>
      <c r="AC131" s="121" t="s">
        <v>504</v>
      </c>
    </row>
    <row r="132" spans="1:29" ht="12.75" customHeight="1">
      <c r="A132" s="44" t="s">
        <v>157</v>
      </c>
      <c r="C132" s="44" t="s">
        <v>33</v>
      </c>
      <c r="E132" s="44">
        <f>+K132-G132-I132</f>
        <v>4565497</v>
      </c>
      <c r="G132" s="44">
        <f>968795+2162297</f>
        <v>3131092</v>
      </c>
      <c r="I132" s="44">
        <v>0</v>
      </c>
      <c r="K132" s="44">
        <v>7696589</v>
      </c>
      <c r="M132" s="44">
        <f t="shared" ref="M132" si="12">+Q132-O132</f>
        <v>687758</v>
      </c>
      <c r="O132" s="44">
        <v>363971</v>
      </c>
      <c r="Q132" s="44">
        <v>1051729</v>
      </c>
      <c r="S132" s="44">
        <v>2861080</v>
      </c>
      <c r="U132" s="44">
        <f>1177529+1686505</f>
        <v>2864034</v>
      </c>
      <c r="W132" s="44">
        <v>919746</v>
      </c>
      <c r="Y132" s="44">
        <f>S132+U132+W132</f>
        <v>6644860</v>
      </c>
      <c r="AB132" s="44">
        <f t="shared" si="11"/>
        <v>0</v>
      </c>
    </row>
    <row r="133" spans="1:29" ht="12.75" customHeight="1">
      <c r="A133" s="44" t="s">
        <v>158</v>
      </c>
      <c r="C133" s="44" t="s">
        <v>159</v>
      </c>
      <c r="E133" s="143">
        <f t="shared" ref="E133:E194" si="13">+K133-G133-I133</f>
        <v>16101729</v>
      </c>
      <c r="G133" s="44">
        <f>4708978+36715441</f>
        <v>41424419</v>
      </c>
      <c r="I133" s="44">
        <v>0</v>
      </c>
      <c r="K133" s="44">
        <v>57526148</v>
      </c>
      <c r="M133" s="44">
        <f t="shared" ref="M133:M194" si="14">+Q133-O133</f>
        <v>17697767</v>
      </c>
      <c r="O133" s="44">
        <v>6495551</v>
      </c>
      <c r="Q133" s="44">
        <v>24193318</v>
      </c>
      <c r="S133" s="44">
        <v>21674744</v>
      </c>
      <c r="U133" s="44">
        <f>485782+3624664</f>
        <v>4110446</v>
      </c>
      <c r="W133" s="44">
        <v>7547640</v>
      </c>
      <c r="Y133" s="44">
        <f t="shared" ref="Y133:Y194" si="15">S133+U133+W133</f>
        <v>33332830</v>
      </c>
      <c r="AB133" s="44">
        <f t="shared" si="11"/>
        <v>0</v>
      </c>
    </row>
    <row r="134" spans="1:29" s="46" customFormat="1" ht="12.75" customHeight="1">
      <c r="A134" s="46" t="s">
        <v>160</v>
      </c>
      <c r="C134" s="46" t="s">
        <v>111</v>
      </c>
      <c r="E134" s="143">
        <f t="shared" si="13"/>
        <v>56804872</v>
      </c>
      <c r="F134" s="44"/>
      <c r="G134" s="44">
        <f>65974755+101793151</f>
        <v>167767906</v>
      </c>
      <c r="H134" s="44"/>
      <c r="I134" s="44">
        <v>480549</v>
      </c>
      <c r="J134" s="44"/>
      <c r="K134" s="44">
        <v>225053327</v>
      </c>
      <c r="L134" s="44"/>
      <c r="M134" s="44">
        <f t="shared" si="14"/>
        <v>18762575</v>
      </c>
      <c r="N134" s="44"/>
      <c r="O134" s="44">
        <v>39416512</v>
      </c>
      <c r="P134" s="44"/>
      <c r="Q134" s="44">
        <v>58179087</v>
      </c>
      <c r="R134" s="44"/>
      <c r="S134" s="44">
        <v>120098234</v>
      </c>
      <c r="T134" s="44"/>
      <c r="U134" s="44">
        <f>166874240-120098234-30299087</f>
        <v>16476919</v>
      </c>
      <c r="V134" s="44"/>
      <c r="W134" s="44">
        <v>30299087</v>
      </c>
      <c r="X134" s="44"/>
      <c r="Y134" s="44">
        <f t="shared" si="15"/>
        <v>166874240</v>
      </c>
      <c r="Z134" s="44"/>
      <c r="AA134" s="44"/>
      <c r="AB134" s="44">
        <f t="shared" si="11"/>
        <v>0</v>
      </c>
    </row>
    <row r="135" spans="1:29" ht="12.75" customHeight="1">
      <c r="A135" s="44" t="s">
        <v>161</v>
      </c>
      <c r="C135" s="44" t="s">
        <v>15</v>
      </c>
      <c r="E135" s="143">
        <f t="shared" si="13"/>
        <v>15118231</v>
      </c>
      <c r="G135" s="44">
        <f>8065698+27775633</f>
        <v>35841331</v>
      </c>
      <c r="I135" s="44">
        <v>0</v>
      </c>
      <c r="K135" s="44">
        <v>50959562</v>
      </c>
      <c r="M135" s="44">
        <f t="shared" si="14"/>
        <v>5764864</v>
      </c>
      <c r="O135" s="44">
        <v>23292503</v>
      </c>
      <c r="Q135" s="44">
        <v>29057367</v>
      </c>
      <c r="S135" s="44">
        <v>18286420</v>
      </c>
      <c r="U135" s="44">
        <f>21902195-18286420+2609690</f>
        <v>6225465</v>
      </c>
      <c r="W135" s="44">
        <v>-2609690</v>
      </c>
      <c r="Y135" s="44">
        <f t="shared" si="15"/>
        <v>21902195</v>
      </c>
      <c r="AB135" s="44">
        <f t="shared" si="11"/>
        <v>0</v>
      </c>
    </row>
    <row r="136" spans="1:29" ht="12.75" customHeight="1">
      <c r="A136" s="44" t="s">
        <v>162</v>
      </c>
      <c r="C136" s="44" t="s">
        <v>163</v>
      </c>
      <c r="E136" s="143">
        <f t="shared" si="13"/>
        <v>39337766</v>
      </c>
      <c r="G136" s="44">
        <f>10742435+61635197</f>
        <v>72377632</v>
      </c>
      <c r="I136" s="44">
        <v>0</v>
      </c>
      <c r="K136" s="44">
        <v>111715398</v>
      </c>
      <c r="M136" s="44">
        <f t="shared" si="14"/>
        <v>6204001</v>
      </c>
      <c r="O136" s="44">
        <v>22186822</v>
      </c>
      <c r="Q136" s="44">
        <v>28390823</v>
      </c>
      <c r="S136" s="44">
        <v>55026979</v>
      </c>
      <c r="U136" s="44">
        <f>83324575-55026979-22412066</f>
        <v>5885530</v>
      </c>
      <c r="W136" s="44">
        <v>22412066</v>
      </c>
      <c r="Y136" s="44">
        <f t="shared" si="15"/>
        <v>83324575</v>
      </c>
      <c r="AB136" s="44">
        <f t="shared" si="11"/>
        <v>0</v>
      </c>
    </row>
    <row r="137" spans="1:29" ht="12.75" customHeight="1">
      <c r="A137" s="44" t="s">
        <v>164</v>
      </c>
      <c r="C137" s="44" t="s">
        <v>27</v>
      </c>
      <c r="E137" s="143">
        <f t="shared" si="13"/>
        <v>26200440</v>
      </c>
      <c r="G137" s="44">
        <f>9451176+25305989</f>
        <v>34757165</v>
      </c>
      <c r="I137" s="44">
        <v>0</v>
      </c>
      <c r="K137" s="44">
        <v>60957605</v>
      </c>
      <c r="M137" s="44">
        <f t="shared" si="14"/>
        <v>7155552</v>
      </c>
      <c r="O137" s="44">
        <v>7124321</v>
      </c>
      <c r="Q137" s="44">
        <v>14279873</v>
      </c>
      <c r="S137" s="44">
        <v>30098679</v>
      </c>
      <c r="U137" s="44">
        <f>218419+766125</f>
        <v>984544</v>
      </c>
      <c r="W137" s="44">
        <v>15594509</v>
      </c>
      <c r="Y137" s="44">
        <f t="shared" si="15"/>
        <v>46677732</v>
      </c>
      <c r="AB137" s="44">
        <f t="shared" si="11"/>
        <v>0</v>
      </c>
    </row>
    <row r="138" spans="1:29" ht="12.75" customHeight="1">
      <c r="A138" s="44" t="s">
        <v>53</v>
      </c>
      <c r="C138" s="44" t="s">
        <v>53</v>
      </c>
      <c r="E138" s="143">
        <f t="shared" si="13"/>
        <v>55767419</v>
      </c>
      <c r="G138" s="44">
        <f>3008076+41406712</f>
        <v>44414788</v>
      </c>
      <c r="I138" s="44">
        <v>145000</v>
      </c>
      <c r="K138" s="44">
        <v>100327207</v>
      </c>
      <c r="M138" s="44">
        <f t="shared" si="14"/>
        <v>4419333</v>
      </c>
      <c r="O138" s="44">
        <v>15181931</v>
      </c>
      <c r="Q138" s="44">
        <v>19601264</v>
      </c>
      <c r="S138" s="44">
        <v>43626974</v>
      </c>
      <c r="U138" s="44">
        <f>80725943-43626974-16234682</f>
        <v>20864287</v>
      </c>
      <c r="W138" s="44">
        <v>16234682</v>
      </c>
      <c r="Y138" s="44">
        <f t="shared" si="15"/>
        <v>80725943</v>
      </c>
      <c r="AB138" s="44">
        <f t="shared" si="11"/>
        <v>0</v>
      </c>
    </row>
    <row r="139" spans="1:29" ht="12.75" customHeight="1">
      <c r="A139" s="44" t="s">
        <v>165</v>
      </c>
      <c r="C139" s="44" t="s">
        <v>92</v>
      </c>
      <c r="E139" s="143">
        <f t="shared" si="13"/>
        <v>59721463</v>
      </c>
      <c r="G139" s="44">
        <f>64208490+109575426</f>
        <v>173783916</v>
      </c>
      <c r="I139" s="44">
        <v>196241</v>
      </c>
      <c r="K139" s="44">
        <v>233701620</v>
      </c>
      <c r="M139" s="44">
        <f t="shared" si="14"/>
        <v>16418953</v>
      </c>
      <c r="O139" s="44">
        <v>29973810</v>
      </c>
      <c r="Q139" s="44">
        <v>46392763</v>
      </c>
      <c r="S139" s="44">
        <v>140546570</v>
      </c>
      <c r="U139" s="44">
        <f>19193569+896332+4891288</f>
        <v>24981189</v>
      </c>
      <c r="W139" s="44">
        <v>21781098</v>
      </c>
      <c r="Y139" s="44">
        <f t="shared" si="15"/>
        <v>187308857</v>
      </c>
      <c r="AB139" s="44">
        <f t="shared" si="11"/>
        <v>0</v>
      </c>
    </row>
    <row r="140" spans="1:29" ht="12.75" customHeight="1">
      <c r="A140" s="44" t="s">
        <v>166</v>
      </c>
      <c r="C140" s="44" t="s">
        <v>92</v>
      </c>
      <c r="E140" s="143">
        <f t="shared" si="13"/>
        <v>5336450</v>
      </c>
      <c r="G140" s="44">
        <f>4504475+2600750</f>
        <v>7105225</v>
      </c>
      <c r="I140" s="44">
        <v>0</v>
      </c>
      <c r="K140" s="44">
        <v>12441675</v>
      </c>
      <c r="M140" s="44">
        <f t="shared" si="14"/>
        <v>4250788</v>
      </c>
      <c r="O140" s="44">
        <v>1761962</v>
      </c>
      <c r="Q140" s="44">
        <v>6012750</v>
      </c>
      <c r="S140" s="44">
        <v>3347956</v>
      </c>
      <c r="U140" s="44">
        <f>6428925-3347956-395460</f>
        <v>2685509</v>
      </c>
      <c r="W140" s="44">
        <v>395460</v>
      </c>
      <c r="Y140" s="44">
        <f t="shared" si="15"/>
        <v>6428925</v>
      </c>
      <c r="AB140" s="44">
        <f t="shared" si="11"/>
        <v>0</v>
      </c>
    </row>
    <row r="141" spans="1:29" ht="12.75" customHeight="1">
      <c r="A141" s="44" t="s">
        <v>167</v>
      </c>
      <c r="C141" s="44" t="s">
        <v>66</v>
      </c>
      <c r="E141" s="143">
        <f t="shared" si="13"/>
        <v>21062141</v>
      </c>
      <c r="G141" s="44">
        <f>16020686+22748436</f>
        <v>38769122</v>
      </c>
      <c r="I141" s="44">
        <v>226596</v>
      </c>
      <c r="K141" s="44">
        <v>60057859</v>
      </c>
      <c r="M141" s="44">
        <f t="shared" si="14"/>
        <v>5796863</v>
      </c>
      <c r="O141" s="44">
        <v>7402628</v>
      </c>
      <c r="Q141" s="44">
        <v>13199491</v>
      </c>
      <c r="S141" s="44">
        <v>31803534</v>
      </c>
      <c r="U141" s="44">
        <f>46858368-31803534-5215060</f>
        <v>9839774</v>
      </c>
      <c r="W141" s="44">
        <v>5215060</v>
      </c>
      <c r="Y141" s="44">
        <f t="shared" si="15"/>
        <v>46858368</v>
      </c>
      <c r="AB141" s="44">
        <f t="shared" si="11"/>
        <v>0</v>
      </c>
    </row>
    <row r="142" spans="1:29" ht="12.75" customHeight="1">
      <c r="A142" s="44" t="s">
        <v>168</v>
      </c>
      <c r="C142" s="44" t="s">
        <v>27</v>
      </c>
      <c r="E142" s="143">
        <f t="shared" si="13"/>
        <v>16590459</v>
      </c>
      <c r="G142" s="44">
        <f>12346060+44611366</f>
        <v>56957426</v>
      </c>
      <c r="I142" s="44">
        <v>166960</v>
      </c>
      <c r="K142" s="44">
        <v>73714845</v>
      </c>
      <c r="M142" s="44">
        <f t="shared" si="14"/>
        <v>7915981</v>
      </c>
      <c r="O142" s="44">
        <v>10706300</v>
      </c>
      <c r="Q142" s="44">
        <v>18622281</v>
      </c>
      <c r="S142" s="44">
        <v>45336826</v>
      </c>
      <c r="U142" s="44">
        <f>1105143+2824066+482196</f>
        <v>4411405</v>
      </c>
      <c r="W142" s="44">
        <v>5344333</v>
      </c>
      <c r="Y142" s="44">
        <f t="shared" si="15"/>
        <v>55092564</v>
      </c>
      <c r="AB142" s="44">
        <f t="shared" si="11"/>
        <v>0</v>
      </c>
    </row>
    <row r="143" spans="1:29" ht="12.75" customHeight="1">
      <c r="A143" s="44" t="s">
        <v>169</v>
      </c>
      <c r="C143" s="44" t="s">
        <v>103</v>
      </c>
      <c r="E143" s="143">
        <f t="shared" si="13"/>
        <v>63524089</v>
      </c>
      <c r="G143" s="44">
        <f>14470239+75151480</f>
        <v>89621719</v>
      </c>
      <c r="I143" s="44">
        <v>970693</v>
      </c>
      <c r="K143" s="44">
        <v>154116501</v>
      </c>
      <c r="M143" s="44">
        <f t="shared" si="14"/>
        <v>14856441</v>
      </c>
      <c r="O143" s="44">
        <v>36893049</v>
      </c>
      <c r="Q143" s="44">
        <v>51749490</v>
      </c>
      <c r="S143" s="44">
        <v>54525931</v>
      </c>
      <c r="U143" s="44">
        <f>102367011-54525931-12164698</f>
        <v>35676382</v>
      </c>
      <c r="W143" s="44">
        <v>12164698</v>
      </c>
      <c r="Y143" s="44">
        <f t="shared" si="15"/>
        <v>102367011</v>
      </c>
      <c r="AB143" s="44">
        <f t="shared" si="11"/>
        <v>0</v>
      </c>
    </row>
    <row r="144" spans="1:29" ht="12.75" customHeight="1">
      <c r="A144" s="44" t="s">
        <v>170</v>
      </c>
      <c r="C144" s="44" t="s">
        <v>171</v>
      </c>
      <c r="E144" s="143">
        <f t="shared" si="13"/>
        <v>13006631</v>
      </c>
      <c r="G144" s="44">
        <f>4013720+1322399+2161619-3566928</f>
        <v>3930810</v>
      </c>
      <c r="I144" s="44">
        <v>105711</v>
      </c>
      <c r="K144" s="44">
        <v>17043152</v>
      </c>
      <c r="M144" s="44">
        <f t="shared" si="14"/>
        <v>3568179</v>
      </c>
      <c r="O144" s="44">
        <v>2761335</v>
      </c>
      <c r="Q144" s="44">
        <v>6329514</v>
      </c>
      <c r="S144" s="44">
        <v>2895719</v>
      </c>
      <c r="U144" s="44">
        <f>10713638-2895719-3715340</f>
        <v>4102579</v>
      </c>
      <c r="W144" s="44">
        <v>3715340</v>
      </c>
      <c r="Y144" s="44">
        <f t="shared" si="15"/>
        <v>10713638</v>
      </c>
      <c r="AB144" s="44">
        <f t="shared" si="11"/>
        <v>0</v>
      </c>
    </row>
    <row r="145" spans="1:28" ht="12.75" customHeight="1">
      <c r="A145" s="44" t="s">
        <v>172</v>
      </c>
      <c r="C145" s="44" t="s">
        <v>103</v>
      </c>
      <c r="E145" s="143">
        <f t="shared" si="13"/>
        <v>34067381</v>
      </c>
      <c r="G145" s="44">
        <f>2205896+54831912</f>
        <v>57037808</v>
      </c>
      <c r="I145" s="44">
        <v>252792</v>
      </c>
      <c r="K145" s="44">
        <v>91357981</v>
      </c>
      <c r="M145" s="44">
        <f t="shared" si="14"/>
        <v>6268127</v>
      </c>
      <c r="O145" s="44">
        <v>13674580</v>
      </c>
      <c r="Q145" s="44">
        <v>19942707</v>
      </c>
      <c r="S145" s="44">
        <v>36503557</v>
      </c>
      <c r="U145" s="44">
        <f>71415274-36503557-31580153</f>
        <v>3331564</v>
      </c>
      <c r="W145" s="44">
        <v>31580153</v>
      </c>
      <c r="Y145" s="44">
        <f t="shared" si="15"/>
        <v>71415274</v>
      </c>
      <c r="AB145" s="44">
        <f t="shared" si="11"/>
        <v>0</v>
      </c>
    </row>
    <row r="146" spans="1:28" ht="12.75" customHeight="1">
      <c r="A146" s="44" t="s">
        <v>66</v>
      </c>
      <c r="C146" s="44" t="s">
        <v>45</v>
      </c>
      <c r="E146" s="143">
        <f t="shared" si="13"/>
        <v>62607641</v>
      </c>
      <c r="G146" s="44">
        <v>15285724</v>
      </c>
      <c r="I146" s="44">
        <v>0</v>
      </c>
      <c r="K146" s="44">
        <v>77893365</v>
      </c>
      <c r="M146" s="44">
        <f t="shared" si="14"/>
        <v>7004728</v>
      </c>
      <c r="O146" s="44">
        <v>3695571</v>
      </c>
      <c r="Q146" s="44">
        <v>10700299</v>
      </c>
      <c r="S146" s="44">
        <v>34953112</v>
      </c>
      <c r="U146" s="44">
        <f>67193066-34953112-14809621</f>
        <v>17430333</v>
      </c>
      <c r="W146" s="44">
        <v>14809621</v>
      </c>
      <c r="Y146" s="44">
        <f t="shared" si="15"/>
        <v>67193066</v>
      </c>
      <c r="AB146" s="44">
        <f t="shared" si="11"/>
        <v>0</v>
      </c>
    </row>
    <row r="147" spans="1:28" ht="12.75" customHeight="1">
      <c r="A147" s="44" t="s">
        <v>173</v>
      </c>
      <c r="C147" s="44" t="s">
        <v>66</v>
      </c>
      <c r="E147" s="143">
        <f t="shared" si="13"/>
        <v>20573950</v>
      </c>
      <c r="G147" s="44">
        <f>15429259+20344490</f>
        <v>35773749</v>
      </c>
      <c r="I147" s="44">
        <v>175020</v>
      </c>
      <c r="K147" s="44">
        <v>56522719</v>
      </c>
      <c r="M147" s="44">
        <f t="shared" si="14"/>
        <v>3087412</v>
      </c>
      <c r="O147" s="44">
        <v>9034112</v>
      </c>
      <c r="Q147" s="44">
        <v>12121524</v>
      </c>
      <c r="S147" s="44">
        <v>28862606</v>
      </c>
      <c r="U147" s="44">
        <f>44401195-28862606-9099618</f>
        <v>6438971</v>
      </c>
      <c r="W147" s="44">
        <v>9099618</v>
      </c>
      <c r="Y147" s="44">
        <f t="shared" si="15"/>
        <v>44401195</v>
      </c>
      <c r="AB147" s="44">
        <f t="shared" ref="AB147:AB213" si="16">+K147-Q147-Y147</f>
        <v>0</v>
      </c>
    </row>
    <row r="148" spans="1:28" ht="12.75" customHeight="1">
      <c r="A148" s="44" t="s">
        <v>174</v>
      </c>
      <c r="C148" s="44" t="s">
        <v>45</v>
      </c>
      <c r="E148" s="143">
        <f t="shared" si="13"/>
        <v>5283338</v>
      </c>
      <c r="G148" s="44">
        <f>385427+353074</f>
        <v>738501</v>
      </c>
      <c r="I148" s="44">
        <v>0</v>
      </c>
      <c r="K148" s="44">
        <v>6021839</v>
      </c>
      <c r="M148" s="44">
        <f t="shared" si="14"/>
        <v>1355852</v>
      </c>
      <c r="O148" s="44">
        <v>1867268</v>
      </c>
      <c r="Q148" s="44">
        <v>3223120</v>
      </c>
      <c r="S148" s="44">
        <v>1592706</v>
      </c>
      <c r="U148" s="44">
        <f>489036+108563+90944+1526</f>
        <v>690069</v>
      </c>
      <c r="W148" s="44">
        <v>515944</v>
      </c>
      <c r="Y148" s="44">
        <f t="shared" si="15"/>
        <v>2798719</v>
      </c>
      <c r="AB148" s="44">
        <f t="shared" si="16"/>
        <v>0</v>
      </c>
    </row>
    <row r="149" spans="1:28" ht="12.75" customHeight="1">
      <c r="A149" s="44" t="s">
        <v>175</v>
      </c>
      <c r="C149" s="44" t="s">
        <v>176</v>
      </c>
      <c r="E149" s="143">
        <f t="shared" si="13"/>
        <v>15608466</v>
      </c>
      <c r="G149" s="44">
        <f>11876388+34042027</f>
        <v>45918415</v>
      </c>
      <c r="I149" s="44">
        <v>61750</v>
      </c>
      <c r="K149" s="44">
        <v>61588631</v>
      </c>
      <c r="M149" s="44">
        <f t="shared" si="14"/>
        <v>4044266</v>
      </c>
      <c r="O149" s="44">
        <v>8029257</v>
      </c>
      <c r="Q149" s="44">
        <v>12073523</v>
      </c>
      <c r="S149" s="44">
        <v>38627947</v>
      </c>
      <c r="U149" s="44">
        <f>49515108-38627947-4489751</f>
        <v>6397410</v>
      </c>
      <c r="W149" s="44">
        <v>4489751</v>
      </c>
      <c r="Y149" s="44">
        <f t="shared" si="15"/>
        <v>49515108</v>
      </c>
      <c r="AB149" s="44">
        <f t="shared" si="16"/>
        <v>0</v>
      </c>
    </row>
    <row r="150" spans="1:28" ht="12.75" customHeight="1">
      <c r="A150" s="44" t="s">
        <v>177</v>
      </c>
      <c r="C150" s="44" t="s">
        <v>13</v>
      </c>
      <c r="E150" s="143">
        <f t="shared" si="13"/>
        <v>4734774</v>
      </c>
      <c r="G150" s="44">
        <f>1653686+4981820</f>
        <v>6635506</v>
      </c>
      <c r="I150" s="44">
        <v>0</v>
      </c>
      <c r="K150" s="44">
        <v>11370280</v>
      </c>
      <c r="M150" s="44">
        <f t="shared" si="14"/>
        <v>1245249</v>
      </c>
      <c r="O150" s="44">
        <v>886061</v>
      </c>
      <c r="Q150" s="44">
        <v>2131310</v>
      </c>
      <c r="S150" s="44">
        <v>5817767</v>
      </c>
      <c r="U150" s="44">
        <f>9238970-5817767-1456278</f>
        <v>1964925</v>
      </c>
      <c r="W150" s="44">
        <v>1456278</v>
      </c>
      <c r="Y150" s="44">
        <f t="shared" si="15"/>
        <v>9238970</v>
      </c>
      <c r="AB150" s="44">
        <f t="shared" si="16"/>
        <v>0</v>
      </c>
    </row>
    <row r="151" spans="1:28" ht="12.75" customHeight="1">
      <c r="A151" s="44" t="s">
        <v>178</v>
      </c>
      <c r="C151" s="44" t="s">
        <v>179</v>
      </c>
      <c r="E151" s="143">
        <f t="shared" si="13"/>
        <v>7739790</v>
      </c>
      <c r="G151" s="44">
        <f>12055516+19233778</f>
        <v>31289294</v>
      </c>
      <c r="I151" s="44">
        <v>0</v>
      </c>
      <c r="K151" s="44">
        <v>39029084</v>
      </c>
      <c r="M151" s="44">
        <f t="shared" si="14"/>
        <v>1267966</v>
      </c>
      <c r="O151" s="44">
        <v>1953079</v>
      </c>
      <c r="Q151" s="44">
        <v>3221045</v>
      </c>
      <c r="S151" s="44">
        <v>29578879</v>
      </c>
      <c r="U151" s="44">
        <f>35808039-29578879-1696871</f>
        <v>4532289</v>
      </c>
      <c r="W151" s="44">
        <v>1696871</v>
      </c>
      <c r="Y151" s="44">
        <f t="shared" si="15"/>
        <v>35808039</v>
      </c>
      <c r="AB151" s="44">
        <f t="shared" si="16"/>
        <v>0</v>
      </c>
    </row>
    <row r="152" spans="1:28" ht="12.75" customHeight="1">
      <c r="A152" s="44" t="s">
        <v>180</v>
      </c>
      <c r="C152" s="44" t="s">
        <v>20</v>
      </c>
      <c r="E152" s="143">
        <f t="shared" si="13"/>
        <v>4526622</v>
      </c>
      <c r="G152" s="44">
        <f>407263+10695996</f>
        <v>11103259</v>
      </c>
      <c r="I152" s="44">
        <v>0</v>
      </c>
      <c r="K152" s="44">
        <v>15629881</v>
      </c>
      <c r="M152" s="44">
        <f t="shared" si="14"/>
        <v>866637</v>
      </c>
      <c r="O152" s="44">
        <v>682061</v>
      </c>
      <c r="Q152" s="44">
        <v>1548698</v>
      </c>
      <c r="S152" s="44">
        <v>10327778</v>
      </c>
      <c r="U152" s="44">
        <f>14081183-10327778-1896123</f>
        <v>1857282</v>
      </c>
      <c r="W152" s="44">
        <v>1896123</v>
      </c>
      <c r="Y152" s="44">
        <f t="shared" si="15"/>
        <v>14081183</v>
      </c>
      <c r="AB152" s="44">
        <f t="shared" si="16"/>
        <v>0</v>
      </c>
    </row>
    <row r="153" spans="1:28" ht="12.75" customHeight="1">
      <c r="A153" s="44" t="s">
        <v>182</v>
      </c>
      <c r="C153" s="44" t="s">
        <v>183</v>
      </c>
      <c r="E153" s="143">
        <f t="shared" si="13"/>
        <v>4480276</v>
      </c>
      <c r="G153" s="44">
        <f>415229+3478464</f>
        <v>3893693</v>
      </c>
      <c r="I153" s="44">
        <v>0</v>
      </c>
      <c r="K153" s="44">
        <v>8373969</v>
      </c>
      <c r="M153" s="44">
        <f t="shared" si="14"/>
        <v>1282715</v>
      </c>
      <c r="O153" s="44">
        <v>2095628</v>
      </c>
      <c r="Q153" s="44">
        <v>3378343</v>
      </c>
      <c r="S153" s="44">
        <v>1489065</v>
      </c>
      <c r="U153" s="44">
        <f>4995626-1489065-887904</f>
        <v>2618657</v>
      </c>
      <c r="W153" s="44">
        <v>887904</v>
      </c>
      <c r="Y153" s="44">
        <f t="shared" si="15"/>
        <v>4995626</v>
      </c>
      <c r="AB153" s="44">
        <f t="shared" si="16"/>
        <v>0</v>
      </c>
    </row>
    <row r="154" spans="1:28" ht="12.75" customHeight="1">
      <c r="A154" s="44" t="s">
        <v>487</v>
      </c>
      <c r="C154" s="44" t="s">
        <v>13</v>
      </c>
      <c r="E154" s="143">
        <f t="shared" si="13"/>
        <v>7839730</v>
      </c>
      <c r="G154" s="44">
        <f>847865+4084809</f>
        <v>4932674</v>
      </c>
      <c r="I154" s="44">
        <v>0</v>
      </c>
      <c r="K154" s="44">
        <v>12772404</v>
      </c>
      <c r="M154" s="44">
        <f t="shared" si="14"/>
        <v>3384418</v>
      </c>
      <c r="O154" s="44">
        <v>578428</v>
      </c>
      <c r="Q154" s="44">
        <v>3962846</v>
      </c>
      <c r="S154" s="44">
        <v>4847225</v>
      </c>
      <c r="U154" s="44">
        <f>2183+111161+102646+1082034+653186</f>
        <v>1951210</v>
      </c>
      <c r="W154" s="44">
        <v>2011123</v>
      </c>
      <c r="Y154" s="44">
        <f t="shared" si="15"/>
        <v>8809558</v>
      </c>
      <c r="AB154" s="44">
        <f>+K154-Q154-Y154</f>
        <v>0</v>
      </c>
    </row>
    <row r="155" spans="1:28" ht="12.75" customHeight="1">
      <c r="A155" s="44" t="s">
        <v>184</v>
      </c>
      <c r="C155" s="44" t="s">
        <v>89</v>
      </c>
      <c r="E155" s="143">
        <f t="shared" si="13"/>
        <v>11163087</v>
      </c>
      <c r="G155" s="44">
        <f>1177786+25201608</f>
        <v>26379394</v>
      </c>
      <c r="I155" s="44">
        <v>0</v>
      </c>
      <c r="K155" s="44">
        <v>37542481</v>
      </c>
      <c r="M155" s="44">
        <f t="shared" si="14"/>
        <v>2323202</v>
      </c>
      <c r="O155" s="44">
        <v>2497079</v>
      </c>
      <c r="Q155" s="44">
        <v>4820281</v>
      </c>
      <c r="S155" s="44">
        <v>24547819</v>
      </c>
      <c r="U155" s="44">
        <f>104597+3979719+1410691</f>
        <v>5495007</v>
      </c>
      <c r="W155" s="44">
        <v>2679374</v>
      </c>
      <c r="Y155" s="44">
        <f t="shared" si="15"/>
        <v>32722200</v>
      </c>
      <c r="AB155" s="44">
        <f t="shared" si="16"/>
        <v>0</v>
      </c>
    </row>
    <row r="156" spans="1:28" ht="12.75" customHeight="1">
      <c r="A156" s="44" t="s">
        <v>181</v>
      </c>
      <c r="C156" s="44" t="s">
        <v>125</v>
      </c>
      <c r="E156" s="143">
        <f t="shared" si="13"/>
        <v>25662126</v>
      </c>
      <c r="G156" s="44">
        <f>17723722+41188498</f>
        <v>58912220</v>
      </c>
      <c r="I156" s="44">
        <v>0</v>
      </c>
      <c r="K156" s="44">
        <v>84574346</v>
      </c>
      <c r="M156" s="44">
        <f t="shared" si="14"/>
        <v>8857897</v>
      </c>
      <c r="O156" s="44">
        <v>22005946</v>
      </c>
      <c r="Q156" s="44">
        <v>30863843</v>
      </c>
      <c r="S156" s="44">
        <v>40274220</v>
      </c>
      <c r="U156" s="44">
        <f>53710503-40274220-1469212</f>
        <v>11967071</v>
      </c>
      <c r="W156" s="44">
        <v>1469212</v>
      </c>
      <c r="Y156" s="44">
        <f t="shared" si="15"/>
        <v>53710503</v>
      </c>
      <c r="AB156" s="44">
        <f t="shared" si="16"/>
        <v>0</v>
      </c>
    </row>
    <row r="157" spans="1:28" ht="12.75" customHeight="1">
      <c r="A157" s="44" t="s">
        <v>185</v>
      </c>
      <c r="C157" s="44" t="s">
        <v>80</v>
      </c>
      <c r="E157" s="143">
        <f t="shared" si="13"/>
        <v>19218000</v>
      </c>
      <c r="G157" s="44">
        <f>106300+2074110+12853400</f>
        <v>15033810</v>
      </c>
      <c r="I157" s="44">
        <v>0</v>
      </c>
      <c r="K157" s="44">
        <v>34251810</v>
      </c>
      <c r="M157" s="44">
        <f t="shared" si="14"/>
        <v>5559323</v>
      </c>
      <c r="O157" s="44">
        <v>1442476</v>
      </c>
      <c r="Q157" s="44">
        <v>7001799</v>
      </c>
      <c r="S157" s="44">
        <v>11728619</v>
      </c>
      <c r="U157" s="44">
        <f>136937+1256617+1322416+88820</f>
        <v>2804790</v>
      </c>
      <c r="W157" s="44">
        <v>12716602</v>
      </c>
      <c r="Y157" s="44">
        <f t="shared" si="15"/>
        <v>27250011</v>
      </c>
      <c r="AB157" s="44">
        <f>+K157-Q157-Y157</f>
        <v>0</v>
      </c>
    </row>
    <row r="158" spans="1:28" ht="12.75" customHeight="1">
      <c r="A158" s="44" t="s">
        <v>186</v>
      </c>
      <c r="C158" s="44" t="s">
        <v>15</v>
      </c>
      <c r="E158" s="143">
        <f t="shared" si="13"/>
        <v>10953900</v>
      </c>
      <c r="G158" s="44">
        <v>28666418</v>
      </c>
      <c r="I158" s="44">
        <v>0</v>
      </c>
      <c r="K158" s="44">
        <v>39620318</v>
      </c>
      <c r="M158" s="44">
        <f t="shared" si="14"/>
        <v>4187018</v>
      </c>
      <c r="O158" s="44">
        <v>1922152</v>
      </c>
      <c r="Q158" s="44">
        <v>6109170</v>
      </c>
      <c r="S158" s="44">
        <v>28295441</v>
      </c>
      <c r="U158" s="44">
        <f>33511148-28295441-1311616</f>
        <v>3904091</v>
      </c>
      <c r="W158" s="44">
        <v>1311616</v>
      </c>
      <c r="Y158" s="44">
        <f t="shared" si="15"/>
        <v>33511148</v>
      </c>
      <c r="AB158" s="44">
        <f t="shared" si="16"/>
        <v>0</v>
      </c>
    </row>
    <row r="159" spans="1:28" ht="12.75" customHeight="1">
      <c r="A159" s="44" t="s">
        <v>187</v>
      </c>
      <c r="B159" s="44"/>
      <c r="C159" s="44" t="s">
        <v>27</v>
      </c>
      <c r="D159" s="44"/>
      <c r="E159" s="143">
        <f t="shared" si="13"/>
        <v>31647553</v>
      </c>
      <c r="G159" s="44">
        <f>4096441+65338334</f>
        <v>69434775</v>
      </c>
      <c r="I159" s="44">
        <v>195183</v>
      </c>
      <c r="K159" s="44">
        <v>101277511</v>
      </c>
      <c r="M159" s="44">
        <f t="shared" si="14"/>
        <v>16621684</v>
      </c>
      <c r="O159" s="44">
        <v>29948265</v>
      </c>
      <c r="Q159" s="44">
        <v>46569949</v>
      </c>
      <c r="S159" s="44">
        <v>38558141</v>
      </c>
      <c r="U159" s="44">
        <f>54707562-38558141-4154220</f>
        <v>11995201</v>
      </c>
      <c r="W159" s="44">
        <v>4154220</v>
      </c>
      <c r="Y159" s="44">
        <f t="shared" si="15"/>
        <v>54707562</v>
      </c>
      <c r="AB159" s="44">
        <f>+K159-Q159-Y159</f>
        <v>0</v>
      </c>
    </row>
    <row r="160" spans="1:28" ht="12.75" customHeight="1">
      <c r="A160" s="44" t="s">
        <v>189</v>
      </c>
      <c r="C160" s="44" t="s">
        <v>17</v>
      </c>
      <c r="E160" s="143">
        <f t="shared" si="13"/>
        <v>23360878</v>
      </c>
      <c r="G160" s="44">
        <f>4543173+60508775</f>
        <v>65051948</v>
      </c>
      <c r="I160" s="44">
        <v>0</v>
      </c>
      <c r="K160" s="44">
        <v>88412826</v>
      </c>
      <c r="M160" s="44">
        <f t="shared" si="14"/>
        <v>12645124</v>
      </c>
      <c r="O160" s="44">
        <v>8882852</v>
      </c>
      <c r="Q160" s="44">
        <v>21527976</v>
      </c>
      <c r="S160" s="44">
        <v>56146937</v>
      </c>
      <c r="U160" s="44">
        <f>66884850-56146937-5188727</f>
        <v>5549186</v>
      </c>
      <c r="W160" s="44">
        <v>5188727</v>
      </c>
      <c r="Y160" s="44">
        <f t="shared" si="15"/>
        <v>66884850</v>
      </c>
      <c r="AB160" s="44">
        <f t="shared" si="16"/>
        <v>0</v>
      </c>
    </row>
    <row r="161" spans="1:28" ht="12.75" customHeight="1">
      <c r="A161" s="44" t="s">
        <v>188</v>
      </c>
      <c r="C161" s="44" t="s">
        <v>27</v>
      </c>
      <c r="E161" s="143">
        <f t="shared" si="13"/>
        <v>21741355</v>
      </c>
      <c r="G161" s="44">
        <f>3901973+108055582</f>
        <v>111957555</v>
      </c>
      <c r="I161" s="44">
        <v>16237</v>
      </c>
      <c r="K161" s="44">
        <v>133715147</v>
      </c>
      <c r="M161" s="44">
        <f t="shared" si="14"/>
        <v>8508146</v>
      </c>
      <c r="O161" s="44">
        <v>17489102</v>
      </c>
      <c r="Q161" s="44">
        <v>25997248</v>
      </c>
      <c r="S161" s="44">
        <v>95074298</v>
      </c>
      <c r="U161" s="44">
        <f>6586656+1396160+2509615</f>
        <v>10492431</v>
      </c>
      <c r="W161" s="44">
        <v>2151170</v>
      </c>
      <c r="Y161" s="44">
        <f t="shared" si="15"/>
        <v>107717899</v>
      </c>
      <c r="AB161" s="44">
        <f>+K161-Q161-Y161</f>
        <v>0</v>
      </c>
    </row>
    <row r="162" spans="1:28" ht="12.75" customHeight="1">
      <c r="A162" s="44" t="s">
        <v>190</v>
      </c>
      <c r="C162" s="44" t="s">
        <v>47</v>
      </c>
      <c r="E162" s="143">
        <f t="shared" si="13"/>
        <v>6862525</v>
      </c>
      <c r="G162" s="44">
        <f>407945+8351559</f>
        <v>8759504</v>
      </c>
      <c r="I162" s="44">
        <v>0</v>
      </c>
      <c r="K162" s="44">
        <v>15622029</v>
      </c>
      <c r="M162" s="44">
        <f t="shared" si="14"/>
        <v>864102</v>
      </c>
      <c r="O162" s="44">
        <v>2831022</v>
      </c>
      <c r="Q162" s="44">
        <v>3695124</v>
      </c>
      <c r="S162" s="44">
        <v>8319698</v>
      </c>
      <c r="U162" s="44">
        <f>3165934+463766+1298621</f>
        <v>4928321</v>
      </c>
      <c r="W162" s="44">
        <v>-1321114</v>
      </c>
      <c r="Y162" s="44">
        <f t="shared" si="15"/>
        <v>11926905</v>
      </c>
      <c r="AB162" s="44">
        <f t="shared" si="16"/>
        <v>0</v>
      </c>
    </row>
    <row r="163" spans="1:28" ht="12.75" customHeight="1">
      <c r="A163" s="44" t="s">
        <v>191</v>
      </c>
      <c r="C163" s="44" t="s">
        <v>13</v>
      </c>
      <c r="E163" s="143">
        <f t="shared" si="13"/>
        <v>10655153</v>
      </c>
      <c r="G163" s="44">
        <f>6495135+14557652</f>
        <v>21052787</v>
      </c>
      <c r="I163" s="44">
        <v>124231</v>
      </c>
      <c r="K163" s="44">
        <v>31832171</v>
      </c>
      <c r="M163" s="44">
        <f t="shared" si="14"/>
        <v>4836291</v>
      </c>
      <c r="O163" s="44">
        <v>7077479</v>
      </c>
      <c r="Q163" s="44">
        <v>11913770</v>
      </c>
      <c r="S163" s="44">
        <v>12218447</v>
      </c>
      <c r="U163" s="44">
        <f>19918401-12218447-3768150</f>
        <v>3931804</v>
      </c>
      <c r="W163" s="44">
        <v>3768150</v>
      </c>
      <c r="Y163" s="44">
        <f t="shared" si="15"/>
        <v>19918401</v>
      </c>
      <c r="AB163" s="44">
        <f t="shared" si="16"/>
        <v>0</v>
      </c>
    </row>
    <row r="164" spans="1:28" ht="12.75" customHeight="1">
      <c r="A164" s="44" t="s">
        <v>192</v>
      </c>
      <c r="C164" s="44" t="s">
        <v>38</v>
      </c>
      <c r="E164" s="143">
        <f t="shared" si="13"/>
        <v>16209533</v>
      </c>
      <c r="G164" s="44">
        <f>2448218+16350956</f>
        <v>18799174</v>
      </c>
      <c r="I164" s="44">
        <v>0</v>
      </c>
      <c r="K164" s="44">
        <v>35008707</v>
      </c>
      <c r="M164" s="44">
        <f t="shared" si="14"/>
        <v>4178995</v>
      </c>
      <c r="O164" s="44">
        <v>2477061</v>
      </c>
      <c r="Q164" s="44">
        <v>6656056</v>
      </c>
      <c r="S164" s="44">
        <v>17295246</v>
      </c>
      <c r="U164" s="44">
        <f>28352651-17295246-1478786</f>
        <v>9578619</v>
      </c>
      <c r="W164" s="44">
        <v>1478786</v>
      </c>
      <c r="Y164" s="44">
        <f t="shared" si="15"/>
        <v>28352651</v>
      </c>
      <c r="AB164" s="44">
        <f t="shared" si="16"/>
        <v>0</v>
      </c>
    </row>
    <row r="165" spans="1:28" ht="12.75" customHeight="1">
      <c r="A165" s="44" t="s">
        <v>193</v>
      </c>
      <c r="C165" s="44" t="s">
        <v>45</v>
      </c>
      <c r="E165" s="143">
        <f t="shared" si="13"/>
        <v>13974374</v>
      </c>
      <c r="G165" s="44">
        <f>6376146+13850917</f>
        <v>20227063</v>
      </c>
      <c r="I165" s="44">
        <v>116625</v>
      </c>
      <c r="K165" s="44">
        <v>34318062</v>
      </c>
      <c r="M165" s="44">
        <f t="shared" si="14"/>
        <v>7871514</v>
      </c>
      <c r="O165" s="44">
        <v>23660947</v>
      </c>
      <c r="Q165" s="44">
        <v>31532461</v>
      </c>
      <c r="S165" s="44">
        <v>9431508</v>
      </c>
      <c r="U165" s="44">
        <f>2785601-9431508+11982596</f>
        <v>5336689</v>
      </c>
      <c r="W165" s="44">
        <v>-11982596</v>
      </c>
      <c r="Y165" s="44">
        <f t="shared" si="15"/>
        <v>2785601</v>
      </c>
      <c r="AB165" s="44">
        <f t="shared" si="16"/>
        <v>0</v>
      </c>
    </row>
    <row r="166" spans="1:28" ht="12.75" customHeight="1">
      <c r="A166" s="44" t="s">
        <v>194</v>
      </c>
      <c r="C166" s="44" t="s">
        <v>66</v>
      </c>
      <c r="E166" s="143">
        <f t="shared" si="13"/>
        <v>16601193</v>
      </c>
      <c r="G166" s="44">
        <f>7958398+32610063</f>
        <v>40568461</v>
      </c>
      <c r="I166" s="44">
        <v>0</v>
      </c>
      <c r="K166" s="44">
        <v>57169654</v>
      </c>
      <c r="M166" s="44">
        <f t="shared" si="14"/>
        <v>4927063</v>
      </c>
      <c r="O166" s="44">
        <v>1615903</v>
      </c>
      <c r="Q166" s="44">
        <v>6542966</v>
      </c>
      <c r="S166" s="44">
        <v>37968461</v>
      </c>
      <c r="U166" s="44">
        <f>185412+1151484+50000+1042</f>
        <v>1387938</v>
      </c>
      <c r="W166" s="44">
        <v>11270289</v>
      </c>
      <c r="Y166" s="44">
        <f t="shared" si="15"/>
        <v>50626688</v>
      </c>
      <c r="AB166" s="44">
        <f t="shared" si="16"/>
        <v>0</v>
      </c>
    </row>
    <row r="167" spans="1:28" ht="12.75" customHeight="1">
      <c r="A167" s="44" t="s">
        <v>195</v>
      </c>
      <c r="C167" s="44" t="s">
        <v>17</v>
      </c>
      <c r="E167" s="143">
        <f t="shared" si="13"/>
        <v>15644401</v>
      </c>
      <c r="G167" s="44">
        <f>6276132+27777815</f>
        <v>34053947</v>
      </c>
      <c r="I167" s="44">
        <v>0</v>
      </c>
      <c r="K167" s="44">
        <v>49698348</v>
      </c>
      <c r="M167" s="44">
        <f t="shared" si="14"/>
        <v>2463449</v>
      </c>
      <c r="O167" s="44">
        <v>9773085</v>
      </c>
      <c r="Q167" s="44">
        <v>12236534</v>
      </c>
      <c r="S167" s="44">
        <v>25192157</v>
      </c>
      <c r="U167" s="44">
        <f>3579164+303665+1527067</f>
        <v>5409896</v>
      </c>
      <c r="W167" s="44">
        <v>6859761</v>
      </c>
      <c r="Y167" s="44">
        <f t="shared" si="15"/>
        <v>37461814</v>
      </c>
      <c r="AB167" s="44">
        <f>+K167-Q167-Y167</f>
        <v>0</v>
      </c>
    </row>
    <row r="168" spans="1:28" ht="12.75" customHeight="1">
      <c r="A168" s="44" t="s">
        <v>492</v>
      </c>
      <c r="C168" s="44" t="s">
        <v>27</v>
      </c>
      <c r="E168" s="143">
        <f t="shared" si="13"/>
        <v>-10955405</v>
      </c>
      <c r="G168" s="44">
        <f>1113096+9784493+11466242+22363831</f>
        <v>44727662</v>
      </c>
      <c r="I168" s="44">
        <v>0</v>
      </c>
      <c r="K168" s="44">
        <v>33772257</v>
      </c>
      <c r="M168" s="44">
        <f t="shared" si="14"/>
        <v>2963477</v>
      </c>
      <c r="O168" s="44">
        <v>6045500</v>
      </c>
      <c r="Q168" s="44">
        <v>9008977</v>
      </c>
      <c r="S168" s="44">
        <v>15696566</v>
      </c>
      <c r="U168" s="44">
        <f>1605802+3654847+2569825</f>
        <v>7830474</v>
      </c>
      <c r="W168" s="44">
        <v>1236240</v>
      </c>
      <c r="Y168" s="44">
        <f t="shared" si="15"/>
        <v>24763280</v>
      </c>
      <c r="AB168" s="44">
        <f t="shared" si="16"/>
        <v>0</v>
      </c>
    </row>
    <row r="169" spans="1:28" ht="12.75" customHeight="1">
      <c r="A169" s="44" t="s">
        <v>402</v>
      </c>
      <c r="C169" s="44" t="s">
        <v>153</v>
      </c>
      <c r="E169" s="143">
        <f t="shared" si="13"/>
        <v>8554582</v>
      </c>
      <c r="G169" s="44">
        <v>19900650</v>
      </c>
      <c r="I169" s="44">
        <v>161275</v>
      </c>
      <c r="K169" s="44">
        <v>28616507</v>
      </c>
      <c r="M169" s="44">
        <f t="shared" si="14"/>
        <v>1252394</v>
      </c>
      <c r="O169" s="44">
        <v>2039900</v>
      </c>
      <c r="Q169" s="44">
        <v>3292294</v>
      </c>
      <c r="S169" s="44">
        <v>17983710</v>
      </c>
      <c r="U169" s="44">
        <f>25324213-17983710-3225966</f>
        <v>4114537</v>
      </c>
      <c r="W169" s="44">
        <v>3225966</v>
      </c>
      <c r="Y169" s="44">
        <f t="shared" si="15"/>
        <v>25324213</v>
      </c>
      <c r="AB169" s="44">
        <f t="shared" si="16"/>
        <v>0</v>
      </c>
    </row>
    <row r="170" spans="1:28" ht="12.75" customHeight="1">
      <c r="A170" s="44" t="s">
        <v>197</v>
      </c>
      <c r="C170" s="44" t="s">
        <v>163</v>
      </c>
      <c r="E170" s="143">
        <f t="shared" si="13"/>
        <v>42403826</v>
      </c>
      <c r="G170" s="44">
        <f>12811155+28916611</f>
        <v>41727766</v>
      </c>
      <c r="I170" s="44">
        <v>0</v>
      </c>
      <c r="K170" s="44">
        <v>84131592</v>
      </c>
      <c r="M170" s="44">
        <f t="shared" si="14"/>
        <v>12567195</v>
      </c>
      <c r="O170" s="44">
        <v>16011557</v>
      </c>
      <c r="Q170" s="44">
        <v>28578752</v>
      </c>
      <c r="S170" s="44">
        <v>19354850</v>
      </c>
      <c r="U170" s="44">
        <f>55552840-19354850-16608023</f>
        <v>19589967</v>
      </c>
      <c r="W170" s="44">
        <v>16608023</v>
      </c>
      <c r="Y170" s="44">
        <f t="shared" si="15"/>
        <v>55552840</v>
      </c>
      <c r="AB170" s="44">
        <f>+K170-Q170-Y170</f>
        <v>0</v>
      </c>
    </row>
    <row r="171" spans="1:28" ht="12.75" customHeight="1">
      <c r="A171" s="44" t="s">
        <v>198</v>
      </c>
      <c r="C171" s="44" t="s">
        <v>199</v>
      </c>
      <c r="E171" s="143">
        <f t="shared" si="13"/>
        <v>7326725</v>
      </c>
      <c r="G171" s="44">
        <f>3657357+39515682</f>
        <v>43173039</v>
      </c>
      <c r="I171" s="44">
        <v>0</v>
      </c>
      <c r="K171" s="44">
        <v>50499764</v>
      </c>
      <c r="M171" s="44">
        <f t="shared" si="14"/>
        <v>1160880</v>
      </c>
      <c r="O171" s="44">
        <v>107219</v>
      </c>
      <c r="Q171" s="44">
        <v>1268099</v>
      </c>
      <c r="S171" s="44">
        <v>43120579</v>
      </c>
      <c r="U171" s="44">
        <f>49231665-43120579-4355566</f>
        <v>1755520</v>
      </c>
      <c r="W171" s="44">
        <v>4355566</v>
      </c>
      <c r="Y171" s="44">
        <f t="shared" si="15"/>
        <v>49231665</v>
      </c>
      <c r="AB171" s="44">
        <f t="shared" si="16"/>
        <v>0</v>
      </c>
    </row>
    <row r="172" spans="1:28" ht="12.75" customHeight="1">
      <c r="A172" s="44" t="s">
        <v>200</v>
      </c>
      <c r="C172" s="44" t="s">
        <v>103</v>
      </c>
      <c r="E172" s="143">
        <f t="shared" si="13"/>
        <v>15083748</v>
      </c>
      <c r="G172" s="44">
        <f>12711724+25421272</f>
        <v>38132996</v>
      </c>
      <c r="I172" s="44">
        <v>38079</v>
      </c>
      <c r="K172" s="44">
        <v>53254823</v>
      </c>
      <c r="M172" s="44">
        <f t="shared" si="14"/>
        <v>2388621</v>
      </c>
      <c r="O172" s="44">
        <v>2460843</v>
      </c>
      <c r="Q172" s="44">
        <v>4849464</v>
      </c>
      <c r="S172" s="44">
        <v>34790598</v>
      </c>
      <c r="U172" s="44">
        <f>4041523+1621790</f>
        <v>5663313</v>
      </c>
      <c r="W172" s="44">
        <v>7951448</v>
      </c>
      <c r="Y172" s="44">
        <f t="shared" si="15"/>
        <v>48405359</v>
      </c>
      <c r="AB172" s="44">
        <f t="shared" si="16"/>
        <v>0</v>
      </c>
    </row>
    <row r="173" spans="1:28" ht="12.75" customHeight="1">
      <c r="Y173" s="48" t="s">
        <v>484</v>
      </c>
    </row>
    <row r="174" spans="1:28" ht="12.75" customHeight="1">
      <c r="A174" s="44" t="s">
        <v>201</v>
      </c>
      <c r="C174" s="44" t="s">
        <v>92</v>
      </c>
      <c r="E174" s="162">
        <f t="shared" si="13"/>
        <v>16209019</v>
      </c>
      <c r="F174" s="46"/>
      <c r="G174" s="46">
        <f>9982791+26277928</f>
        <v>36260719</v>
      </c>
      <c r="H174" s="46"/>
      <c r="I174" s="46">
        <v>0</v>
      </c>
      <c r="J174" s="46"/>
      <c r="K174" s="46">
        <v>52469738</v>
      </c>
      <c r="L174" s="46"/>
      <c r="M174" s="46">
        <f t="shared" si="14"/>
        <v>7213027</v>
      </c>
      <c r="N174" s="46"/>
      <c r="O174" s="46">
        <v>4658350</v>
      </c>
      <c r="P174" s="46"/>
      <c r="Q174" s="46">
        <v>11871377</v>
      </c>
      <c r="R174" s="46"/>
      <c r="S174" s="46">
        <v>30101028</v>
      </c>
      <c r="T174" s="46"/>
      <c r="U174" s="46">
        <f>40598361-30101028-7250864</f>
        <v>3246469</v>
      </c>
      <c r="V174" s="46"/>
      <c r="W174" s="46">
        <v>7250864</v>
      </c>
      <c r="X174" s="46"/>
      <c r="Y174" s="46">
        <f t="shared" si="15"/>
        <v>40598361</v>
      </c>
      <c r="AB174" s="44">
        <f>+K174-Q174-Y174</f>
        <v>0</v>
      </c>
    </row>
    <row r="175" spans="1:28" ht="12.75" customHeight="1">
      <c r="A175" s="44" t="s">
        <v>202</v>
      </c>
      <c r="C175" s="44" t="s">
        <v>27</v>
      </c>
      <c r="E175" s="143">
        <f t="shared" si="13"/>
        <v>35719776</v>
      </c>
      <c r="G175" s="44">
        <f>7335023+81926196</f>
        <v>89261219</v>
      </c>
      <c r="I175" s="44">
        <v>0</v>
      </c>
      <c r="K175" s="44">
        <v>124980995</v>
      </c>
      <c r="M175" s="44">
        <f t="shared" si="14"/>
        <v>16438713</v>
      </c>
      <c r="O175" s="44">
        <v>28067302</v>
      </c>
      <c r="Q175" s="44">
        <v>44506015</v>
      </c>
      <c r="S175" s="44">
        <v>61748292</v>
      </c>
      <c r="U175" s="44">
        <f>1127126+3232217+641803+1090843+763293+3292021</f>
        <v>10147303</v>
      </c>
      <c r="W175" s="44">
        <v>8579385</v>
      </c>
      <c r="Y175" s="44">
        <f t="shared" si="15"/>
        <v>80474980</v>
      </c>
      <c r="AB175" s="44">
        <f>+K175-Q175-Y175</f>
        <v>0</v>
      </c>
    </row>
    <row r="176" spans="1:28" ht="12.75" customHeight="1">
      <c r="A176" s="44" t="s">
        <v>203</v>
      </c>
      <c r="C176" s="44" t="s">
        <v>27</v>
      </c>
      <c r="E176" s="143">
        <f t="shared" si="13"/>
        <v>15902434</v>
      </c>
      <c r="G176" s="44">
        <f>7712122+24228762</f>
        <v>31940884</v>
      </c>
      <c r="I176" s="44">
        <v>0</v>
      </c>
      <c r="K176" s="44">
        <v>47843318</v>
      </c>
      <c r="M176" s="44">
        <f t="shared" si="14"/>
        <v>9410121</v>
      </c>
      <c r="O176" s="44">
        <v>6428966</v>
      </c>
      <c r="Q176" s="44">
        <v>15839087</v>
      </c>
      <c r="S176" s="44">
        <v>23198650</v>
      </c>
      <c r="U176" s="44">
        <f>32004231-23198650-4254575</f>
        <v>4551006</v>
      </c>
      <c r="W176" s="44">
        <v>4254575</v>
      </c>
      <c r="Y176" s="44">
        <f t="shared" si="15"/>
        <v>32004231</v>
      </c>
      <c r="AB176" s="44">
        <f t="shared" si="16"/>
        <v>0</v>
      </c>
    </row>
    <row r="177" spans="1:29" ht="12.75" customHeight="1">
      <c r="A177" s="44" t="s">
        <v>204</v>
      </c>
      <c r="C177" s="44" t="s">
        <v>125</v>
      </c>
      <c r="E177" s="143">
        <f t="shared" si="13"/>
        <v>6382486</v>
      </c>
      <c r="G177" s="44">
        <v>7908844</v>
      </c>
      <c r="I177" s="44">
        <v>0</v>
      </c>
      <c r="K177" s="44">
        <v>14291330</v>
      </c>
      <c r="M177" s="44">
        <f t="shared" si="14"/>
        <v>1274685</v>
      </c>
      <c r="O177" s="44">
        <v>954089</v>
      </c>
      <c r="Q177" s="44">
        <v>2228774</v>
      </c>
      <c r="S177" s="44">
        <v>6885892</v>
      </c>
      <c r="U177" s="44">
        <f>12062556-6885892-1807920</f>
        <v>3368744</v>
      </c>
      <c r="W177" s="44">
        <v>1807920</v>
      </c>
      <c r="Y177" s="44">
        <f t="shared" si="15"/>
        <v>12062556</v>
      </c>
      <c r="AB177" s="44">
        <f t="shared" si="16"/>
        <v>0</v>
      </c>
    </row>
    <row r="178" spans="1:29" s="121" customFormat="1" ht="12.75" hidden="1" customHeight="1">
      <c r="A178" s="121" t="s">
        <v>205</v>
      </c>
      <c r="B178" s="122"/>
      <c r="C178" s="121" t="s">
        <v>27</v>
      </c>
      <c r="D178" s="122"/>
      <c r="E178" s="150">
        <f t="shared" si="13"/>
        <v>0</v>
      </c>
      <c r="G178" s="121">
        <v>0</v>
      </c>
      <c r="I178" s="121">
        <v>0</v>
      </c>
      <c r="K178" s="121">
        <v>0</v>
      </c>
      <c r="M178" s="121">
        <f t="shared" si="14"/>
        <v>0</v>
      </c>
      <c r="O178" s="121">
        <v>0</v>
      </c>
      <c r="Q178" s="121">
        <v>0</v>
      </c>
      <c r="S178" s="121">
        <v>0</v>
      </c>
      <c r="U178" s="121">
        <v>0</v>
      </c>
      <c r="W178" s="121">
        <v>0</v>
      </c>
      <c r="Y178" s="121">
        <f t="shared" si="15"/>
        <v>0</v>
      </c>
      <c r="AB178" s="121">
        <f t="shared" si="16"/>
        <v>0</v>
      </c>
      <c r="AC178" s="121" t="s">
        <v>505</v>
      </c>
    </row>
    <row r="179" spans="1:29" ht="12.75" customHeight="1">
      <c r="A179" s="44" t="s">
        <v>206</v>
      </c>
      <c r="C179" s="44" t="s">
        <v>47</v>
      </c>
      <c r="E179" s="143">
        <f t="shared" si="13"/>
        <v>16529080</v>
      </c>
      <c r="G179" s="44">
        <f>17720229+60365675</f>
        <v>78085904</v>
      </c>
      <c r="I179" s="44">
        <v>0</v>
      </c>
      <c r="K179" s="44">
        <v>94614984</v>
      </c>
      <c r="M179" s="44">
        <f t="shared" si="14"/>
        <v>9764513</v>
      </c>
      <c r="O179" s="44">
        <v>735480</v>
      </c>
      <c r="Q179" s="44">
        <v>10499993</v>
      </c>
      <c r="S179" s="44">
        <v>72835904</v>
      </c>
      <c r="U179" s="44">
        <f>15922+3367624</f>
        <v>3383546</v>
      </c>
      <c r="W179" s="44">
        <v>7895541</v>
      </c>
      <c r="Y179" s="44">
        <f t="shared" si="15"/>
        <v>84114991</v>
      </c>
      <c r="AB179" s="44">
        <f t="shared" si="16"/>
        <v>0</v>
      </c>
    </row>
    <row r="180" spans="1:29" ht="12.75" customHeight="1">
      <c r="A180" s="44" t="s">
        <v>207</v>
      </c>
      <c r="C180" s="44" t="s">
        <v>102</v>
      </c>
      <c r="E180" s="143">
        <f t="shared" si="13"/>
        <v>10151391</v>
      </c>
      <c r="G180" s="44">
        <f>6399095+50981773</f>
        <v>57380868</v>
      </c>
      <c r="I180" s="44">
        <v>18159</v>
      </c>
      <c r="K180" s="44">
        <v>67550418</v>
      </c>
      <c r="M180" s="44">
        <f t="shared" si="14"/>
        <v>6662128</v>
      </c>
      <c r="O180" s="44">
        <v>12500032</v>
      </c>
      <c r="Q180" s="44">
        <v>19162160</v>
      </c>
      <c r="S180" s="44">
        <v>41960655</v>
      </c>
      <c r="U180" s="44">
        <f>48388258-41960655-3535264</f>
        <v>2892339</v>
      </c>
      <c r="W180" s="44">
        <v>3535264</v>
      </c>
      <c r="Y180" s="44">
        <f t="shared" si="15"/>
        <v>48388258</v>
      </c>
      <c r="AB180" s="44">
        <f t="shared" si="16"/>
        <v>0</v>
      </c>
    </row>
    <row r="181" spans="1:29" ht="12.75" customHeight="1">
      <c r="A181" s="44" t="s">
        <v>208</v>
      </c>
      <c r="C181" s="44" t="s">
        <v>209</v>
      </c>
      <c r="E181" s="143">
        <f t="shared" si="13"/>
        <v>33133519</v>
      </c>
      <c r="G181" s="44">
        <f>6996516+36230864</f>
        <v>43227380</v>
      </c>
      <c r="I181" s="44">
        <v>0</v>
      </c>
      <c r="K181" s="44">
        <v>76360899</v>
      </c>
      <c r="M181" s="44">
        <f t="shared" si="14"/>
        <v>3971109</v>
      </c>
      <c r="O181" s="44">
        <v>4466002</v>
      </c>
      <c r="Q181" s="44">
        <v>8437111</v>
      </c>
      <c r="S181" s="44">
        <v>41743160</v>
      </c>
      <c r="U181" s="44">
        <f>18638+385122</f>
        <v>403760</v>
      </c>
      <c r="W181" s="44">
        <v>25776868</v>
      </c>
      <c r="Y181" s="44">
        <f t="shared" si="15"/>
        <v>67923788</v>
      </c>
      <c r="AB181" s="44">
        <f t="shared" si="16"/>
        <v>0</v>
      </c>
    </row>
    <row r="182" spans="1:29" ht="12.75" customHeight="1">
      <c r="A182" s="44" t="s">
        <v>210</v>
      </c>
      <c r="C182" s="44" t="s">
        <v>211</v>
      </c>
      <c r="E182" s="143">
        <f t="shared" si="13"/>
        <v>4678967</v>
      </c>
      <c r="G182" s="44">
        <f>1981500+6630956</f>
        <v>8612456</v>
      </c>
      <c r="I182" s="44">
        <v>0</v>
      </c>
      <c r="K182" s="44">
        <v>13291423</v>
      </c>
      <c r="M182" s="44">
        <f t="shared" si="14"/>
        <v>1275174</v>
      </c>
      <c r="O182" s="44">
        <v>422415</v>
      </c>
      <c r="Q182" s="44">
        <v>1697589</v>
      </c>
      <c r="S182" s="44">
        <v>8177282</v>
      </c>
      <c r="U182" s="44">
        <f>11593834-8177282-1448889</f>
        <v>1967663</v>
      </c>
      <c r="W182" s="44">
        <v>1448889</v>
      </c>
      <c r="Y182" s="44">
        <f t="shared" si="15"/>
        <v>11593834</v>
      </c>
      <c r="AB182" s="44">
        <f>+K182-Q182-Y182</f>
        <v>0</v>
      </c>
    </row>
    <row r="183" spans="1:29" ht="12.75" customHeight="1">
      <c r="A183" s="44" t="s">
        <v>212</v>
      </c>
      <c r="C183" s="44" t="s">
        <v>213</v>
      </c>
      <c r="E183" s="143">
        <f t="shared" si="13"/>
        <v>10107610</v>
      </c>
      <c r="G183" s="44">
        <f>1826884+16312763</f>
        <v>18139647</v>
      </c>
      <c r="I183" s="44">
        <v>0</v>
      </c>
      <c r="K183" s="44">
        <v>28247257</v>
      </c>
      <c r="M183" s="44">
        <f t="shared" si="14"/>
        <v>2798703</v>
      </c>
      <c r="O183" s="44">
        <v>2867435</v>
      </c>
      <c r="Q183" s="44">
        <v>5666138</v>
      </c>
      <c r="S183" s="44">
        <v>17777202</v>
      </c>
      <c r="U183" s="44">
        <f>22581119-17777202+1361876</f>
        <v>6165793</v>
      </c>
      <c r="W183" s="44">
        <v>-1361876</v>
      </c>
      <c r="Y183" s="44">
        <f t="shared" si="15"/>
        <v>22581119</v>
      </c>
      <c r="AB183" s="44">
        <f t="shared" si="16"/>
        <v>0</v>
      </c>
    </row>
    <row r="184" spans="1:29" ht="12.75" customHeight="1">
      <c r="A184" s="44" t="s">
        <v>214</v>
      </c>
      <c r="C184" s="44" t="s">
        <v>86</v>
      </c>
      <c r="E184" s="143">
        <f t="shared" si="13"/>
        <v>11963306</v>
      </c>
      <c r="G184" s="44">
        <f>4023159+143466+37593996</f>
        <v>41760621</v>
      </c>
      <c r="I184" s="44">
        <v>153053</v>
      </c>
      <c r="K184" s="44">
        <v>53876980</v>
      </c>
      <c r="M184" s="44">
        <f t="shared" si="14"/>
        <v>4024888</v>
      </c>
      <c r="O184" s="44">
        <f>177071+21479711</f>
        <v>21656782</v>
      </c>
      <c r="Q184" s="44">
        <v>25681670</v>
      </c>
      <c r="S184" s="44">
        <v>25160621</v>
      </c>
      <c r="U184" s="44">
        <f>1017468+735368+175436+154163</f>
        <v>2082435</v>
      </c>
      <c r="W184" s="44">
        <v>952254</v>
      </c>
      <c r="Y184" s="44">
        <f t="shared" si="15"/>
        <v>28195310</v>
      </c>
      <c r="AB184" s="44">
        <f t="shared" si="16"/>
        <v>0</v>
      </c>
    </row>
    <row r="185" spans="1:29" ht="12.75" customHeight="1">
      <c r="A185" s="44" t="s">
        <v>215</v>
      </c>
      <c r="C185" s="44" t="s">
        <v>22</v>
      </c>
      <c r="E185" s="143">
        <f t="shared" si="13"/>
        <v>15852272</v>
      </c>
      <c r="G185" s="44">
        <f>1431400+38492939</f>
        <v>39924339</v>
      </c>
      <c r="I185" s="44">
        <v>0</v>
      </c>
      <c r="K185" s="44">
        <v>55776611</v>
      </c>
      <c r="M185" s="44">
        <f t="shared" si="14"/>
        <v>1951228</v>
      </c>
      <c r="O185" s="44">
        <v>6434707</v>
      </c>
      <c r="Q185" s="44">
        <v>8385935</v>
      </c>
      <c r="S185" s="44">
        <v>38382954</v>
      </c>
      <c r="U185" s="44">
        <f>968793+311794+9626071</f>
        <v>10906658</v>
      </c>
      <c r="W185" s="44">
        <v>-1898936</v>
      </c>
      <c r="Y185" s="44">
        <f t="shared" si="15"/>
        <v>47390676</v>
      </c>
      <c r="AB185" s="44">
        <f t="shared" si="16"/>
        <v>0</v>
      </c>
    </row>
    <row r="186" spans="1:29" ht="12.75" customHeight="1">
      <c r="A186" s="44" t="s">
        <v>216</v>
      </c>
      <c r="C186" s="44" t="s">
        <v>45</v>
      </c>
      <c r="E186" s="143">
        <f t="shared" si="13"/>
        <v>6013778</v>
      </c>
      <c r="G186" s="44">
        <f>1337171+3856760</f>
        <v>5193931</v>
      </c>
      <c r="I186" s="44">
        <v>0</v>
      </c>
      <c r="K186" s="44">
        <v>11207709</v>
      </c>
      <c r="M186" s="44">
        <f t="shared" si="14"/>
        <v>2615749</v>
      </c>
      <c r="O186" s="44">
        <v>1980890</v>
      </c>
      <c r="Q186" s="44">
        <v>4596639</v>
      </c>
      <c r="S186" s="44">
        <v>4054174</v>
      </c>
      <c r="U186" s="44">
        <f>1428473+542408+643349</f>
        <v>2614230</v>
      </c>
      <c r="W186" s="44">
        <v>-57334</v>
      </c>
      <c r="Y186" s="44">
        <f t="shared" si="15"/>
        <v>6611070</v>
      </c>
      <c r="AB186" s="44">
        <f t="shared" si="16"/>
        <v>0</v>
      </c>
    </row>
    <row r="187" spans="1:29" ht="12.75" customHeight="1">
      <c r="A187" s="44" t="s">
        <v>217</v>
      </c>
      <c r="C187" s="44" t="s">
        <v>43</v>
      </c>
      <c r="E187" s="143">
        <f t="shared" si="13"/>
        <v>51659697</v>
      </c>
      <c r="G187" s="44">
        <f>23625588+3391547</f>
        <v>27017135</v>
      </c>
      <c r="I187" s="44">
        <v>257795</v>
      </c>
      <c r="K187" s="44">
        <v>78934627</v>
      </c>
      <c r="M187" s="44">
        <f t="shared" si="14"/>
        <v>6041697</v>
      </c>
      <c r="O187" s="44">
        <v>24267094</v>
      </c>
      <c r="Q187" s="44">
        <v>30308791</v>
      </c>
      <c r="S187" s="44">
        <v>32035039</v>
      </c>
      <c r="U187" s="44">
        <f>48625836-32035039-6480534</f>
        <v>10110263</v>
      </c>
      <c r="W187" s="44">
        <v>6480534</v>
      </c>
      <c r="Y187" s="44">
        <f t="shared" si="15"/>
        <v>48625836</v>
      </c>
      <c r="AB187" s="44">
        <f>+K187-Q187-Y187</f>
        <v>0</v>
      </c>
    </row>
    <row r="188" spans="1:29" s="121" customFormat="1" ht="12.75" hidden="1" customHeight="1">
      <c r="A188" s="121" t="s">
        <v>218</v>
      </c>
      <c r="B188" s="122"/>
      <c r="C188" s="121" t="s">
        <v>27</v>
      </c>
      <c r="D188" s="122"/>
      <c r="E188" s="150">
        <f t="shared" si="13"/>
        <v>0</v>
      </c>
      <c r="G188" s="121">
        <v>0</v>
      </c>
      <c r="I188" s="121">
        <v>0</v>
      </c>
      <c r="K188" s="121">
        <v>0</v>
      </c>
      <c r="M188" s="121">
        <f t="shared" si="14"/>
        <v>0</v>
      </c>
      <c r="O188" s="121">
        <v>0</v>
      </c>
      <c r="Q188" s="121">
        <v>0</v>
      </c>
      <c r="S188" s="121">
        <v>0</v>
      </c>
      <c r="U188" s="121">
        <v>0</v>
      </c>
      <c r="W188" s="121">
        <v>0</v>
      </c>
      <c r="Y188" s="121">
        <f t="shared" si="15"/>
        <v>0</v>
      </c>
      <c r="AB188" s="121">
        <f>+K188-Q188-Y188</f>
        <v>0</v>
      </c>
      <c r="AC188" s="121" t="s">
        <v>508</v>
      </c>
    </row>
    <row r="189" spans="1:29" ht="12.75" customHeight="1">
      <c r="A189" s="44" t="s">
        <v>219</v>
      </c>
      <c r="C189" s="44" t="s">
        <v>199</v>
      </c>
      <c r="E189" s="143">
        <f t="shared" si="13"/>
        <v>3435772</v>
      </c>
      <c r="G189" s="44">
        <f>153608+5777064</f>
        <v>5930672</v>
      </c>
      <c r="I189" s="44">
        <v>0</v>
      </c>
      <c r="K189" s="44">
        <v>9366444</v>
      </c>
      <c r="M189" s="44">
        <f t="shared" si="14"/>
        <v>1002139</v>
      </c>
      <c r="O189" s="44">
        <v>1046345</v>
      </c>
      <c r="Q189" s="44">
        <v>2048484</v>
      </c>
      <c r="S189" s="44">
        <v>4860879</v>
      </c>
      <c r="U189" s="44">
        <f>91613+367381+159423+646889</f>
        <v>1265306</v>
      </c>
      <c r="W189" s="44">
        <v>1191775</v>
      </c>
      <c r="Y189" s="44">
        <f t="shared" si="15"/>
        <v>7317960</v>
      </c>
      <c r="AB189" s="44">
        <f t="shared" si="16"/>
        <v>0</v>
      </c>
    </row>
    <row r="190" spans="1:29" ht="12.75" customHeight="1">
      <c r="A190" s="44" t="s">
        <v>220</v>
      </c>
      <c r="C190" s="44" t="s">
        <v>66</v>
      </c>
      <c r="E190" s="143">
        <f t="shared" si="13"/>
        <v>15839516</v>
      </c>
      <c r="G190" s="44">
        <f>2776614+7579002</f>
        <v>10355616</v>
      </c>
      <c r="I190" s="44">
        <v>0</v>
      </c>
      <c r="K190" s="44">
        <v>26195132</v>
      </c>
      <c r="M190" s="44">
        <f t="shared" si="14"/>
        <v>3453186</v>
      </c>
      <c r="O190" s="44">
        <v>2074390</v>
      </c>
      <c r="Q190" s="44">
        <v>5527576</v>
      </c>
      <c r="S190" s="44">
        <v>7963712</v>
      </c>
      <c r="U190" s="44">
        <f>20667556-7963712-8170405</f>
        <v>4533439</v>
      </c>
      <c r="W190" s="44">
        <v>8170405</v>
      </c>
      <c r="Y190" s="44">
        <f t="shared" si="15"/>
        <v>20667556</v>
      </c>
      <c r="AB190" s="44">
        <f>+K190-Q190-Y190</f>
        <v>0</v>
      </c>
    </row>
    <row r="191" spans="1:29" ht="12.75" customHeight="1">
      <c r="A191" s="44" t="s">
        <v>221</v>
      </c>
      <c r="C191" s="44" t="s">
        <v>27</v>
      </c>
      <c r="E191" s="143">
        <f t="shared" si="13"/>
        <v>23568765</v>
      </c>
      <c r="G191" s="44">
        <f>5172155+44818826</f>
        <v>49990981</v>
      </c>
      <c r="I191" s="44">
        <v>27890</v>
      </c>
      <c r="K191" s="44">
        <v>73587636</v>
      </c>
      <c r="M191" s="44">
        <f t="shared" si="14"/>
        <v>10406413</v>
      </c>
      <c r="O191" s="44">
        <v>21211793</v>
      </c>
      <c r="Q191" s="44">
        <v>31618206</v>
      </c>
      <c r="S191" s="44">
        <v>31781713</v>
      </c>
      <c r="U191" s="44">
        <f>41969430-31781713-2574282</f>
        <v>7613435</v>
      </c>
      <c r="W191" s="44">
        <v>2574282</v>
      </c>
      <c r="Y191" s="44">
        <f t="shared" si="15"/>
        <v>41969430</v>
      </c>
      <c r="AB191" s="44">
        <f>+K191-Q191-Y191</f>
        <v>0</v>
      </c>
    </row>
    <row r="192" spans="1:29" ht="12.75" customHeight="1">
      <c r="A192" s="44" t="s">
        <v>222</v>
      </c>
      <c r="C192" s="44" t="s">
        <v>47</v>
      </c>
      <c r="E192" s="143">
        <f t="shared" si="13"/>
        <v>10609782</v>
      </c>
      <c r="G192" s="44">
        <v>5000106</v>
      </c>
      <c r="I192" s="44">
        <v>0</v>
      </c>
      <c r="K192" s="44">
        <v>15609888</v>
      </c>
      <c r="M192" s="44">
        <f t="shared" si="14"/>
        <v>3677250</v>
      </c>
      <c r="O192" s="44">
        <v>3398349</v>
      </c>
      <c r="Q192" s="44">
        <v>7075599</v>
      </c>
      <c r="S192" s="44">
        <v>844106</v>
      </c>
      <c r="U192" s="44">
        <v>3474771</v>
      </c>
      <c r="W192" s="44">
        <v>4215412</v>
      </c>
      <c r="Y192" s="44">
        <f t="shared" si="15"/>
        <v>8534289</v>
      </c>
      <c r="AB192" s="44">
        <f t="shared" si="16"/>
        <v>0</v>
      </c>
    </row>
    <row r="193" spans="1:31" ht="12.75" customHeight="1">
      <c r="A193" s="44" t="s">
        <v>223</v>
      </c>
      <c r="C193" s="44" t="s">
        <v>94</v>
      </c>
      <c r="E193" s="143">
        <f t="shared" si="13"/>
        <v>5462161</v>
      </c>
      <c r="G193" s="44">
        <f>5151704+12760342</f>
        <v>17912046</v>
      </c>
      <c r="I193" s="44">
        <v>0</v>
      </c>
      <c r="K193" s="44">
        <v>23374207</v>
      </c>
      <c r="M193" s="44">
        <f t="shared" si="14"/>
        <v>2407746</v>
      </c>
      <c r="O193" s="44">
        <v>3685144</v>
      </c>
      <c r="Q193" s="44">
        <v>6092890</v>
      </c>
      <c r="S193" s="44">
        <v>13521311</v>
      </c>
      <c r="U193" s="44">
        <f>17281317-13521311-1988621</f>
        <v>1771385</v>
      </c>
      <c r="W193" s="44">
        <v>1988621</v>
      </c>
      <c r="Y193" s="44">
        <f t="shared" si="15"/>
        <v>17281317</v>
      </c>
      <c r="AB193" s="44">
        <f t="shared" si="16"/>
        <v>0</v>
      </c>
    </row>
    <row r="194" spans="1:31" ht="12.75" customHeight="1">
      <c r="A194" s="44" t="s">
        <v>76</v>
      </c>
      <c r="B194" s="44"/>
      <c r="C194" s="44" t="s">
        <v>132</v>
      </c>
      <c r="D194" s="44"/>
      <c r="E194" s="143">
        <f t="shared" si="13"/>
        <v>24968176</v>
      </c>
      <c r="G194" s="44">
        <f>16015358+38441845</f>
        <v>54457203</v>
      </c>
      <c r="I194" s="44">
        <v>276066</v>
      </c>
      <c r="K194" s="44">
        <v>79701445</v>
      </c>
      <c r="M194" s="44">
        <f t="shared" si="14"/>
        <v>12139468</v>
      </c>
      <c r="O194" s="44">
        <v>20778489</v>
      </c>
      <c r="Q194" s="44">
        <v>32917957</v>
      </c>
      <c r="S194" s="44">
        <v>38636112</v>
      </c>
      <c r="U194" s="44">
        <f>46783488-38636112+2681773</f>
        <v>10829149</v>
      </c>
      <c r="W194" s="44">
        <v>-2681773</v>
      </c>
      <c r="Y194" s="44">
        <f t="shared" si="15"/>
        <v>46783488</v>
      </c>
      <c r="AB194" s="44">
        <f t="shared" si="16"/>
        <v>0</v>
      </c>
    </row>
    <row r="195" spans="1:31" ht="12.75" customHeight="1">
      <c r="A195" s="44" t="s">
        <v>224</v>
      </c>
      <c r="C195" s="44" t="s">
        <v>27</v>
      </c>
      <c r="E195" s="143">
        <f t="shared" ref="E195" si="17">+K195-G195-I195</f>
        <v>12456478</v>
      </c>
      <c r="G195" s="44">
        <f>1438846+19715046</f>
        <v>21153892</v>
      </c>
      <c r="I195" s="44">
        <v>0</v>
      </c>
      <c r="K195" s="44">
        <v>33610370</v>
      </c>
      <c r="M195" s="44">
        <f t="shared" ref="M195" si="18">+Q195-O195</f>
        <v>7444624</v>
      </c>
      <c r="O195" s="44">
        <v>13545440</v>
      </c>
      <c r="Q195" s="44">
        <v>20990064</v>
      </c>
      <c r="S195" s="44">
        <v>4238482</v>
      </c>
      <c r="U195" s="44">
        <f>40274+2910219+1569049</f>
        <v>4519542</v>
      </c>
      <c r="W195" s="44">
        <v>3862282</v>
      </c>
      <c r="Y195" s="44">
        <f t="shared" ref="Y195" si="19">S195+U195+W195</f>
        <v>12620306</v>
      </c>
      <c r="AB195" s="44">
        <f t="shared" si="16"/>
        <v>0</v>
      </c>
    </row>
    <row r="196" spans="1:31" ht="12.75" customHeight="1">
      <c r="A196" s="44" t="s">
        <v>225</v>
      </c>
      <c r="C196" s="44" t="s">
        <v>27</v>
      </c>
      <c r="E196" s="44">
        <f>+K196-G196-I196</f>
        <v>62028469</v>
      </c>
      <c r="G196" s="44">
        <f>19952359+64734020</f>
        <v>84686379</v>
      </c>
      <c r="I196" s="44">
        <v>102952</v>
      </c>
      <c r="K196" s="44">
        <v>146817800</v>
      </c>
      <c r="M196" s="44">
        <f t="shared" ref="M196" si="20">+Q196-O196</f>
        <v>13650440</v>
      </c>
      <c r="O196" s="44">
        <v>30457304</v>
      </c>
      <c r="Q196" s="44">
        <v>44107744</v>
      </c>
      <c r="S196" s="44">
        <v>61134899</v>
      </c>
      <c r="U196" s="44">
        <f>102710056-61134899-20655757</f>
        <v>20919400</v>
      </c>
      <c r="W196" s="44">
        <v>20655757</v>
      </c>
      <c r="Y196" s="44">
        <f>S196+U196+W196</f>
        <v>102710056</v>
      </c>
      <c r="Z196" s="46"/>
      <c r="AA196" s="46"/>
      <c r="AB196" s="46">
        <f>+K196-Q196-Y196</f>
        <v>0</v>
      </c>
      <c r="AC196" s="46"/>
      <c r="AD196" s="46"/>
      <c r="AE196" s="46"/>
    </row>
    <row r="197" spans="1:31" ht="12.75" customHeight="1">
      <c r="A197" s="44" t="s">
        <v>226</v>
      </c>
      <c r="C197" s="44" t="s">
        <v>45</v>
      </c>
      <c r="E197" s="143">
        <f t="shared" ref="E197:E256" si="21">+K197-G197-I197</f>
        <v>19360527</v>
      </c>
      <c r="G197" s="44">
        <f>11622077+24789802</f>
        <v>36411879</v>
      </c>
      <c r="I197" s="44">
        <v>173729</v>
      </c>
      <c r="K197" s="44">
        <v>55946135</v>
      </c>
      <c r="M197" s="44">
        <f t="shared" ref="M197:M256" si="22">+Q197-O197</f>
        <v>7960430</v>
      </c>
      <c r="O197" s="44">
        <v>13950221</v>
      </c>
      <c r="Q197" s="44">
        <v>21910651</v>
      </c>
      <c r="S197" s="44">
        <v>19512004</v>
      </c>
      <c r="U197" s="44">
        <f>34035484-19512004-4002970</f>
        <v>10520510</v>
      </c>
      <c r="W197" s="44">
        <v>4002970</v>
      </c>
      <c r="Y197" s="44">
        <f t="shared" ref="Y197:Y256" si="23">S197+U197+W197</f>
        <v>34035484</v>
      </c>
      <c r="AB197" s="44">
        <f t="shared" si="16"/>
        <v>0</v>
      </c>
    </row>
    <row r="198" spans="1:31" s="46" customFormat="1" ht="12.75" customHeight="1">
      <c r="A198" s="46" t="s">
        <v>227</v>
      </c>
      <c r="C198" s="46" t="s">
        <v>17</v>
      </c>
      <c r="E198" s="143">
        <f t="shared" si="21"/>
        <v>8822822</v>
      </c>
      <c r="F198" s="44"/>
      <c r="G198" s="44">
        <f>484539+14444362</f>
        <v>14928901</v>
      </c>
      <c r="H198" s="44"/>
      <c r="I198" s="44">
        <v>0</v>
      </c>
      <c r="J198" s="44"/>
      <c r="K198" s="44">
        <v>23751723</v>
      </c>
      <c r="L198" s="44"/>
      <c r="M198" s="44">
        <f t="shared" si="22"/>
        <v>5723982</v>
      </c>
      <c r="N198" s="44"/>
      <c r="O198" s="44">
        <v>2573230</v>
      </c>
      <c r="P198" s="44"/>
      <c r="Q198" s="44">
        <v>8297212</v>
      </c>
      <c r="R198" s="44"/>
      <c r="S198" s="44">
        <v>12118135</v>
      </c>
      <c r="T198" s="44"/>
      <c r="U198" s="44">
        <f>15454511-12118135-1124100</f>
        <v>2212276</v>
      </c>
      <c r="V198" s="44"/>
      <c r="W198" s="44">
        <v>1124100</v>
      </c>
      <c r="X198" s="44"/>
      <c r="Y198" s="44">
        <f t="shared" si="23"/>
        <v>15454511</v>
      </c>
      <c r="Z198" s="44"/>
      <c r="AA198" s="44"/>
      <c r="AB198" s="44">
        <f t="shared" si="16"/>
        <v>0</v>
      </c>
    </row>
    <row r="199" spans="1:31" ht="12.75" customHeight="1">
      <c r="A199" s="44" t="s">
        <v>228</v>
      </c>
      <c r="C199" s="44" t="s">
        <v>153</v>
      </c>
      <c r="E199" s="143">
        <f t="shared" si="21"/>
        <v>7455402</v>
      </c>
      <c r="G199" s="44">
        <f>215712+16324568</f>
        <v>16540280</v>
      </c>
      <c r="I199" s="44">
        <v>3989</v>
      </c>
      <c r="K199" s="44">
        <v>23999671</v>
      </c>
      <c r="M199" s="44">
        <f t="shared" si="22"/>
        <v>2199529</v>
      </c>
      <c r="O199" s="44">
        <v>859337</v>
      </c>
      <c r="Q199" s="44">
        <v>3058866</v>
      </c>
      <c r="S199" s="44">
        <v>15816469</v>
      </c>
      <c r="U199" s="44">
        <f>20940805-15816469-1038290</f>
        <v>4086046</v>
      </c>
      <c r="W199" s="44">
        <v>1038290</v>
      </c>
      <c r="Y199" s="44">
        <f t="shared" si="23"/>
        <v>20940805</v>
      </c>
      <c r="AB199" s="44">
        <f t="shared" si="16"/>
        <v>0</v>
      </c>
    </row>
    <row r="200" spans="1:31" ht="12.75" customHeight="1">
      <c r="A200" s="44" t="s">
        <v>229</v>
      </c>
      <c r="C200" s="44" t="s">
        <v>228</v>
      </c>
      <c r="E200" s="143">
        <f t="shared" si="21"/>
        <v>16202279</v>
      </c>
      <c r="G200" s="44">
        <f>7632261+120237+44982491</f>
        <v>52734989</v>
      </c>
      <c r="I200" s="44">
        <v>97563</v>
      </c>
      <c r="K200" s="44">
        <v>69034831</v>
      </c>
      <c r="M200" s="44">
        <f t="shared" si="22"/>
        <v>4652185</v>
      </c>
      <c r="O200" s="44">
        <v>9399336</v>
      </c>
      <c r="Q200" s="44">
        <v>14051521</v>
      </c>
      <c r="S200" s="44">
        <v>44624989</v>
      </c>
      <c r="U200" s="44">
        <f>54983310-44624989-9253882</f>
        <v>1104439</v>
      </c>
      <c r="W200" s="44">
        <v>9253882</v>
      </c>
      <c r="Y200" s="44">
        <f t="shared" si="23"/>
        <v>54983310</v>
      </c>
      <c r="AB200" s="44">
        <f t="shared" si="16"/>
        <v>0</v>
      </c>
    </row>
    <row r="201" spans="1:31" ht="12.75" customHeight="1">
      <c r="A201" s="44" t="s">
        <v>230</v>
      </c>
      <c r="C201" s="44" t="s">
        <v>45</v>
      </c>
      <c r="E201" s="143">
        <f t="shared" si="21"/>
        <v>4981340</v>
      </c>
      <c r="G201" s="44">
        <f>608288+3742328</f>
        <v>4350616</v>
      </c>
      <c r="I201" s="44">
        <v>18820</v>
      </c>
      <c r="K201" s="44">
        <v>9350776</v>
      </c>
      <c r="M201" s="44">
        <f t="shared" si="22"/>
        <v>1157222</v>
      </c>
      <c r="O201" s="44">
        <v>2568749</v>
      </c>
      <c r="Q201" s="44">
        <v>3725971</v>
      </c>
      <c r="S201" s="44">
        <v>2746452</v>
      </c>
      <c r="U201" s="44">
        <f>16717+280084+223974+96454</f>
        <v>617229</v>
      </c>
      <c r="W201" s="44">
        <v>2261124</v>
      </c>
      <c r="Y201" s="44">
        <f t="shared" si="23"/>
        <v>5624805</v>
      </c>
      <c r="AB201" s="44">
        <f t="shared" si="16"/>
        <v>0</v>
      </c>
    </row>
    <row r="202" spans="1:31" ht="12.75" customHeight="1">
      <c r="A202" s="44" t="s">
        <v>231</v>
      </c>
      <c r="C202" s="44" t="s">
        <v>27</v>
      </c>
      <c r="E202" s="143">
        <f t="shared" si="21"/>
        <v>47036472</v>
      </c>
      <c r="G202" s="44">
        <f>12650246+110319772</f>
        <v>122970018</v>
      </c>
      <c r="I202" s="44">
        <v>0</v>
      </c>
      <c r="K202" s="44">
        <v>170006490</v>
      </c>
      <c r="M202" s="44">
        <f t="shared" si="22"/>
        <v>9352156</v>
      </c>
      <c r="O202" s="44">
        <v>17048278</v>
      </c>
      <c r="Q202" s="44">
        <v>26400434</v>
      </c>
      <c r="S202" s="44">
        <v>117330135</v>
      </c>
      <c r="U202" s="44">
        <f>143606056-117330135-9730123</f>
        <v>16545798</v>
      </c>
      <c r="W202" s="44">
        <v>9730123</v>
      </c>
      <c r="Y202" s="44">
        <f t="shared" si="23"/>
        <v>143606056</v>
      </c>
      <c r="AB202" s="44">
        <f t="shared" si="16"/>
        <v>0</v>
      </c>
    </row>
    <row r="203" spans="1:31" ht="12.75" customHeight="1">
      <c r="A203" s="44" t="s">
        <v>232</v>
      </c>
      <c r="C203" s="44" t="s">
        <v>27</v>
      </c>
      <c r="E203" s="143">
        <f t="shared" si="21"/>
        <v>44077395</v>
      </c>
      <c r="G203" s="44">
        <f>1182897+42628158</f>
        <v>43811055</v>
      </c>
      <c r="I203" s="44">
        <v>85781</v>
      </c>
      <c r="K203" s="44">
        <v>87974231</v>
      </c>
      <c r="M203" s="44">
        <f t="shared" si="22"/>
        <v>27171346</v>
      </c>
      <c r="O203" s="44">
        <v>12243900</v>
      </c>
      <c r="Q203" s="44">
        <v>39415246</v>
      </c>
      <c r="S203" s="44">
        <v>33831486</v>
      </c>
      <c r="U203" s="44">
        <f>48558985-33831486-3567056</f>
        <v>11160443</v>
      </c>
      <c r="W203" s="44">
        <v>3567056</v>
      </c>
      <c r="Y203" s="44">
        <f t="shared" si="23"/>
        <v>48558985</v>
      </c>
      <c r="AB203" s="44">
        <f t="shared" si="16"/>
        <v>0</v>
      </c>
    </row>
    <row r="204" spans="1:31" ht="12.75" customHeight="1">
      <c r="A204" s="44" t="s">
        <v>233</v>
      </c>
      <c r="C204" s="44" t="s">
        <v>111</v>
      </c>
      <c r="E204" s="143">
        <f t="shared" si="21"/>
        <v>24320618</v>
      </c>
      <c r="G204" s="44">
        <f>17441611+31298656</f>
        <v>48740267</v>
      </c>
      <c r="I204" s="44">
        <v>166111</v>
      </c>
      <c r="K204" s="44">
        <v>73226996</v>
      </c>
      <c r="M204" s="44">
        <f t="shared" si="22"/>
        <v>5169197</v>
      </c>
      <c r="O204" s="44">
        <v>14467814</v>
      </c>
      <c r="Q204" s="44">
        <v>19637011</v>
      </c>
      <c r="S204" s="44">
        <v>35279823</v>
      </c>
      <c r="U204" s="44">
        <f>53589985-35279823-7290300</f>
        <v>11019862</v>
      </c>
      <c r="W204" s="44">
        <v>7290300</v>
      </c>
      <c r="Y204" s="44">
        <f t="shared" si="23"/>
        <v>53589985</v>
      </c>
      <c r="AB204" s="44">
        <f t="shared" si="16"/>
        <v>0</v>
      </c>
    </row>
    <row r="205" spans="1:31" ht="12.75" customHeight="1">
      <c r="A205" s="44" t="s">
        <v>234</v>
      </c>
      <c r="C205" s="44" t="s">
        <v>45</v>
      </c>
      <c r="E205" s="143">
        <f t="shared" si="21"/>
        <v>12152377</v>
      </c>
      <c r="G205" s="44">
        <f>2703343+42365624</f>
        <v>45068967</v>
      </c>
      <c r="I205" s="44">
        <v>117021</v>
      </c>
      <c r="K205" s="44">
        <v>57338365</v>
      </c>
      <c r="M205" s="44">
        <f t="shared" si="22"/>
        <v>3931621</v>
      </c>
      <c r="O205" s="44">
        <v>5251600</v>
      </c>
      <c r="Q205" s="44">
        <v>9183221</v>
      </c>
      <c r="S205" s="44">
        <v>39806529</v>
      </c>
      <c r="U205" s="44">
        <f>807915+437259+143200</f>
        <v>1388374</v>
      </c>
      <c r="W205" s="44">
        <v>6960241</v>
      </c>
      <c r="Y205" s="44">
        <f t="shared" si="23"/>
        <v>48155144</v>
      </c>
      <c r="AB205" s="44">
        <f t="shared" si="16"/>
        <v>0</v>
      </c>
    </row>
    <row r="206" spans="1:31" ht="12.75" customHeight="1">
      <c r="A206" s="44" t="s">
        <v>235</v>
      </c>
      <c r="C206" s="44" t="s">
        <v>183</v>
      </c>
      <c r="E206" s="143">
        <f t="shared" si="21"/>
        <v>61632068</v>
      </c>
      <c r="G206" s="44">
        <f>10477998+4523241+58825406</f>
        <v>73826645</v>
      </c>
      <c r="I206" s="44">
        <v>0</v>
      </c>
      <c r="K206" s="44">
        <v>135458713</v>
      </c>
      <c r="M206" s="44">
        <f t="shared" si="22"/>
        <v>14370779</v>
      </c>
      <c r="O206" s="44">
        <v>20232738</v>
      </c>
      <c r="Q206" s="44">
        <v>34603517</v>
      </c>
      <c r="S206" s="44">
        <v>63075925</v>
      </c>
      <c r="U206" s="44">
        <f>13299432+10914523+2970545+386953</f>
        <v>27571453</v>
      </c>
      <c r="W206" s="44">
        <v>10207818</v>
      </c>
      <c r="Y206" s="44">
        <f t="shared" si="23"/>
        <v>100855196</v>
      </c>
      <c r="AB206" s="44">
        <f t="shared" si="16"/>
        <v>0</v>
      </c>
    </row>
    <row r="207" spans="1:31" ht="12.75" customHeight="1">
      <c r="A207" s="44" t="s">
        <v>236</v>
      </c>
      <c r="C207" s="44" t="s">
        <v>45</v>
      </c>
      <c r="E207" s="143">
        <f t="shared" si="21"/>
        <v>8591936</v>
      </c>
      <c r="G207" s="44">
        <f>6212252+14919465</f>
        <v>21131717</v>
      </c>
      <c r="I207" s="44">
        <v>0</v>
      </c>
      <c r="K207" s="44">
        <v>29723653</v>
      </c>
      <c r="M207" s="44">
        <f t="shared" si="22"/>
        <v>1237980</v>
      </c>
      <c r="O207" s="44">
        <v>4156324</v>
      </c>
      <c r="Q207" s="44">
        <v>5394304</v>
      </c>
      <c r="S207" s="44">
        <v>19203086</v>
      </c>
      <c r="U207" s="44">
        <f>844659+11173+783612</f>
        <v>1639444</v>
      </c>
      <c r="W207" s="44">
        <v>3486819</v>
      </c>
      <c r="Y207" s="44">
        <f t="shared" si="23"/>
        <v>24329349</v>
      </c>
      <c r="AB207" s="44">
        <f t="shared" si="16"/>
        <v>0</v>
      </c>
    </row>
    <row r="208" spans="1:31" ht="12.75" customHeight="1">
      <c r="A208" s="44" t="s">
        <v>237</v>
      </c>
      <c r="C208" s="44" t="s">
        <v>33</v>
      </c>
      <c r="E208" s="143">
        <f t="shared" si="21"/>
        <v>2493688</v>
      </c>
      <c r="G208" s="44">
        <f>1271438+6261994</f>
        <v>7533432</v>
      </c>
      <c r="I208" s="44">
        <v>0</v>
      </c>
      <c r="K208" s="44">
        <v>10027120</v>
      </c>
      <c r="M208" s="44">
        <f t="shared" si="22"/>
        <v>1065290</v>
      </c>
      <c r="O208" s="44">
        <v>1193569</v>
      </c>
      <c r="Q208" s="44">
        <v>2258859</v>
      </c>
      <c r="S208" s="44">
        <v>6273016</v>
      </c>
      <c r="U208" s="44">
        <f>77634+1469885</f>
        <v>1547519</v>
      </c>
      <c r="W208" s="44">
        <v>-52274</v>
      </c>
      <c r="Y208" s="44">
        <f t="shared" si="23"/>
        <v>7768261</v>
      </c>
      <c r="AB208" s="44">
        <f t="shared" si="16"/>
        <v>0</v>
      </c>
    </row>
    <row r="209" spans="1:31" ht="12.75" customHeight="1">
      <c r="A209" s="44" t="s">
        <v>238</v>
      </c>
      <c r="C209" s="44" t="s">
        <v>239</v>
      </c>
      <c r="E209" s="143">
        <f t="shared" si="21"/>
        <v>15335184</v>
      </c>
      <c r="G209" s="44">
        <f>2040182+17468173</f>
        <v>19508355</v>
      </c>
      <c r="I209" s="44">
        <v>0</v>
      </c>
      <c r="K209" s="44">
        <v>34843539</v>
      </c>
      <c r="M209" s="44">
        <f t="shared" si="22"/>
        <v>953341</v>
      </c>
      <c r="O209" s="44">
        <v>323516</v>
      </c>
      <c r="Q209" s="44">
        <v>1276857</v>
      </c>
      <c r="S209" s="44">
        <v>19408355</v>
      </c>
      <c r="U209" s="44">
        <f>5848380+89627+1469740+2104528+92507</f>
        <v>9604782</v>
      </c>
      <c r="W209" s="44">
        <v>4553545</v>
      </c>
      <c r="Y209" s="44">
        <f t="shared" si="23"/>
        <v>33566682</v>
      </c>
      <c r="AB209" s="44">
        <f t="shared" si="16"/>
        <v>0</v>
      </c>
    </row>
    <row r="210" spans="1:31" ht="12.75" customHeight="1">
      <c r="A210" s="44" t="s">
        <v>486</v>
      </c>
      <c r="C210" s="44" t="s">
        <v>249</v>
      </c>
      <c r="E210" s="143">
        <f t="shared" si="21"/>
        <v>14711904</v>
      </c>
      <c r="G210" s="44">
        <v>31604705</v>
      </c>
      <c r="I210" s="44">
        <v>124914</v>
      </c>
      <c r="K210" s="44">
        <v>46441523</v>
      </c>
      <c r="M210" s="44">
        <f t="shared" si="22"/>
        <v>5595568</v>
      </c>
      <c r="O210" s="44">
        <v>7861457</v>
      </c>
      <c r="Q210" s="44">
        <v>13457025</v>
      </c>
      <c r="S210" s="44">
        <v>26909300</v>
      </c>
      <c r="U210" s="44">
        <f>32984498-26909300+586168</f>
        <v>6661366</v>
      </c>
      <c r="W210" s="44">
        <v>-586168</v>
      </c>
      <c r="Y210" s="44">
        <f t="shared" si="23"/>
        <v>32984498</v>
      </c>
      <c r="AB210" s="44">
        <f>+K210-Q210-Y210</f>
        <v>0</v>
      </c>
    </row>
    <row r="211" spans="1:31" ht="12.75" customHeight="1">
      <c r="A211" s="44" t="s">
        <v>240</v>
      </c>
      <c r="C211" s="44" t="s">
        <v>13</v>
      </c>
      <c r="E211" s="143">
        <f t="shared" si="21"/>
        <v>25467496</v>
      </c>
      <c r="G211" s="44">
        <v>65745586</v>
      </c>
      <c r="I211" s="44">
        <v>285355</v>
      </c>
      <c r="K211" s="44">
        <v>91498437</v>
      </c>
      <c r="M211" s="44">
        <f t="shared" si="22"/>
        <v>12663161</v>
      </c>
      <c r="O211" s="44">
        <v>26438939</v>
      </c>
      <c r="Q211" s="44">
        <v>39102100</v>
      </c>
      <c r="S211" s="44">
        <v>41222186</v>
      </c>
      <c r="U211" s="44">
        <f>52396337-41222186-3516064</f>
        <v>7658087</v>
      </c>
      <c r="W211" s="44">
        <v>3516064</v>
      </c>
      <c r="Y211" s="44">
        <f t="shared" si="23"/>
        <v>52396337</v>
      </c>
      <c r="AB211" s="44">
        <f t="shared" si="16"/>
        <v>0</v>
      </c>
    </row>
    <row r="212" spans="1:31" ht="12.75" customHeight="1">
      <c r="A212" s="44" t="s">
        <v>241</v>
      </c>
      <c r="C212" s="44" t="s">
        <v>22</v>
      </c>
      <c r="E212" s="143">
        <f t="shared" si="21"/>
        <v>10716778</v>
      </c>
      <c r="G212" s="44">
        <v>12633807</v>
      </c>
      <c r="I212" s="44">
        <v>98952</v>
      </c>
      <c r="K212" s="44">
        <v>23449537</v>
      </c>
      <c r="M212" s="44">
        <f t="shared" si="22"/>
        <v>2546832</v>
      </c>
      <c r="O212" s="44">
        <v>5000907</v>
      </c>
      <c r="Q212" s="44">
        <v>7547739</v>
      </c>
      <c r="S212" s="44">
        <v>9561170</v>
      </c>
      <c r="U212" s="44">
        <f>15901798-9561170-2828446</f>
        <v>3512182</v>
      </c>
      <c r="W212" s="44">
        <v>2828446</v>
      </c>
      <c r="Y212" s="44">
        <f t="shared" si="23"/>
        <v>15901798</v>
      </c>
      <c r="AB212" s="44">
        <f t="shared" si="16"/>
        <v>0</v>
      </c>
    </row>
    <row r="213" spans="1:31" ht="12.75" customHeight="1">
      <c r="A213" s="44" t="s">
        <v>242</v>
      </c>
      <c r="C213" s="44" t="s">
        <v>27</v>
      </c>
      <c r="E213" s="143">
        <v>51416478</v>
      </c>
      <c r="G213" s="44">
        <v>189040161</v>
      </c>
      <c r="I213" s="44">
        <v>620662</v>
      </c>
      <c r="K213" s="44">
        <v>241077301</v>
      </c>
      <c r="M213" s="44">
        <f t="shared" si="22"/>
        <v>23380569</v>
      </c>
      <c r="O213" s="44">
        <v>57267890</v>
      </c>
      <c r="Q213" s="44">
        <v>80648459</v>
      </c>
      <c r="S213" s="44">
        <v>131506472</v>
      </c>
      <c r="U213" s="44">
        <v>16563040</v>
      </c>
      <c r="W213" s="44">
        <v>12359330</v>
      </c>
      <c r="Y213" s="44">
        <f t="shared" si="23"/>
        <v>160428842</v>
      </c>
      <c r="AB213" s="44">
        <f t="shared" si="16"/>
        <v>0</v>
      </c>
    </row>
    <row r="214" spans="1:31" ht="12.75" customHeight="1">
      <c r="A214" s="44" t="s">
        <v>243</v>
      </c>
      <c r="C214" s="44" t="s">
        <v>163</v>
      </c>
      <c r="E214" s="143">
        <f t="shared" si="21"/>
        <v>78510100</v>
      </c>
      <c r="G214" s="44">
        <f>10278049-25555779</f>
        <v>-15277730</v>
      </c>
      <c r="I214" s="44">
        <v>0</v>
      </c>
      <c r="K214" s="44">
        <v>63232370</v>
      </c>
      <c r="M214" s="44">
        <f t="shared" si="22"/>
        <v>10832517</v>
      </c>
      <c r="O214" s="44">
        <v>13700235</v>
      </c>
      <c r="Q214" s="44">
        <v>24532752</v>
      </c>
      <c r="S214" s="44">
        <v>15589069</v>
      </c>
      <c r="U214" s="44">
        <f>14856568+90177+3013373</f>
        <v>17960118</v>
      </c>
      <c r="W214" s="44">
        <v>5150431</v>
      </c>
      <c r="Y214" s="44">
        <f t="shared" si="23"/>
        <v>38699618</v>
      </c>
      <c r="AB214" s="44">
        <f t="shared" ref="AB214" si="24">+K214-Q214-Y214</f>
        <v>0</v>
      </c>
    </row>
    <row r="215" spans="1:31" ht="12.75" customHeight="1">
      <c r="A215" s="44" t="s">
        <v>244</v>
      </c>
      <c r="C215" s="44" t="s">
        <v>13</v>
      </c>
      <c r="E215" s="143">
        <f t="shared" si="21"/>
        <v>11356083</v>
      </c>
      <c r="G215" s="44">
        <v>28564008</v>
      </c>
      <c r="I215" s="44">
        <v>178683</v>
      </c>
      <c r="K215" s="44">
        <v>40098774</v>
      </c>
      <c r="M215" s="44">
        <f t="shared" si="22"/>
        <v>4275157</v>
      </c>
      <c r="O215" s="44">
        <v>11480703</v>
      </c>
      <c r="Q215" s="44">
        <v>15755860</v>
      </c>
      <c r="S215" s="44">
        <v>18369056</v>
      </c>
      <c r="U215" s="44">
        <f>24342914-18369056-3587472</f>
        <v>2386386</v>
      </c>
      <c r="W215" s="44">
        <v>3587472</v>
      </c>
      <c r="Y215" s="44">
        <f t="shared" si="23"/>
        <v>24342914</v>
      </c>
      <c r="AB215" s="44">
        <f t="shared" ref="AB215:AB256" si="25">+K215-Q215-Y215</f>
        <v>0</v>
      </c>
    </row>
    <row r="216" spans="1:31" ht="12.75" customHeight="1">
      <c r="A216" s="44" t="s">
        <v>245</v>
      </c>
      <c r="C216" s="44" t="s">
        <v>110</v>
      </c>
      <c r="E216" s="143">
        <f t="shared" si="21"/>
        <v>10012696</v>
      </c>
      <c r="G216" s="44">
        <v>23365273</v>
      </c>
      <c r="I216" s="44">
        <v>67430</v>
      </c>
      <c r="K216" s="44">
        <v>33445399</v>
      </c>
      <c r="M216" s="44">
        <f t="shared" si="22"/>
        <v>2908106</v>
      </c>
      <c r="O216" s="44">
        <v>3194565</v>
      </c>
      <c r="Q216" s="44">
        <v>6102671</v>
      </c>
      <c r="S216" s="44">
        <v>20500464</v>
      </c>
      <c r="U216" s="44">
        <f>27342728-20500464-3329233</f>
        <v>3513031</v>
      </c>
      <c r="W216" s="44">
        <v>3329233</v>
      </c>
      <c r="Y216" s="44">
        <f t="shared" si="23"/>
        <v>27342728</v>
      </c>
      <c r="AB216" s="44">
        <f t="shared" si="25"/>
        <v>0</v>
      </c>
    </row>
    <row r="217" spans="1:31" ht="12.75" customHeight="1">
      <c r="A217" s="44" t="s">
        <v>246</v>
      </c>
      <c r="C217" s="44" t="s">
        <v>209</v>
      </c>
      <c r="E217" s="143">
        <f t="shared" si="21"/>
        <v>8401705</v>
      </c>
      <c r="G217" s="44">
        <f>13716763+24726194</f>
        <v>38442957</v>
      </c>
      <c r="I217" s="44">
        <v>0</v>
      </c>
      <c r="K217" s="44">
        <v>46844662</v>
      </c>
      <c r="M217" s="44">
        <f t="shared" si="22"/>
        <v>2871142</v>
      </c>
      <c r="O217" s="44">
        <v>3473931</v>
      </c>
      <c r="Q217" s="44">
        <v>6345073</v>
      </c>
      <c r="S217" s="44">
        <v>33597957</v>
      </c>
      <c r="U217" s="44">
        <f>1059346+721628+104867</f>
        <v>1885841</v>
      </c>
      <c r="W217" s="44">
        <v>5015791</v>
      </c>
      <c r="Y217" s="44">
        <f t="shared" si="23"/>
        <v>40499589</v>
      </c>
      <c r="AB217" s="44">
        <f t="shared" si="25"/>
        <v>0</v>
      </c>
    </row>
    <row r="218" spans="1:31" ht="12.75" customHeight="1">
      <c r="A218" s="44" t="s">
        <v>247</v>
      </c>
      <c r="C218" s="44" t="s">
        <v>163</v>
      </c>
      <c r="E218" s="143">
        <f t="shared" si="21"/>
        <v>214198000</v>
      </c>
      <c r="G218" s="44">
        <f>59134000+490389000</f>
        <v>549523000</v>
      </c>
      <c r="I218" s="44">
        <v>427000</v>
      </c>
      <c r="K218" s="44">
        <v>764148000</v>
      </c>
      <c r="M218" s="44">
        <f t="shared" si="22"/>
        <v>126804000</v>
      </c>
      <c r="O218" s="44">
        <v>228356000</v>
      </c>
      <c r="Q218" s="44">
        <v>355160000</v>
      </c>
      <c r="S218" s="44">
        <v>345642000</v>
      </c>
      <c r="U218" s="44">
        <v>56816000</v>
      </c>
      <c r="W218" s="44">
        <v>6530000</v>
      </c>
      <c r="Y218" s="44">
        <f t="shared" si="23"/>
        <v>408988000</v>
      </c>
      <c r="AB218" s="44">
        <f>+K218-Q218-Y218</f>
        <v>0</v>
      </c>
    </row>
    <row r="219" spans="1:31" ht="12.75" customHeight="1">
      <c r="A219" s="44" t="s">
        <v>248</v>
      </c>
      <c r="C219" s="44" t="s">
        <v>249</v>
      </c>
      <c r="E219" s="143">
        <f t="shared" si="21"/>
        <v>2747038</v>
      </c>
      <c r="G219" s="44">
        <f>157500+3987797</f>
        <v>4145297</v>
      </c>
      <c r="I219" s="44">
        <v>0</v>
      </c>
      <c r="K219" s="44">
        <v>6892335</v>
      </c>
      <c r="M219" s="44">
        <f t="shared" si="22"/>
        <v>1413639</v>
      </c>
      <c r="O219" s="44">
        <v>113588</v>
      </c>
      <c r="Q219" s="44">
        <v>1527227</v>
      </c>
      <c r="S219" s="44">
        <v>3332193</v>
      </c>
      <c r="U219" s="44">
        <f>239251+1108634</f>
        <v>1347885</v>
      </c>
      <c r="W219" s="44">
        <v>685030</v>
      </c>
      <c r="Y219" s="44">
        <f t="shared" si="23"/>
        <v>5365108</v>
      </c>
      <c r="AB219" s="44">
        <f t="shared" si="25"/>
        <v>0</v>
      </c>
    </row>
    <row r="220" spans="1:31" ht="12.75" customHeight="1">
      <c r="A220" s="44" t="s">
        <v>250</v>
      </c>
      <c r="C220" s="44" t="s">
        <v>103</v>
      </c>
      <c r="E220" s="143">
        <f t="shared" si="21"/>
        <v>5201517</v>
      </c>
      <c r="G220" s="44">
        <f>1687444+690477+2860728-2557020</f>
        <v>2681629</v>
      </c>
      <c r="I220" s="44">
        <v>0</v>
      </c>
      <c r="K220" s="44">
        <v>7883146</v>
      </c>
      <c r="M220" s="44">
        <f t="shared" si="22"/>
        <v>971508</v>
      </c>
      <c r="O220" s="44">
        <v>287573</v>
      </c>
      <c r="Q220" s="44">
        <v>1259081</v>
      </c>
      <c r="S220" s="44">
        <v>2899423</v>
      </c>
      <c r="U220" s="44">
        <f>6624065-2899423-2337031</f>
        <v>1387611</v>
      </c>
      <c r="W220" s="44">
        <v>2337031</v>
      </c>
      <c r="Y220" s="44">
        <f t="shared" si="23"/>
        <v>6624065</v>
      </c>
      <c r="AB220" s="44">
        <f t="shared" si="25"/>
        <v>0</v>
      </c>
    </row>
    <row r="221" spans="1:31" s="121" customFormat="1" ht="12.75" hidden="1" customHeight="1">
      <c r="A221" s="121" t="s">
        <v>251</v>
      </c>
      <c r="B221" s="122"/>
      <c r="C221" s="121" t="s">
        <v>66</v>
      </c>
      <c r="D221" s="122"/>
      <c r="E221" s="150">
        <f t="shared" si="21"/>
        <v>0</v>
      </c>
      <c r="G221" s="121">
        <v>0</v>
      </c>
      <c r="I221" s="121">
        <v>0</v>
      </c>
      <c r="K221" s="121">
        <v>0</v>
      </c>
      <c r="M221" s="121">
        <f t="shared" si="22"/>
        <v>0</v>
      </c>
      <c r="O221" s="121">
        <v>0</v>
      </c>
      <c r="Q221" s="121">
        <v>0</v>
      </c>
      <c r="S221" s="121">
        <v>0</v>
      </c>
      <c r="U221" s="121">
        <v>0</v>
      </c>
      <c r="W221" s="121">
        <v>0</v>
      </c>
      <c r="Y221" s="121">
        <f t="shared" si="23"/>
        <v>0</v>
      </c>
      <c r="AB221" s="121">
        <f t="shared" si="25"/>
        <v>0</v>
      </c>
      <c r="AC221" s="121" t="s">
        <v>503</v>
      </c>
    </row>
    <row r="222" spans="1:31" ht="12.75" customHeight="1">
      <c r="A222" s="44" t="s">
        <v>252</v>
      </c>
      <c r="C222" s="44" t="s">
        <v>209</v>
      </c>
      <c r="E222" s="143">
        <f t="shared" si="21"/>
        <v>58709772</v>
      </c>
      <c r="G222" s="44">
        <f>12353856+29356603</f>
        <v>41710459</v>
      </c>
      <c r="I222" s="44">
        <v>0</v>
      </c>
      <c r="K222" s="44">
        <v>100420231</v>
      </c>
      <c r="M222" s="44">
        <f t="shared" si="22"/>
        <v>-86165791</v>
      </c>
      <c r="O222" s="44">
        <v>100615629</v>
      </c>
      <c r="Q222" s="44">
        <v>14449838</v>
      </c>
      <c r="S222" s="44">
        <v>34225459</v>
      </c>
      <c r="U222" s="44">
        <f>85970393-34225459-41162496</f>
        <v>10582438</v>
      </c>
      <c r="W222" s="44">
        <v>41162496</v>
      </c>
      <c r="Y222" s="44">
        <f t="shared" si="23"/>
        <v>85970393</v>
      </c>
      <c r="AB222" s="44">
        <f t="shared" si="25"/>
        <v>0</v>
      </c>
    </row>
    <row r="223" spans="1:31" ht="12.75" customHeight="1">
      <c r="A223" s="44" t="s">
        <v>253</v>
      </c>
      <c r="C223" s="44" t="s">
        <v>13</v>
      </c>
      <c r="E223" s="143">
        <f t="shared" si="21"/>
        <v>27240486</v>
      </c>
      <c r="G223" s="44">
        <f>26717271+97685116</f>
        <v>124402387</v>
      </c>
      <c r="I223" s="44">
        <v>0</v>
      </c>
      <c r="K223" s="44">
        <v>151642873</v>
      </c>
      <c r="M223" s="44">
        <f t="shared" si="22"/>
        <v>4576112</v>
      </c>
      <c r="O223" s="44">
        <v>14350334</v>
      </c>
      <c r="Q223" s="44">
        <v>18926446</v>
      </c>
      <c r="S223" s="44">
        <v>110143632</v>
      </c>
      <c r="U223" s="44">
        <f>20143+4915240+4528335</f>
        <v>9463718</v>
      </c>
      <c r="W223" s="44">
        <v>13109077</v>
      </c>
      <c r="Y223" s="44">
        <f t="shared" si="23"/>
        <v>132716427</v>
      </c>
      <c r="AB223" s="44">
        <f t="shared" si="25"/>
        <v>0</v>
      </c>
    </row>
    <row r="224" spans="1:31" ht="12.75" customHeight="1">
      <c r="A224" s="44" t="s">
        <v>254</v>
      </c>
      <c r="C224" s="44" t="s">
        <v>89</v>
      </c>
      <c r="E224" s="143">
        <f t="shared" si="21"/>
        <v>2576775</v>
      </c>
      <c r="G224" s="44">
        <f>1093853+4676901</f>
        <v>5770754</v>
      </c>
      <c r="I224" s="44">
        <v>0</v>
      </c>
      <c r="K224" s="44">
        <v>8347529</v>
      </c>
      <c r="M224" s="44">
        <f t="shared" si="22"/>
        <v>888775</v>
      </c>
      <c r="O224" s="44">
        <v>2274933</v>
      </c>
      <c r="Q224" s="44">
        <v>3163708</v>
      </c>
      <c r="S224" s="44">
        <v>3762248</v>
      </c>
      <c r="U224" s="44">
        <f>5183821-3762248-391786</f>
        <v>1029787</v>
      </c>
      <c r="W224" s="44">
        <v>391786</v>
      </c>
      <c r="Y224" s="44">
        <f t="shared" si="23"/>
        <v>5183821</v>
      </c>
      <c r="AB224" s="44">
        <f t="shared" si="25"/>
        <v>0</v>
      </c>
      <c r="AE224" s="44" t="s">
        <v>449</v>
      </c>
    </row>
    <row r="225" spans="1:29" ht="12.75" customHeight="1">
      <c r="A225" s="44" t="s">
        <v>159</v>
      </c>
      <c r="C225" s="47" t="s">
        <v>66</v>
      </c>
      <c r="E225" s="143">
        <f t="shared" si="21"/>
        <v>5010998</v>
      </c>
      <c r="G225" s="44">
        <f>1275566+4553045</f>
        <v>5828611</v>
      </c>
      <c r="I225" s="44">
        <v>0</v>
      </c>
      <c r="K225" s="44">
        <v>10839609</v>
      </c>
      <c r="M225" s="44">
        <f t="shared" si="22"/>
        <v>2778705</v>
      </c>
      <c r="O225" s="44">
        <v>1284526</v>
      </c>
      <c r="Q225" s="44">
        <v>4063231</v>
      </c>
      <c r="S225" s="44">
        <v>3956614</v>
      </c>
      <c r="U225" s="44">
        <f>272739+529134+136543+589185</f>
        <v>1527601</v>
      </c>
      <c r="W225" s="44">
        <v>1292163</v>
      </c>
      <c r="Y225" s="44">
        <f t="shared" si="23"/>
        <v>6776378</v>
      </c>
      <c r="AB225" s="44">
        <f>+K225-Q225-Y225</f>
        <v>0</v>
      </c>
    </row>
    <row r="226" spans="1:29" ht="12.75" customHeight="1">
      <c r="A226" s="44" t="s">
        <v>255</v>
      </c>
      <c r="C226" s="44" t="s">
        <v>27</v>
      </c>
      <c r="E226" s="143">
        <f t="shared" si="21"/>
        <v>11505644</v>
      </c>
      <c r="G226" s="44">
        <f>212260+5691886</f>
        <v>5904146</v>
      </c>
      <c r="I226" s="44">
        <v>0</v>
      </c>
      <c r="K226" s="44">
        <v>17409790</v>
      </c>
      <c r="M226" s="44">
        <f t="shared" si="22"/>
        <v>9059077</v>
      </c>
      <c r="O226" s="44">
        <v>1881248</v>
      </c>
      <c r="Q226" s="44">
        <v>10940325</v>
      </c>
      <c r="S226" s="44">
        <v>1765963</v>
      </c>
      <c r="U226" s="44">
        <f>41572+409004</f>
        <v>450576</v>
      </c>
      <c r="W226" s="44">
        <v>4252926</v>
      </c>
      <c r="Y226" s="44">
        <f t="shared" si="23"/>
        <v>6469465</v>
      </c>
      <c r="AB226" s="44">
        <f t="shared" si="25"/>
        <v>0</v>
      </c>
    </row>
    <row r="227" spans="1:29" ht="12.75" customHeight="1">
      <c r="A227" s="44" t="s">
        <v>256</v>
      </c>
      <c r="B227" s="44"/>
      <c r="C227" s="44" t="s">
        <v>43</v>
      </c>
      <c r="D227" s="44"/>
      <c r="E227" s="143">
        <f t="shared" si="21"/>
        <v>73675854</v>
      </c>
      <c r="G227" s="44">
        <f>4454512+8316002+54698054</f>
        <v>67468568</v>
      </c>
      <c r="I227" s="44">
        <v>520927</v>
      </c>
      <c r="K227" s="44">
        <v>141665349</v>
      </c>
      <c r="M227" s="44">
        <f t="shared" si="22"/>
        <v>19328711</v>
      </c>
      <c r="O227" s="44">
        <v>41622083</v>
      </c>
      <c r="Q227" s="44">
        <v>60950794</v>
      </c>
      <c r="S227" s="44">
        <v>35574440</v>
      </c>
      <c r="U227" s="44">
        <f>80714555-35574440-37752707</f>
        <v>7387408</v>
      </c>
      <c r="W227" s="44">
        <v>37752707</v>
      </c>
      <c r="Y227" s="44">
        <f t="shared" si="23"/>
        <v>80714555</v>
      </c>
      <c r="AB227" s="44">
        <f>+K227-Q227-Y227</f>
        <v>0</v>
      </c>
    </row>
    <row r="228" spans="1:29" ht="12.75" customHeight="1">
      <c r="Y228" s="48" t="s">
        <v>484</v>
      </c>
    </row>
    <row r="229" spans="1:29" ht="12.75" customHeight="1">
      <c r="A229" s="44" t="s">
        <v>257</v>
      </c>
      <c r="C229" s="44" t="s">
        <v>258</v>
      </c>
      <c r="E229" s="162">
        <f t="shared" si="21"/>
        <v>3608794</v>
      </c>
      <c r="F229" s="46"/>
      <c r="G229" s="46">
        <f>91449+7002937</f>
        <v>7094386</v>
      </c>
      <c r="H229" s="46"/>
      <c r="I229" s="46">
        <v>0</v>
      </c>
      <c r="J229" s="46"/>
      <c r="K229" s="46">
        <v>10703180</v>
      </c>
      <c r="L229" s="46"/>
      <c r="M229" s="46">
        <f t="shared" si="22"/>
        <v>936885</v>
      </c>
      <c r="N229" s="46"/>
      <c r="O229" s="46">
        <v>5598709</v>
      </c>
      <c r="P229" s="46"/>
      <c r="Q229" s="46">
        <v>6535594</v>
      </c>
      <c r="R229" s="46"/>
      <c r="S229" s="46">
        <v>7908343</v>
      </c>
      <c r="T229" s="46"/>
      <c r="U229" s="46">
        <v>433726</v>
      </c>
      <c r="V229" s="46"/>
      <c r="W229" s="46">
        <v>-4174483</v>
      </c>
      <c r="X229" s="46"/>
      <c r="Y229" s="46">
        <f t="shared" si="23"/>
        <v>4167586</v>
      </c>
      <c r="AB229" s="44">
        <f>+K229-Q229-Y229</f>
        <v>0</v>
      </c>
    </row>
    <row r="230" spans="1:29" ht="12.75" customHeight="1">
      <c r="A230" s="44" t="s">
        <v>259</v>
      </c>
      <c r="C230" s="44" t="s">
        <v>260</v>
      </c>
      <c r="E230" s="143">
        <f t="shared" si="21"/>
        <v>7118610</v>
      </c>
      <c r="G230" s="44">
        <f>4880848+18692534</f>
        <v>23573382</v>
      </c>
      <c r="I230" s="44">
        <v>64231</v>
      </c>
      <c r="K230" s="44">
        <v>30756223</v>
      </c>
      <c r="M230" s="44">
        <f t="shared" si="22"/>
        <v>2159093</v>
      </c>
      <c r="O230" s="44">
        <v>4615218</v>
      </c>
      <c r="Q230" s="44">
        <v>6774311</v>
      </c>
      <c r="S230" s="44">
        <v>20437644</v>
      </c>
      <c r="U230" s="44">
        <f>23981912-20437644-1484705</f>
        <v>2059563</v>
      </c>
      <c r="W230" s="44">
        <v>1484705</v>
      </c>
      <c r="Y230" s="44">
        <f t="shared" si="23"/>
        <v>23981912</v>
      </c>
      <c r="AB230" s="44">
        <f t="shared" si="25"/>
        <v>0</v>
      </c>
    </row>
    <row r="231" spans="1:29" ht="12.75" customHeight="1">
      <c r="A231" s="44" t="s">
        <v>261</v>
      </c>
      <c r="C231" s="44" t="s">
        <v>66</v>
      </c>
      <c r="E231" s="143">
        <f t="shared" si="21"/>
        <v>35262405</v>
      </c>
      <c r="G231" s="44">
        <f>613761+48103126</f>
        <v>48716887</v>
      </c>
      <c r="I231" s="44">
        <v>154118</v>
      </c>
      <c r="K231" s="44">
        <v>84133410</v>
      </c>
      <c r="M231" s="44">
        <f t="shared" si="22"/>
        <v>11181742</v>
      </c>
      <c r="O231" s="44">
        <v>12518493</v>
      </c>
      <c r="Q231" s="44">
        <v>23700235</v>
      </c>
      <c r="S231" s="44">
        <v>42469073</v>
      </c>
      <c r="U231" s="44">
        <f>3350562+221672+2203904</f>
        <v>5776138</v>
      </c>
      <c r="W231" s="44">
        <v>12187964</v>
      </c>
      <c r="Y231" s="44">
        <f t="shared" si="23"/>
        <v>60433175</v>
      </c>
      <c r="AB231" s="44">
        <f t="shared" si="25"/>
        <v>0</v>
      </c>
    </row>
    <row r="232" spans="1:29" s="121" customFormat="1" ht="12.75" hidden="1" customHeight="1">
      <c r="A232" s="121" t="s">
        <v>262</v>
      </c>
      <c r="B232" s="122"/>
      <c r="C232" s="121" t="s">
        <v>132</v>
      </c>
      <c r="D232" s="122"/>
      <c r="E232" s="150">
        <f t="shared" si="21"/>
        <v>0</v>
      </c>
      <c r="G232" s="121">
        <v>0</v>
      </c>
      <c r="I232" s="121">
        <v>0</v>
      </c>
      <c r="K232" s="121">
        <v>0</v>
      </c>
      <c r="M232" s="121">
        <f t="shared" si="22"/>
        <v>0</v>
      </c>
      <c r="O232" s="121">
        <v>0</v>
      </c>
      <c r="Q232" s="121">
        <v>0</v>
      </c>
      <c r="S232" s="121">
        <v>0</v>
      </c>
      <c r="U232" s="121">
        <v>0</v>
      </c>
      <c r="W232" s="121">
        <v>0</v>
      </c>
      <c r="Y232" s="121">
        <f t="shared" si="23"/>
        <v>0</v>
      </c>
      <c r="AB232" s="121">
        <f t="shared" si="25"/>
        <v>0</v>
      </c>
      <c r="AC232" s="121" t="s">
        <v>502</v>
      </c>
    </row>
    <row r="233" spans="1:29" ht="12.75" customHeight="1">
      <c r="A233" s="44" t="s">
        <v>263</v>
      </c>
      <c r="C233" s="44" t="s">
        <v>53</v>
      </c>
      <c r="E233" s="143">
        <f t="shared" si="21"/>
        <v>27816922</v>
      </c>
      <c r="G233" s="44">
        <f>21685829+35044604</f>
        <v>56730433</v>
      </c>
      <c r="I233" s="44">
        <v>407024</v>
      </c>
      <c r="K233" s="44">
        <v>84954379</v>
      </c>
      <c r="M233" s="44">
        <f t="shared" si="22"/>
        <v>4594665</v>
      </c>
      <c r="O233" s="44">
        <v>22409705</v>
      </c>
      <c r="Q233" s="44">
        <v>27004370</v>
      </c>
      <c r="S233" s="44">
        <v>36750265</v>
      </c>
      <c r="U233" s="44">
        <f>57950009-36750265-5620962</f>
        <v>15578782</v>
      </c>
      <c r="W233" s="44">
        <v>5620962</v>
      </c>
      <c r="Y233" s="44">
        <f t="shared" si="23"/>
        <v>57950009</v>
      </c>
      <c r="AB233" s="44">
        <f t="shared" si="25"/>
        <v>0</v>
      </c>
    </row>
    <row r="234" spans="1:29" ht="12.75" customHeight="1">
      <c r="A234" s="44" t="s">
        <v>264</v>
      </c>
      <c r="C234" s="44" t="s">
        <v>239</v>
      </c>
      <c r="E234" s="143">
        <f t="shared" si="21"/>
        <v>8945275</v>
      </c>
      <c r="G234" s="44">
        <f>3507635+18681536</f>
        <v>22189171</v>
      </c>
      <c r="I234" s="44">
        <v>0</v>
      </c>
      <c r="K234" s="44">
        <v>31134446</v>
      </c>
      <c r="M234" s="44">
        <f t="shared" si="22"/>
        <v>1417662</v>
      </c>
      <c r="O234" s="44">
        <v>1096004</v>
      </c>
      <c r="Q234" s="44">
        <v>2513666</v>
      </c>
      <c r="S234" s="44">
        <v>21307484</v>
      </c>
      <c r="U234" s="44">
        <f>461278+2630138+1433040</f>
        <v>4524456</v>
      </c>
      <c r="W234" s="44">
        <v>2788840</v>
      </c>
      <c r="Y234" s="44">
        <f t="shared" si="23"/>
        <v>28620780</v>
      </c>
      <c r="AB234" s="44">
        <f>+K234-Q234-Y234</f>
        <v>0</v>
      </c>
    </row>
    <row r="235" spans="1:29" ht="12.75" customHeight="1">
      <c r="A235" s="44" t="s">
        <v>111</v>
      </c>
      <c r="C235" s="44" t="s">
        <v>80</v>
      </c>
      <c r="E235" s="143">
        <f t="shared" si="21"/>
        <v>27641038</v>
      </c>
      <c r="G235" s="44">
        <v>44191686</v>
      </c>
      <c r="I235" s="44">
        <v>42080</v>
      </c>
      <c r="K235" s="44">
        <v>71874804</v>
      </c>
      <c r="M235" s="44">
        <f t="shared" si="22"/>
        <v>9438525</v>
      </c>
      <c r="O235" s="44">
        <v>11093438</v>
      </c>
      <c r="Q235" s="44">
        <v>20531963</v>
      </c>
      <c r="S235" s="44">
        <v>41287935</v>
      </c>
      <c r="U235" s="44">
        <f>51342841-41287935+4588636</f>
        <v>14643542</v>
      </c>
      <c r="W235" s="44">
        <v>-4588636</v>
      </c>
      <c r="Y235" s="44">
        <f t="shared" si="23"/>
        <v>51342841</v>
      </c>
      <c r="AB235" s="44">
        <f t="shared" si="25"/>
        <v>0</v>
      </c>
    </row>
    <row r="236" spans="1:29" ht="12.75" customHeight="1">
      <c r="A236" s="44" t="s">
        <v>265</v>
      </c>
      <c r="C236" s="44" t="s">
        <v>27</v>
      </c>
      <c r="E236" s="143">
        <f t="shared" si="21"/>
        <v>11263195</v>
      </c>
      <c r="G236" s="44">
        <f>4176647+10547534</f>
        <v>14724181</v>
      </c>
      <c r="I236" s="44">
        <v>22600</v>
      </c>
      <c r="K236" s="44">
        <v>26009976</v>
      </c>
      <c r="M236" s="44">
        <f t="shared" si="22"/>
        <v>10091409</v>
      </c>
      <c r="O236" s="44">
        <v>14801490</v>
      </c>
      <c r="Q236" s="44">
        <v>24892899</v>
      </c>
      <c r="S236" s="44">
        <v>-1790978</v>
      </c>
      <c r="U236" s="44">
        <f>1117077-799973+1790978</f>
        <v>2108082</v>
      </c>
      <c r="W236" s="44">
        <v>799973</v>
      </c>
      <c r="Y236" s="44">
        <f t="shared" si="23"/>
        <v>1117077</v>
      </c>
      <c r="AB236" s="44">
        <f t="shared" si="25"/>
        <v>0</v>
      </c>
    </row>
    <row r="237" spans="1:29" ht="12.75" customHeight="1">
      <c r="A237" s="44" t="s">
        <v>40</v>
      </c>
      <c r="C237" s="44" t="s">
        <v>451</v>
      </c>
      <c r="E237" s="143">
        <f t="shared" si="21"/>
        <v>8607356</v>
      </c>
      <c r="G237" s="44">
        <f>1078475+24328534</f>
        <v>25407009</v>
      </c>
      <c r="I237" s="44">
        <v>196911</v>
      </c>
      <c r="K237" s="44">
        <v>34211276</v>
      </c>
      <c r="M237" s="44">
        <f t="shared" si="22"/>
        <v>5806422</v>
      </c>
      <c r="O237" s="44">
        <v>13222272</v>
      </c>
      <c r="Q237" s="44">
        <v>19028694</v>
      </c>
      <c r="S237" s="44">
        <v>10989850</v>
      </c>
      <c r="U237" s="44">
        <f>2017848+895840+73648+41303</f>
        <v>3028639</v>
      </c>
      <c r="W237" s="44">
        <v>1164093</v>
      </c>
      <c r="Y237" s="44">
        <f t="shared" si="23"/>
        <v>15182582</v>
      </c>
      <c r="AB237" s="44">
        <f t="shared" si="25"/>
        <v>0</v>
      </c>
    </row>
    <row r="238" spans="1:29" ht="12.75" customHeight="1">
      <c r="A238" s="44" t="s">
        <v>266</v>
      </c>
      <c r="C238" s="44" t="s">
        <v>267</v>
      </c>
      <c r="E238" s="143">
        <f t="shared" si="21"/>
        <v>4980386</v>
      </c>
      <c r="G238" s="44">
        <f>897120+12329268</f>
        <v>13226388</v>
      </c>
      <c r="I238" s="44">
        <v>0</v>
      </c>
      <c r="K238" s="44">
        <v>18206774</v>
      </c>
      <c r="M238" s="44">
        <f t="shared" si="22"/>
        <v>3668948</v>
      </c>
      <c r="O238" s="44">
        <v>231935</v>
      </c>
      <c r="Q238" s="44">
        <v>3900883</v>
      </c>
      <c r="S238" s="44">
        <v>10156388</v>
      </c>
      <c r="U238" s="44">
        <f>2355608+1457537</f>
        <v>3813145</v>
      </c>
      <c r="W238" s="44">
        <v>336358</v>
      </c>
      <c r="Y238" s="44">
        <f t="shared" si="23"/>
        <v>14305891</v>
      </c>
      <c r="AB238" s="44">
        <f t="shared" si="25"/>
        <v>0</v>
      </c>
    </row>
    <row r="239" spans="1:29" ht="12.75" customHeight="1">
      <c r="A239" s="44" t="s">
        <v>268</v>
      </c>
      <c r="C239" s="44" t="s">
        <v>269</v>
      </c>
      <c r="E239" s="143">
        <f t="shared" si="21"/>
        <v>3149311</v>
      </c>
      <c r="G239" s="44">
        <f>239268+3683144</f>
        <v>3922412</v>
      </c>
      <c r="I239" s="44">
        <v>0</v>
      </c>
      <c r="K239" s="44">
        <v>7071723</v>
      </c>
      <c r="M239" s="44">
        <f t="shared" si="22"/>
        <v>1407793</v>
      </c>
      <c r="O239" s="44">
        <v>206166</v>
      </c>
      <c r="Q239" s="44">
        <v>1613959</v>
      </c>
      <c r="S239" s="44">
        <v>3204171</v>
      </c>
      <c r="U239" s="44">
        <f>183443+283095+128729+58044+184126</f>
        <v>837437</v>
      </c>
      <c r="W239" s="44">
        <v>1416156</v>
      </c>
      <c r="Y239" s="44">
        <f t="shared" si="23"/>
        <v>5457764</v>
      </c>
      <c r="AB239" s="44">
        <f t="shared" si="25"/>
        <v>0</v>
      </c>
    </row>
    <row r="240" spans="1:29" ht="12.75" customHeight="1">
      <c r="A240" s="44" t="s">
        <v>270</v>
      </c>
      <c r="C240" s="44" t="s">
        <v>136</v>
      </c>
      <c r="E240" s="143">
        <f t="shared" si="21"/>
        <v>4485725</v>
      </c>
      <c r="G240" s="44">
        <f>232417+1732294</f>
        <v>1964711</v>
      </c>
      <c r="I240" s="44">
        <v>0</v>
      </c>
      <c r="K240" s="44">
        <v>6450436</v>
      </c>
      <c r="M240" s="44">
        <f t="shared" si="22"/>
        <v>1285864</v>
      </c>
      <c r="O240" s="44">
        <v>270641</v>
      </c>
      <c r="Q240" s="44">
        <v>1556505</v>
      </c>
      <c r="S240" s="44">
        <v>1667899</v>
      </c>
      <c r="U240" s="44">
        <f>4893931-1667899+818656</f>
        <v>4044688</v>
      </c>
      <c r="W240" s="44">
        <v>-818656</v>
      </c>
      <c r="Y240" s="44">
        <f t="shared" si="23"/>
        <v>4893931</v>
      </c>
      <c r="AB240" s="44">
        <f>+K240-Q240-Y240</f>
        <v>0</v>
      </c>
    </row>
    <row r="241" spans="1:29" ht="12.75" customHeight="1">
      <c r="A241" s="44" t="s">
        <v>271</v>
      </c>
      <c r="C241" s="44" t="s">
        <v>66</v>
      </c>
      <c r="E241" s="143">
        <f t="shared" si="21"/>
        <v>7083266</v>
      </c>
      <c r="G241" s="44">
        <f>4100557+16141781</f>
        <v>20242338</v>
      </c>
      <c r="I241" s="44">
        <v>0</v>
      </c>
      <c r="K241" s="44">
        <v>27325604</v>
      </c>
      <c r="M241" s="44">
        <f t="shared" si="22"/>
        <v>3043885</v>
      </c>
      <c r="O241" s="44">
        <v>3692176</v>
      </c>
      <c r="Q241" s="44">
        <v>6736061</v>
      </c>
      <c r="S241" s="44">
        <v>16626427</v>
      </c>
      <c r="U241" s="44">
        <f>50744+614032+257933</f>
        <v>922709</v>
      </c>
      <c r="W241" s="44">
        <v>3040407</v>
      </c>
      <c r="Y241" s="44">
        <f t="shared" si="23"/>
        <v>20589543</v>
      </c>
      <c r="AB241" s="44">
        <f t="shared" si="25"/>
        <v>0</v>
      </c>
    </row>
    <row r="242" spans="1:29" ht="12.75" customHeight="1">
      <c r="A242" s="44" t="s">
        <v>272</v>
      </c>
      <c r="C242" s="44" t="s">
        <v>43</v>
      </c>
      <c r="E242" s="143">
        <f t="shared" si="21"/>
        <v>75537005</v>
      </c>
      <c r="G242" s="44">
        <f>145486771+66979187</f>
        <v>212465958</v>
      </c>
      <c r="I242" s="44">
        <v>825822</v>
      </c>
      <c r="K242" s="44">
        <v>288828785</v>
      </c>
      <c r="M242" s="44">
        <f t="shared" si="22"/>
        <v>23768257</v>
      </c>
      <c r="O242" s="44">
        <v>28360942</v>
      </c>
      <c r="Q242" s="44">
        <v>52129199</v>
      </c>
      <c r="S242" s="44">
        <v>186535540</v>
      </c>
      <c r="U242" s="44">
        <f>236699586-186535540-27317339</f>
        <v>22846707</v>
      </c>
      <c r="W242" s="44">
        <v>27317339</v>
      </c>
      <c r="Y242" s="44">
        <f t="shared" si="23"/>
        <v>236699586</v>
      </c>
      <c r="AB242" s="44">
        <f t="shared" si="25"/>
        <v>0</v>
      </c>
    </row>
    <row r="243" spans="1:29" ht="12.75" customHeight="1">
      <c r="A243" s="44" t="s">
        <v>273</v>
      </c>
      <c r="C243" s="44" t="s">
        <v>27</v>
      </c>
      <c r="E243" s="143">
        <f t="shared" si="21"/>
        <v>87795070</v>
      </c>
      <c r="G243" s="44">
        <f>28785519+112959083</f>
        <v>141744602</v>
      </c>
      <c r="I243" s="44">
        <v>469088</v>
      </c>
      <c r="K243" s="44">
        <v>230008760</v>
      </c>
      <c r="M243" s="44">
        <f t="shared" si="22"/>
        <v>15973850</v>
      </c>
      <c r="O243" s="44">
        <v>28983120</v>
      </c>
      <c r="Q243" s="44">
        <v>44956970</v>
      </c>
      <c r="S243" s="44">
        <v>118410063</v>
      </c>
      <c r="U243" s="44">
        <f>185051790-118410063-23964324</f>
        <v>42677403</v>
      </c>
      <c r="W243" s="44">
        <v>23964324</v>
      </c>
      <c r="Y243" s="44">
        <f t="shared" si="23"/>
        <v>185051790</v>
      </c>
      <c r="AB243" s="44">
        <f t="shared" si="25"/>
        <v>0</v>
      </c>
    </row>
    <row r="244" spans="1:29" ht="12.75" customHeight="1">
      <c r="A244" s="44" t="s">
        <v>274</v>
      </c>
      <c r="C244" s="44" t="s">
        <v>43</v>
      </c>
      <c r="E244" s="143">
        <f t="shared" si="21"/>
        <v>15417492</v>
      </c>
      <c r="G244" s="44">
        <f>1936482+231989+20882777</f>
        <v>23051248</v>
      </c>
      <c r="I244" s="44">
        <v>36058</v>
      </c>
      <c r="K244" s="44">
        <v>38504798</v>
      </c>
      <c r="M244" s="44">
        <f t="shared" si="22"/>
        <v>4622294</v>
      </c>
      <c r="O244" s="44">
        <v>2335359</v>
      </c>
      <c r="Q244" s="44">
        <v>6957653</v>
      </c>
      <c r="S244" s="44">
        <v>21422059</v>
      </c>
      <c r="U244" s="44">
        <f>460585+375466+505265+590135+1923675+2969588</f>
        <v>6824714</v>
      </c>
      <c r="W244" s="44">
        <v>3300372</v>
      </c>
      <c r="Y244" s="44">
        <f t="shared" si="23"/>
        <v>31547145</v>
      </c>
      <c r="AB244" s="44">
        <f t="shared" si="25"/>
        <v>0</v>
      </c>
    </row>
    <row r="245" spans="1:29" ht="12.75" customHeight="1">
      <c r="A245" s="44" t="s">
        <v>275</v>
      </c>
      <c r="C245" s="44" t="s">
        <v>92</v>
      </c>
      <c r="E245" s="143">
        <f t="shared" si="21"/>
        <v>15147216</v>
      </c>
      <c r="G245" s="44">
        <f>19002788+69931317</f>
        <v>88934105</v>
      </c>
      <c r="I245" s="44">
        <v>0</v>
      </c>
      <c r="K245" s="44">
        <v>104081321</v>
      </c>
      <c r="M245" s="44">
        <f t="shared" si="22"/>
        <v>3509220</v>
      </c>
      <c r="O245" s="44">
        <v>3435340</v>
      </c>
      <c r="Q245" s="44">
        <v>6944560</v>
      </c>
      <c r="S245" s="44">
        <v>86828997</v>
      </c>
      <c r="U245" s="44">
        <f>2476623+137465+950886</f>
        <v>3564974</v>
      </c>
      <c r="W245" s="44">
        <v>6742790</v>
      </c>
      <c r="Y245" s="44">
        <f t="shared" si="23"/>
        <v>97136761</v>
      </c>
      <c r="AB245" s="44">
        <f t="shared" si="25"/>
        <v>0</v>
      </c>
    </row>
    <row r="246" spans="1:29" ht="12.75" customHeight="1">
      <c r="A246" s="44" t="s">
        <v>276</v>
      </c>
      <c r="C246" s="44" t="s">
        <v>38</v>
      </c>
      <c r="E246" s="143">
        <f t="shared" si="21"/>
        <v>7837235</v>
      </c>
      <c r="G246" s="44">
        <f>1458892+8254247</f>
        <v>9713139</v>
      </c>
      <c r="I246" s="44">
        <v>0</v>
      </c>
      <c r="K246" s="44">
        <v>17550374</v>
      </c>
      <c r="M246" s="44">
        <f t="shared" si="22"/>
        <v>1534938</v>
      </c>
      <c r="O246" s="44">
        <v>1159208</v>
      </c>
      <c r="Q246" s="44">
        <v>2694146</v>
      </c>
      <c r="S246" s="44">
        <v>7987159</v>
      </c>
      <c r="U246" s="44">
        <f>14856228-7987159-2384415</f>
        <v>4484654</v>
      </c>
      <c r="W246" s="44">
        <v>2384415</v>
      </c>
      <c r="Y246" s="44">
        <f t="shared" si="23"/>
        <v>14856228</v>
      </c>
      <c r="AB246" s="44">
        <f t="shared" si="25"/>
        <v>0</v>
      </c>
    </row>
    <row r="247" spans="1:29" ht="12.75" customHeight="1">
      <c r="A247" s="44" t="s">
        <v>277</v>
      </c>
      <c r="C247" s="44" t="s">
        <v>92</v>
      </c>
      <c r="E247" s="143">
        <f t="shared" si="21"/>
        <v>31557566</v>
      </c>
      <c r="G247" s="44">
        <f>12428889+55624895</f>
        <v>68053784</v>
      </c>
      <c r="I247" s="44">
        <v>108944</v>
      </c>
      <c r="K247" s="44">
        <v>99720294</v>
      </c>
      <c r="M247" s="44">
        <f t="shared" si="22"/>
        <v>17809784</v>
      </c>
      <c r="O247" s="44">
        <v>14840997</v>
      </c>
      <c r="Q247" s="44">
        <v>32650781</v>
      </c>
      <c r="S247" s="44">
        <v>48774106</v>
      </c>
      <c r="U247" s="44">
        <f>67069513-48774106-6869305</f>
        <v>11426102</v>
      </c>
      <c r="W247" s="44">
        <v>6869305</v>
      </c>
      <c r="Y247" s="44">
        <f t="shared" si="23"/>
        <v>67069513</v>
      </c>
      <c r="AB247" s="44">
        <f t="shared" si="25"/>
        <v>0</v>
      </c>
    </row>
    <row r="248" spans="1:29" ht="12.75" customHeight="1">
      <c r="A248" s="44" t="s">
        <v>278</v>
      </c>
      <c r="C248" s="44" t="s">
        <v>92</v>
      </c>
      <c r="E248" s="143">
        <f t="shared" si="21"/>
        <v>5958113</v>
      </c>
      <c r="G248" s="44">
        <f>452604+11506798</f>
        <v>11959402</v>
      </c>
      <c r="I248" s="44">
        <v>8783</v>
      </c>
      <c r="K248" s="44">
        <v>17926298</v>
      </c>
      <c r="M248" s="44">
        <f t="shared" si="22"/>
        <v>4448557</v>
      </c>
      <c r="O248" s="44">
        <v>2507597</v>
      </c>
      <c r="Q248" s="44">
        <v>6956154</v>
      </c>
      <c r="S248" s="44">
        <v>8511555</v>
      </c>
      <c r="U248" s="44">
        <f>10970144-8511555-645887</f>
        <v>1812702</v>
      </c>
      <c r="W248" s="44">
        <v>645887</v>
      </c>
      <c r="Y248" s="44">
        <f t="shared" si="23"/>
        <v>10970144</v>
      </c>
      <c r="AB248" s="44">
        <f t="shared" si="25"/>
        <v>0</v>
      </c>
    </row>
    <row r="249" spans="1:29" ht="12.75" customHeight="1">
      <c r="A249" s="44" t="s">
        <v>279</v>
      </c>
      <c r="C249" s="44" t="s">
        <v>92</v>
      </c>
      <c r="E249" s="143">
        <f t="shared" si="21"/>
        <v>14133894</v>
      </c>
      <c r="G249" s="44">
        <f>1284986+30615520</f>
        <v>31900506</v>
      </c>
      <c r="I249" s="44">
        <v>0</v>
      </c>
      <c r="K249" s="44">
        <v>46034400</v>
      </c>
      <c r="M249" s="44">
        <f t="shared" si="22"/>
        <v>6442107</v>
      </c>
      <c r="O249" s="44">
        <v>2954077</v>
      </c>
      <c r="Q249" s="44">
        <v>9396184</v>
      </c>
      <c r="S249" s="44">
        <v>29040305</v>
      </c>
      <c r="U249" s="44">
        <f>131791+2110652</f>
        <v>2242443</v>
      </c>
      <c r="W249" s="44">
        <v>5355468</v>
      </c>
      <c r="Y249" s="44">
        <f t="shared" si="23"/>
        <v>36638216</v>
      </c>
      <c r="AB249" s="44">
        <f t="shared" si="25"/>
        <v>0</v>
      </c>
    </row>
    <row r="250" spans="1:29" ht="12.75" customHeight="1">
      <c r="A250" s="44" t="s">
        <v>280</v>
      </c>
      <c r="C250" s="44" t="s">
        <v>281</v>
      </c>
      <c r="E250" s="143">
        <f t="shared" si="21"/>
        <v>10723397</v>
      </c>
      <c r="G250" s="44">
        <f>2732802+13877892</f>
        <v>16610694</v>
      </c>
      <c r="I250" s="44">
        <v>0</v>
      </c>
      <c r="K250" s="44">
        <v>27334091</v>
      </c>
      <c r="M250" s="44">
        <f t="shared" si="22"/>
        <v>4096410</v>
      </c>
      <c r="O250" s="44">
        <v>7020093</v>
      </c>
      <c r="Q250" s="44">
        <v>11116503</v>
      </c>
      <c r="S250" s="44">
        <v>10422847</v>
      </c>
      <c r="U250" s="44">
        <f>161207+35000</f>
        <v>196207</v>
      </c>
      <c r="W250" s="44">
        <v>5598534</v>
      </c>
      <c r="Y250" s="44">
        <f t="shared" si="23"/>
        <v>16217588</v>
      </c>
      <c r="AB250" s="44">
        <f t="shared" si="25"/>
        <v>0</v>
      </c>
    </row>
    <row r="251" spans="1:29" ht="12.75" customHeight="1">
      <c r="A251" s="44" t="s">
        <v>282</v>
      </c>
      <c r="C251" s="44" t="s">
        <v>199</v>
      </c>
      <c r="E251" s="143">
        <f t="shared" si="21"/>
        <v>24405691</v>
      </c>
      <c r="G251" s="44">
        <v>49478223</v>
      </c>
      <c r="I251" s="44">
        <v>0</v>
      </c>
      <c r="K251" s="44">
        <v>73883914</v>
      </c>
      <c r="M251" s="44">
        <f t="shared" si="22"/>
        <v>7194354</v>
      </c>
      <c r="O251" s="44">
        <v>5703637</v>
      </c>
      <c r="Q251" s="44">
        <v>12897991</v>
      </c>
      <c r="S251" s="44">
        <v>42252482</v>
      </c>
      <c r="U251" s="44">
        <f>1865657+3112132+1657918+2714244</f>
        <v>9349951</v>
      </c>
      <c r="W251" s="44">
        <v>9383490</v>
      </c>
      <c r="Y251" s="44">
        <f t="shared" si="23"/>
        <v>60985923</v>
      </c>
      <c r="AB251" s="44">
        <f t="shared" si="25"/>
        <v>0</v>
      </c>
    </row>
    <row r="252" spans="1:29" ht="12.75" customHeight="1">
      <c r="A252" s="44" t="s">
        <v>283</v>
      </c>
      <c r="C252" s="44" t="s">
        <v>43</v>
      </c>
      <c r="E252" s="143">
        <f t="shared" si="21"/>
        <v>19796427</v>
      </c>
      <c r="G252" s="44">
        <f>6719818+31874512</f>
        <v>38594330</v>
      </c>
      <c r="I252" s="44">
        <v>0</v>
      </c>
      <c r="K252" s="44">
        <v>58390757</v>
      </c>
      <c r="M252" s="44">
        <f t="shared" si="22"/>
        <v>5163313</v>
      </c>
      <c r="O252" s="44">
        <v>8177280</v>
      </c>
      <c r="Q252" s="44">
        <v>13340593</v>
      </c>
      <c r="S252" s="44">
        <v>31129330</v>
      </c>
      <c r="U252" s="44">
        <f>8472836+845528+1565249</f>
        <v>10883613</v>
      </c>
      <c r="W252" s="44">
        <v>3037221</v>
      </c>
      <c r="Y252" s="44">
        <f t="shared" si="23"/>
        <v>45050164</v>
      </c>
      <c r="AB252" s="44">
        <f t="shared" si="25"/>
        <v>0</v>
      </c>
    </row>
    <row r="253" spans="1:29" ht="12.75" customHeight="1">
      <c r="A253" s="44" t="s">
        <v>284</v>
      </c>
      <c r="C253" s="44" t="s">
        <v>45</v>
      </c>
      <c r="E253" s="143">
        <f t="shared" si="21"/>
        <v>11538994</v>
      </c>
      <c r="G253" s="44">
        <f>10198142+18989822</f>
        <v>29187964</v>
      </c>
      <c r="I253" s="44">
        <v>0</v>
      </c>
      <c r="K253" s="44">
        <v>40726958</v>
      </c>
      <c r="M253" s="44">
        <f t="shared" si="22"/>
        <v>4006153</v>
      </c>
      <c r="O253" s="44">
        <v>12574905</v>
      </c>
      <c r="Q253" s="44">
        <v>16581058</v>
      </c>
      <c r="S253" s="44">
        <v>18034434</v>
      </c>
      <c r="U253" s="44">
        <f>325064+67550+104426</f>
        <v>497040</v>
      </c>
      <c r="W253" s="44">
        <v>5614426</v>
      </c>
      <c r="Y253" s="44">
        <f t="shared" si="23"/>
        <v>24145900</v>
      </c>
      <c r="AB253" s="44">
        <f t="shared" si="25"/>
        <v>0</v>
      </c>
    </row>
    <row r="254" spans="1:29" ht="12.75" customHeight="1">
      <c r="A254" s="44" t="s">
        <v>285</v>
      </c>
      <c r="C254" s="44" t="s">
        <v>30</v>
      </c>
      <c r="E254" s="143">
        <f t="shared" si="21"/>
        <v>13428499</v>
      </c>
      <c r="G254" s="44">
        <f>16906271+18287015</f>
        <v>35193286</v>
      </c>
      <c r="I254" s="44">
        <v>0</v>
      </c>
      <c r="K254" s="44">
        <v>48621785</v>
      </c>
      <c r="M254" s="44">
        <f t="shared" si="22"/>
        <v>3579689</v>
      </c>
      <c r="O254" s="44">
        <v>3194867</v>
      </c>
      <c r="Q254" s="44">
        <v>6774556</v>
      </c>
      <c r="S254" s="44">
        <v>33054119</v>
      </c>
      <c r="U254" s="44">
        <f>1959787+37624+263695+2897201+939753+2905</f>
        <v>6100965</v>
      </c>
      <c r="W254" s="44">
        <v>2692145</v>
      </c>
      <c r="Y254" s="44">
        <f t="shared" si="23"/>
        <v>41847229</v>
      </c>
      <c r="AB254" s="44">
        <f t="shared" si="25"/>
        <v>0</v>
      </c>
    </row>
    <row r="255" spans="1:29" s="121" customFormat="1" ht="12.75" hidden="1" customHeight="1">
      <c r="A255" s="121" t="s">
        <v>286</v>
      </c>
      <c r="B255" s="122"/>
      <c r="C255" s="121" t="s">
        <v>61</v>
      </c>
      <c r="D255" s="122"/>
      <c r="E255" s="150">
        <f t="shared" si="21"/>
        <v>0</v>
      </c>
      <c r="G255" s="121">
        <v>0</v>
      </c>
      <c r="I255" s="121">
        <v>0</v>
      </c>
      <c r="K255" s="121">
        <v>0</v>
      </c>
      <c r="M255" s="121">
        <f t="shared" si="22"/>
        <v>0</v>
      </c>
      <c r="O255" s="121">
        <v>0</v>
      </c>
      <c r="Q255" s="121">
        <v>0</v>
      </c>
      <c r="S255" s="121">
        <v>0</v>
      </c>
      <c r="U255" s="121">
        <v>0</v>
      </c>
      <c r="W255" s="121">
        <v>0</v>
      </c>
      <c r="Y255" s="121">
        <f t="shared" si="23"/>
        <v>0</v>
      </c>
      <c r="AB255" s="121">
        <f t="shared" si="25"/>
        <v>0</v>
      </c>
      <c r="AC255" s="121" t="s">
        <v>507</v>
      </c>
    </row>
    <row r="256" spans="1:29" ht="12.75" customHeight="1">
      <c r="A256" s="44" t="s">
        <v>287</v>
      </c>
      <c r="C256" s="44" t="s">
        <v>288</v>
      </c>
      <c r="E256" s="143">
        <f t="shared" si="21"/>
        <v>14914350</v>
      </c>
      <c r="G256" s="44">
        <f>3766435+14673007</f>
        <v>18439442</v>
      </c>
      <c r="I256" s="44">
        <v>67420</v>
      </c>
      <c r="K256" s="44">
        <v>33421212</v>
      </c>
      <c r="M256" s="44">
        <f t="shared" si="22"/>
        <v>4687280</v>
      </c>
      <c r="O256" s="44">
        <v>6691594</v>
      </c>
      <c r="Q256" s="44">
        <v>11378874</v>
      </c>
      <c r="S256" s="44">
        <v>11809311</v>
      </c>
      <c r="U256" s="44">
        <f>864712+1652913+713493+328559+334190+1136732</f>
        <v>5030599</v>
      </c>
      <c r="W256" s="44">
        <v>5202428</v>
      </c>
      <c r="Y256" s="44">
        <f t="shared" si="23"/>
        <v>22042338</v>
      </c>
      <c r="AB256" s="44">
        <f t="shared" si="25"/>
        <v>0</v>
      </c>
    </row>
  </sheetData>
  <mergeCells count="3">
    <mergeCell ref="S6:W6"/>
    <mergeCell ref="M6:O6"/>
    <mergeCell ref="E6:I6"/>
  </mergeCells>
  <phoneticPr fontId="4" type="noConversion"/>
  <printOptions horizontalCentered="1"/>
  <pageMargins left="0.75" right="0.75" top="0.5" bottom="0.5" header="0" footer="0.25"/>
  <pageSetup scale="95" firstPageNumber="4" pageOrder="overThenDown" orientation="portrait" useFirstPageNumber="1" r:id="rId1"/>
  <headerFooter alignWithMargins="0">
    <oddFooter>&amp;C&amp;"Times New Roman,Regular"&amp;11&amp;P</oddFooter>
  </headerFooter>
  <rowBreaks count="3" manualBreakCount="3">
    <brk id="64" max="24" man="1"/>
    <brk id="120" max="24" man="1"/>
    <brk id="173" max="24" man="1"/>
  </rowBreaks>
  <colBreaks count="1" manualBreakCount="1">
    <brk id="12" min="9" max="25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HU344"/>
  <sheetViews>
    <sheetView view="pageBreakPreview" zoomScale="90" zoomScaleNormal="100" zoomScaleSheetLayoutView="90" workbookViewId="0">
      <pane xSplit="3" ySplit="10" topLeftCell="AQ201" activePane="bottomRight" state="frozen"/>
      <selection pane="topRight" activeCell="D1" sqref="D1"/>
      <selection pane="bottomLeft" activeCell="A11" sqref="A11"/>
      <selection pane="bottomRight" activeCell="BB7" sqref="BB7"/>
    </sheetView>
  </sheetViews>
  <sheetFormatPr defaultColWidth="0" defaultRowHeight="12.75" customHeight="1"/>
  <cols>
    <col min="1" max="1" width="13.7109375" style="5" customWidth="1"/>
    <col min="2" max="2" width="2.140625" customWidth="1"/>
    <col min="3" max="3" width="10.140625" style="5" customWidth="1"/>
    <col min="4" max="4" width="1.85546875" style="2" customWidth="1"/>
    <col min="5" max="5" width="11.7109375" style="5" customWidth="1"/>
    <col min="6" max="6" width="2" style="5" customWidth="1"/>
    <col min="7" max="7" width="11.7109375" style="5" customWidth="1"/>
    <col min="8" max="8" width="2" style="5" customWidth="1"/>
    <col min="9" max="9" width="11.7109375" style="5" customWidth="1"/>
    <col min="10" max="10" width="2" style="5" customWidth="1"/>
    <col min="11" max="11" width="11.7109375" style="5" customWidth="1"/>
    <col min="12" max="12" width="2" style="5" customWidth="1"/>
    <col min="13" max="13" width="11.7109375" style="5" customWidth="1"/>
    <col min="14" max="14" width="2.140625" style="5" customWidth="1"/>
    <col min="15" max="15" width="11.7109375" style="5" customWidth="1"/>
    <col min="16" max="16" width="2.7109375" style="5" customWidth="1"/>
    <col min="17" max="17" width="11.7109375" style="5" customWidth="1"/>
    <col min="18" max="18" width="1.7109375" style="5" customWidth="1"/>
    <col min="19" max="19" width="11.7109375" style="5" customWidth="1"/>
    <col min="20" max="20" width="1.7109375" style="5" customWidth="1"/>
    <col min="21" max="21" width="11.7109375" style="5" customWidth="1"/>
    <col min="22" max="22" width="1.7109375" style="5" customWidth="1"/>
    <col min="23" max="23" width="11.7109375" style="5" customWidth="1"/>
    <col min="24" max="24" width="1.7109375" customWidth="1"/>
    <col min="25" max="25" width="25" customWidth="1"/>
    <col min="26" max="26" width="12.28515625" style="5" customWidth="1"/>
    <col min="27" max="27" width="1.7109375" style="10" customWidth="1"/>
    <col min="28" max="28" width="10.28515625" style="5" customWidth="1"/>
    <col min="29" max="29" width="1.7109375" customWidth="1"/>
    <col min="30" max="30" width="11.7109375" style="5" customWidth="1"/>
    <col min="31" max="31" width="1.7109375" style="5" customWidth="1"/>
    <col min="32" max="32" width="11.7109375" style="5" customWidth="1"/>
    <col min="33" max="33" width="1.7109375" style="5" customWidth="1"/>
    <col min="34" max="34" width="11.7109375" style="5" customWidth="1"/>
    <col min="35" max="35" width="1.7109375" style="5" customWidth="1"/>
    <col min="36" max="36" width="11.7109375" style="5" customWidth="1"/>
    <col min="37" max="37" width="1.7109375" style="5" customWidth="1"/>
    <col min="38" max="38" width="11.7109375" style="5" customWidth="1"/>
    <col min="39" max="39" width="2.7109375" style="5" customWidth="1"/>
    <col min="40" max="40" width="11.42578125" customWidth="1"/>
    <col min="41" max="41" width="1.7109375" customWidth="1"/>
    <col min="42" max="42" width="11.28515625" customWidth="1"/>
    <col min="43" max="43" width="1.7109375" customWidth="1"/>
    <col min="44" max="44" width="10.140625" customWidth="1"/>
    <col min="45" max="45" width="1.7109375" customWidth="1"/>
    <col min="46" max="46" width="10.5703125" customWidth="1"/>
    <col min="47" max="47" width="1.7109375" customWidth="1"/>
    <col min="48" max="48" width="10.28515625" hidden="1" customWidth="1"/>
    <col min="49" max="49" width="1.7109375" hidden="1" customWidth="1"/>
    <col min="50" max="50" width="9.7109375" hidden="1" customWidth="1"/>
    <col min="51" max="51" width="1.7109375" hidden="1" customWidth="1"/>
    <col min="52" max="52" width="11.7109375" style="57" customWidth="1"/>
    <col min="53" max="53" width="18.28515625" customWidth="1"/>
    <col min="54" max="54" width="11.7109375" style="55" customWidth="1"/>
    <col min="55" max="55" width="1.42578125" style="55" customWidth="1"/>
    <col min="56" max="56" width="10" style="55" customWidth="1"/>
    <col min="57" max="57" width="1.42578125" style="55" customWidth="1"/>
    <col min="58" max="58" width="11.28515625" style="55" customWidth="1"/>
    <col min="59" max="59" width="1.42578125" style="55" customWidth="1"/>
    <col min="60" max="60" width="11.28515625" style="55" customWidth="1"/>
    <col min="61" max="61" width="1.42578125" style="55" customWidth="1"/>
    <col min="62" max="62" width="11.140625" style="55" customWidth="1"/>
    <col min="63" max="63" width="1.42578125" style="55" customWidth="1"/>
    <col min="64" max="64" width="11.28515625" style="55" customWidth="1"/>
    <col min="65" max="65" width="1.42578125" style="55" customWidth="1"/>
    <col min="66" max="66" width="11.140625" style="55" customWidth="1"/>
    <col min="67" max="67" width="1.7109375" style="36" customWidth="1"/>
    <col min="68" max="68" width="11.7109375" style="36" customWidth="1"/>
    <col min="69" max="69" width="1.7109375" style="36" customWidth="1"/>
    <col min="70" max="72" width="8.42578125" style="36" customWidth="1"/>
    <col min="73" max="73" width="8.42578125" style="83" customWidth="1"/>
    <col min="74" max="95" width="8.42578125" style="36" customWidth="1"/>
    <col min="96" max="228" width="8.42578125" style="5" hidden="1" customWidth="1"/>
    <col min="229" max="16384" width="8.42578125" style="61" hidden="1"/>
  </cols>
  <sheetData>
    <row r="1" spans="1:229" s="22" customFormat="1" ht="12.75" customHeight="1">
      <c r="A1" s="29" t="s">
        <v>391</v>
      </c>
      <c r="D1" s="2"/>
      <c r="Z1" s="29" t="s">
        <v>391</v>
      </c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/>
      <c r="BB1" s="74" t="s">
        <v>494</v>
      </c>
      <c r="BC1" s="75"/>
      <c r="BD1" s="75"/>
      <c r="BE1" s="35"/>
      <c r="BF1" s="35"/>
      <c r="BG1" s="35"/>
      <c r="BH1" s="35"/>
      <c r="BI1" s="35"/>
      <c r="BJ1" s="35"/>
      <c r="BK1" s="35"/>
      <c r="BL1" s="35"/>
      <c r="BM1" s="35"/>
      <c r="BN1" s="75"/>
      <c r="BO1" s="33"/>
      <c r="BS1" s="39"/>
      <c r="BT1" s="39"/>
      <c r="BU1" s="82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HU1" s="62"/>
    </row>
    <row r="2" spans="1:229" s="22" customFormat="1" ht="12.75" customHeight="1">
      <c r="A2" s="23" t="s">
        <v>472</v>
      </c>
      <c r="D2" s="2"/>
      <c r="Z2" s="23" t="s">
        <v>473</v>
      </c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/>
      <c r="BB2" s="76" t="s">
        <v>348</v>
      </c>
      <c r="BC2" s="75"/>
      <c r="BD2" s="75"/>
      <c r="BE2" s="35"/>
      <c r="BF2" s="35"/>
      <c r="BG2" s="35"/>
      <c r="BH2" s="35"/>
      <c r="BI2" s="35"/>
      <c r="BJ2" s="35"/>
      <c r="BK2" s="35"/>
      <c r="BL2" s="35"/>
      <c r="BM2" s="35"/>
      <c r="BN2" s="75"/>
      <c r="BO2" s="33"/>
      <c r="BS2" s="39"/>
      <c r="BT2" s="39"/>
      <c r="BU2" s="82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HU2" s="62"/>
    </row>
    <row r="3" spans="1:229" s="22" customFormat="1" ht="12.75" customHeight="1">
      <c r="A3" s="29" t="s">
        <v>499</v>
      </c>
      <c r="D3" s="2"/>
      <c r="Z3" s="29" t="s">
        <v>500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/>
      <c r="BB3" s="74" t="s">
        <v>499</v>
      </c>
      <c r="BC3" s="75"/>
      <c r="BD3" s="75"/>
      <c r="BE3" s="35"/>
      <c r="BF3" s="35"/>
      <c r="BG3" s="35"/>
      <c r="BH3" s="35"/>
      <c r="BI3" s="35"/>
      <c r="BJ3" s="35"/>
      <c r="BK3" s="35"/>
      <c r="BL3" s="35"/>
      <c r="BM3" s="35"/>
      <c r="BN3" s="75"/>
      <c r="BO3" s="33"/>
      <c r="BS3" s="36"/>
      <c r="BT3" s="36"/>
      <c r="BU3" s="83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HU3" s="62"/>
    </row>
    <row r="4" spans="1:229" ht="12.75" customHeight="1">
      <c r="A4" s="22" t="s">
        <v>289</v>
      </c>
      <c r="Z4" s="22" t="s">
        <v>289</v>
      </c>
      <c r="AA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B4" s="75" t="s">
        <v>289</v>
      </c>
      <c r="BC4" s="47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3"/>
      <c r="BP4" s="5"/>
      <c r="BQ4" s="5"/>
      <c r="BR4" s="5"/>
    </row>
    <row r="5" spans="1:229" ht="12.75" hidden="1" customHeight="1"/>
    <row r="6" spans="1:229" ht="12.75" hidden="1" customHeight="1">
      <c r="A6" s="22"/>
      <c r="V6" s="67"/>
      <c r="W6" s="67"/>
      <c r="Z6" s="22"/>
      <c r="AA6" s="5"/>
      <c r="AN6" s="5"/>
      <c r="AO6" s="5"/>
      <c r="AP6" s="5"/>
      <c r="AQ6" s="5"/>
      <c r="AR6" s="5"/>
      <c r="AS6" s="5"/>
      <c r="AT6" s="5"/>
      <c r="AU6" s="5"/>
      <c r="AV6" s="61"/>
      <c r="AW6" s="61"/>
      <c r="AX6" s="61"/>
      <c r="AY6" s="5"/>
      <c r="AZ6" s="5"/>
      <c r="BB6" s="75"/>
      <c r="BC6" s="47"/>
      <c r="BD6" s="35"/>
      <c r="BE6" s="35"/>
      <c r="BF6" s="77"/>
      <c r="BG6" s="77"/>
      <c r="BH6" s="77"/>
      <c r="BI6" s="77"/>
      <c r="BJ6" s="77"/>
      <c r="BK6" s="77"/>
      <c r="BL6" s="77"/>
      <c r="BM6" s="77"/>
      <c r="BN6" s="35"/>
      <c r="BO6" s="33"/>
      <c r="BP6" s="5"/>
      <c r="BQ6" s="5"/>
      <c r="BR6" s="5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</row>
    <row r="7" spans="1:229" ht="12.75" customHeight="1">
      <c r="A7" s="22"/>
      <c r="Q7" s="159" t="s">
        <v>2</v>
      </c>
      <c r="R7" s="159"/>
      <c r="S7" s="159"/>
      <c r="T7" s="159"/>
      <c r="U7" s="159"/>
      <c r="Z7" s="22"/>
      <c r="AT7" s="147"/>
      <c r="AV7" s="6" t="s">
        <v>411</v>
      </c>
      <c r="AW7" s="5"/>
      <c r="AX7" s="6" t="s">
        <v>412</v>
      </c>
      <c r="BB7" s="22"/>
    </row>
    <row r="8" spans="1:229" s="6" customFormat="1" ht="12.75" customHeight="1">
      <c r="D8" s="3"/>
      <c r="Q8" s="6" t="s">
        <v>7</v>
      </c>
      <c r="AV8" s="6" t="s">
        <v>349</v>
      </c>
      <c r="AX8" s="6" t="s">
        <v>349</v>
      </c>
      <c r="BA8"/>
      <c r="BB8" s="8"/>
      <c r="BC8" s="8"/>
      <c r="BD8" s="8"/>
      <c r="BE8" s="8"/>
      <c r="BF8" s="8" t="s">
        <v>296</v>
      </c>
      <c r="BG8" s="8"/>
      <c r="BH8" s="8" t="s">
        <v>350</v>
      </c>
      <c r="BI8" s="8"/>
      <c r="BJ8" s="8"/>
      <c r="BK8" s="8"/>
      <c r="BL8" s="8" t="s">
        <v>294</v>
      </c>
      <c r="BM8" s="8"/>
      <c r="BN8" s="8" t="s">
        <v>6</v>
      </c>
      <c r="BO8" s="33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HU8" s="63"/>
    </row>
    <row r="9" spans="1:229" s="6" customFormat="1" ht="12.75" customHeight="1">
      <c r="E9" s="6" t="s">
        <v>3</v>
      </c>
      <c r="G9" s="6" t="s">
        <v>351</v>
      </c>
      <c r="I9" s="6" t="s">
        <v>6</v>
      </c>
      <c r="K9" s="6" t="s">
        <v>3</v>
      </c>
      <c r="M9" s="6" t="s">
        <v>351</v>
      </c>
      <c r="O9" s="6" t="s">
        <v>6</v>
      </c>
      <c r="Q9" s="6" t="s">
        <v>4</v>
      </c>
      <c r="W9" s="8" t="s">
        <v>6</v>
      </c>
      <c r="AD9" s="6" t="s">
        <v>345</v>
      </c>
      <c r="AF9" s="6" t="s">
        <v>353</v>
      </c>
      <c r="AJ9" s="6" t="s">
        <v>345</v>
      </c>
      <c r="AL9" s="6" t="s">
        <v>354</v>
      </c>
      <c r="AR9" s="6" t="s">
        <v>4</v>
      </c>
      <c r="AT9" s="6" t="s">
        <v>368</v>
      </c>
      <c r="AV9" s="6" t="s">
        <v>413</v>
      </c>
      <c r="AX9" s="6" t="s">
        <v>413</v>
      </c>
      <c r="AZ9" s="6" t="s">
        <v>355</v>
      </c>
      <c r="BA9"/>
      <c r="BB9" s="8"/>
      <c r="BC9" s="8"/>
      <c r="BD9" s="8"/>
      <c r="BE9" s="8"/>
      <c r="BF9" s="8" t="s">
        <v>356</v>
      </c>
      <c r="BG9" s="8"/>
      <c r="BH9" s="8" t="s">
        <v>302</v>
      </c>
      <c r="BI9" s="8"/>
      <c r="BJ9" s="8"/>
      <c r="BK9" s="8"/>
      <c r="BL9" s="8" t="s">
        <v>352</v>
      </c>
      <c r="BM9" s="8"/>
      <c r="BN9" s="8" t="s">
        <v>352</v>
      </c>
      <c r="BO9" s="33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HU9" s="63"/>
    </row>
    <row r="10" spans="1:229" s="8" customFormat="1" ht="12.75" customHeight="1">
      <c r="A10" s="7" t="s">
        <v>8</v>
      </c>
      <c r="C10" s="7" t="s">
        <v>9</v>
      </c>
      <c r="E10" s="7" t="s">
        <v>0</v>
      </c>
      <c r="G10" s="7" t="s">
        <v>0</v>
      </c>
      <c r="I10" s="7" t="s">
        <v>0</v>
      </c>
      <c r="K10" s="7" t="s">
        <v>1</v>
      </c>
      <c r="M10" s="7" t="s">
        <v>1</v>
      </c>
      <c r="O10" s="7" t="s">
        <v>1</v>
      </c>
      <c r="Q10" s="7" t="s">
        <v>0</v>
      </c>
      <c r="S10" s="7" t="s">
        <v>10</v>
      </c>
      <c r="U10" s="7" t="s">
        <v>11</v>
      </c>
      <c r="W10" s="7" t="s">
        <v>2</v>
      </c>
      <c r="Z10" s="7" t="s">
        <v>8</v>
      </c>
      <c r="AB10" s="7" t="s">
        <v>9</v>
      </c>
      <c r="AD10" s="78" t="s">
        <v>302</v>
      </c>
      <c r="AE10" s="78"/>
      <c r="AF10" s="78" t="s">
        <v>357</v>
      </c>
      <c r="AH10" s="78" t="s">
        <v>357</v>
      </c>
      <c r="AJ10" s="78" t="s">
        <v>358</v>
      </c>
      <c r="AL10" s="78" t="s">
        <v>414</v>
      </c>
      <c r="AN10" s="78" t="s">
        <v>359</v>
      </c>
      <c r="AP10" s="78" t="s">
        <v>360</v>
      </c>
      <c r="AR10" s="78" t="s">
        <v>361</v>
      </c>
      <c r="AT10" s="78" t="s">
        <v>2</v>
      </c>
      <c r="AV10" s="7" t="s">
        <v>415</v>
      </c>
      <c r="AX10" s="7" t="s">
        <v>415</v>
      </c>
      <c r="AZ10" s="78" t="s">
        <v>4</v>
      </c>
      <c r="BA10" s="51"/>
      <c r="BB10" s="7" t="s">
        <v>8</v>
      </c>
      <c r="BD10" s="7" t="s">
        <v>9</v>
      </c>
      <c r="BF10" s="78" t="s">
        <v>362</v>
      </c>
      <c r="BH10" s="78" t="s">
        <v>362</v>
      </c>
      <c r="BJ10" s="78" t="s">
        <v>363</v>
      </c>
      <c r="BL10" s="78" t="s">
        <v>364</v>
      </c>
      <c r="BN10" s="7" t="s">
        <v>364</v>
      </c>
      <c r="BO10" s="54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</row>
    <row r="11" spans="1:229" s="8" customFormat="1" ht="12.75" customHeight="1">
      <c r="BA11" s="51"/>
      <c r="BO11" s="54"/>
      <c r="BS11" s="55"/>
      <c r="BT11" s="55"/>
      <c r="BU11" s="84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</row>
    <row r="12" spans="1:229" s="64" customFormat="1" ht="12.75" hidden="1" customHeight="1">
      <c r="A12" s="35" t="s">
        <v>12</v>
      </c>
      <c r="B12" s="51"/>
      <c r="C12" s="35" t="s">
        <v>13</v>
      </c>
      <c r="D12" s="44"/>
      <c r="E12" s="79">
        <f t="shared" ref="E12:E13" si="0">I12-G12</f>
        <v>0</v>
      </c>
      <c r="F12" s="79"/>
      <c r="G12" s="79">
        <v>0</v>
      </c>
      <c r="H12" s="79"/>
      <c r="I12" s="79">
        <v>0</v>
      </c>
      <c r="J12" s="79"/>
      <c r="K12" s="79">
        <f t="shared" ref="K12:K13" si="1">O12-M12</f>
        <v>0</v>
      </c>
      <c r="L12" s="79"/>
      <c r="M12" s="79">
        <v>0</v>
      </c>
      <c r="N12" s="79"/>
      <c r="O12" s="79">
        <v>0</v>
      </c>
      <c r="P12" s="79"/>
      <c r="Q12" s="79">
        <v>0</v>
      </c>
      <c r="R12" s="79"/>
      <c r="S12" s="79">
        <v>0</v>
      </c>
      <c r="T12" s="79"/>
      <c r="U12" s="79">
        <v>0</v>
      </c>
      <c r="V12" s="79"/>
      <c r="W12" s="79">
        <f t="shared" ref="W12:W79" si="2">SUM(Q12:U12)</f>
        <v>0</v>
      </c>
      <c r="Z12" s="35" t="s">
        <v>12</v>
      </c>
      <c r="AA12" s="53"/>
      <c r="AB12" s="35" t="s">
        <v>13</v>
      </c>
      <c r="AC12" s="51"/>
      <c r="AD12" s="79">
        <v>0</v>
      </c>
      <c r="AE12" s="79"/>
      <c r="AF12" s="79">
        <v>0</v>
      </c>
      <c r="AG12" s="79"/>
      <c r="AH12" s="79">
        <v>0</v>
      </c>
      <c r="AI12" s="79"/>
      <c r="AJ12" s="94">
        <f t="shared" ref="AJ12:AJ13" si="3">+AD12-AF12-AH12</f>
        <v>0</v>
      </c>
      <c r="AK12" s="94"/>
      <c r="AL12" s="94">
        <v>0</v>
      </c>
      <c r="AM12" s="94"/>
      <c r="AN12" s="79">
        <v>0</v>
      </c>
      <c r="AO12" s="79"/>
      <c r="AP12" s="79">
        <v>0</v>
      </c>
      <c r="AQ12" s="79"/>
      <c r="AR12" s="79">
        <v>0</v>
      </c>
      <c r="AS12" s="79"/>
      <c r="AT12" s="94">
        <f t="shared" ref="AT12:AT13" si="4">+AJ12+AL12+AN12-AP12+AR12</f>
        <v>0</v>
      </c>
      <c r="AU12" s="94"/>
      <c r="AV12" s="79">
        <v>0</v>
      </c>
      <c r="AW12" s="79"/>
      <c r="AX12" s="79">
        <v>0</v>
      </c>
      <c r="AY12" s="79"/>
      <c r="AZ12" s="79">
        <f>E12-K12</f>
        <v>0</v>
      </c>
      <c r="BA12" s="66"/>
      <c r="BB12" s="35" t="s">
        <v>12</v>
      </c>
      <c r="BC12" s="35"/>
      <c r="BD12" s="35" t="s">
        <v>13</v>
      </c>
      <c r="BE12" s="53"/>
      <c r="BF12" s="79">
        <v>0</v>
      </c>
      <c r="BG12" s="79"/>
      <c r="BH12" s="79">
        <v>0</v>
      </c>
      <c r="BI12" s="79"/>
      <c r="BJ12" s="79">
        <v>0</v>
      </c>
      <c r="BK12" s="79"/>
      <c r="BL12" s="79">
        <v>0</v>
      </c>
      <c r="BM12" s="79"/>
      <c r="BN12" s="79">
        <f t="shared" ref="BN12:BN79" si="5">SUM(BF12:BL12)</f>
        <v>0</v>
      </c>
      <c r="BO12" s="91"/>
      <c r="BS12" s="90"/>
      <c r="BT12" s="90"/>
      <c r="BU12" s="95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</row>
    <row r="13" spans="1:229" s="64" customFormat="1" ht="12.75" customHeight="1">
      <c r="A13" s="64" t="s">
        <v>14</v>
      </c>
      <c r="B13" s="66"/>
      <c r="C13" s="64" t="s">
        <v>15</v>
      </c>
      <c r="D13" s="46"/>
      <c r="E13" s="79">
        <f t="shared" si="0"/>
        <v>5025549</v>
      </c>
      <c r="F13" s="79"/>
      <c r="G13" s="79">
        <v>14296542</v>
      </c>
      <c r="H13" s="79"/>
      <c r="I13" s="79">
        <v>19322091</v>
      </c>
      <c r="J13" s="79"/>
      <c r="K13" s="79">
        <f t="shared" si="1"/>
        <v>1386300</v>
      </c>
      <c r="L13" s="79"/>
      <c r="M13" s="79">
        <v>10494870</v>
      </c>
      <c r="N13" s="79"/>
      <c r="O13" s="79">
        <v>11881170</v>
      </c>
      <c r="P13" s="79"/>
      <c r="Q13" s="79">
        <v>1882552</v>
      </c>
      <c r="R13" s="79"/>
      <c r="S13" s="79">
        <f>609249+591030</f>
        <v>1200279</v>
      </c>
      <c r="T13" s="79"/>
      <c r="U13" s="79">
        <v>4358090</v>
      </c>
      <c r="V13" s="79"/>
      <c r="W13" s="79">
        <f t="shared" si="2"/>
        <v>7440921</v>
      </c>
      <c r="X13" s="66"/>
      <c r="Y13" s="66"/>
      <c r="Z13" s="64" t="s">
        <v>14</v>
      </c>
      <c r="AA13" s="79"/>
      <c r="AB13" s="64" t="s">
        <v>15</v>
      </c>
      <c r="AC13" s="66"/>
      <c r="AD13" s="79">
        <v>4292333</v>
      </c>
      <c r="AE13" s="79"/>
      <c r="AF13" s="79">
        <f>3981825-584822</f>
        <v>3397003</v>
      </c>
      <c r="AG13" s="79"/>
      <c r="AH13" s="79">
        <v>584822</v>
      </c>
      <c r="AI13" s="79"/>
      <c r="AJ13" s="94">
        <f t="shared" si="3"/>
        <v>310508</v>
      </c>
      <c r="AK13" s="94"/>
      <c r="AL13" s="79">
        <v>-253794</v>
      </c>
      <c r="AM13" s="94"/>
      <c r="AN13" s="79">
        <v>0</v>
      </c>
      <c r="AO13" s="79"/>
      <c r="AP13" s="79">
        <v>0</v>
      </c>
      <c r="AQ13" s="79"/>
      <c r="AR13" s="79">
        <v>0</v>
      </c>
      <c r="AS13" s="79"/>
      <c r="AT13" s="94">
        <f t="shared" si="4"/>
        <v>56714</v>
      </c>
      <c r="AU13" s="94"/>
      <c r="AV13" s="79">
        <v>0</v>
      </c>
      <c r="AW13" s="79"/>
      <c r="AX13" s="79">
        <v>0</v>
      </c>
      <c r="AY13" s="79"/>
      <c r="AZ13" s="79">
        <f t="shared" ref="AZ13:AZ55" si="6">E13-K13</f>
        <v>3639249</v>
      </c>
      <c r="BA13" s="66"/>
      <c r="BB13" s="64" t="s">
        <v>14</v>
      </c>
      <c r="BD13" s="64" t="s">
        <v>15</v>
      </c>
      <c r="BE13" s="79"/>
      <c r="BF13" s="79">
        <v>0</v>
      </c>
      <c r="BG13" s="79"/>
      <c r="BH13" s="79">
        <f>10265234+948477</f>
        <v>11213711</v>
      </c>
      <c r="BI13" s="79"/>
      <c r="BJ13" s="79">
        <v>0</v>
      </c>
      <c r="BK13" s="79"/>
      <c r="BL13" s="79">
        <f>229636+136324</f>
        <v>365960</v>
      </c>
      <c r="BM13" s="79"/>
      <c r="BN13" s="79">
        <f t="shared" si="5"/>
        <v>11579671</v>
      </c>
      <c r="BO13" s="91"/>
      <c r="BS13" s="90"/>
      <c r="BT13" s="90"/>
      <c r="BU13" s="95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</row>
    <row r="14" spans="1:229" s="35" customFormat="1" ht="12.75" customHeight="1">
      <c r="A14" s="35" t="s">
        <v>16</v>
      </c>
      <c r="B14" s="51"/>
      <c r="C14" s="35" t="s">
        <v>17</v>
      </c>
      <c r="D14" s="44"/>
      <c r="E14" s="53">
        <f t="shared" ref="E14:E77" si="7">I14-G14</f>
        <v>1849418</v>
      </c>
      <c r="F14" s="53"/>
      <c r="G14" s="53">
        <v>4208679</v>
      </c>
      <c r="H14" s="53"/>
      <c r="I14" s="53">
        <v>6058097</v>
      </c>
      <c r="J14" s="53"/>
      <c r="K14" s="53">
        <f t="shared" ref="K14:K77" si="8">O14-M14</f>
        <v>329086</v>
      </c>
      <c r="L14" s="53"/>
      <c r="M14" s="53">
        <v>1166442</v>
      </c>
      <c r="N14" s="53"/>
      <c r="O14" s="53">
        <v>1495528</v>
      </c>
      <c r="P14" s="53"/>
      <c r="Q14" s="53">
        <v>2953679</v>
      </c>
      <c r="R14" s="53"/>
      <c r="S14" s="53">
        <v>0</v>
      </c>
      <c r="T14" s="53"/>
      <c r="U14" s="53">
        <v>1608890</v>
      </c>
      <c r="V14" s="53"/>
      <c r="W14" s="53">
        <f t="shared" si="2"/>
        <v>4562569</v>
      </c>
      <c r="X14" s="51"/>
      <c r="Y14" s="51"/>
      <c r="Z14" s="35" t="s">
        <v>16</v>
      </c>
      <c r="AA14" s="53"/>
      <c r="AB14" s="35" t="s">
        <v>17</v>
      </c>
      <c r="AC14" s="51"/>
      <c r="AD14" s="53">
        <v>2782168</v>
      </c>
      <c r="AE14" s="53"/>
      <c r="AF14" s="53">
        <f>2479134-168232</f>
        <v>2310902</v>
      </c>
      <c r="AG14" s="53"/>
      <c r="AH14" s="53">
        <v>168232</v>
      </c>
      <c r="AI14" s="53"/>
      <c r="AJ14" s="45">
        <f t="shared" ref="AJ14:AJ77" si="9">+AD14-AF14-AH14</f>
        <v>303034</v>
      </c>
      <c r="AK14" s="45"/>
      <c r="AL14" s="53">
        <v>-56588</v>
      </c>
      <c r="AM14" s="45"/>
      <c r="AN14" s="53">
        <v>0</v>
      </c>
      <c r="AO14" s="53"/>
      <c r="AP14" s="53">
        <v>0</v>
      </c>
      <c r="AQ14" s="53"/>
      <c r="AR14" s="53">
        <v>0</v>
      </c>
      <c r="AS14" s="53"/>
      <c r="AT14" s="45">
        <f t="shared" ref="AT14:AT77" si="10">+AJ14+AL14+AN14-AP14+AR14</f>
        <v>246446</v>
      </c>
      <c r="AU14" s="45"/>
      <c r="AV14" s="53">
        <v>0</v>
      </c>
      <c r="AW14" s="53"/>
      <c r="AX14" s="53">
        <v>0</v>
      </c>
      <c r="AY14" s="53"/>
      <c r="AZ14" s="53">
        <f t="shared" si="6"/>
        <v>1520332</v>
      </c>
      <c r="BA14" s="51"/>
      <c r="BB14" s="35" t="s">
        <v>16</v>
      </c>
      <c r="BD14" s="35" t="s">
        <v>17</v>
      </c>
      <c r="BE14" s="53"/>
      <c r="BF14" s="53">
        <f>1160000+95000</f>
        <v>1255000</v>
      </c>
      <c r="BG14" s="53"/>
      <c r="BH14" s="53">
        <v>0</v>
      </c>
      <c r="BI14" s="53"/>
      <c r="BJ14" s="53">
        <v>0</v>
      </c>
      <c r="BK14" s="53"/>
      <c r="BL14" s="53">
        <v>6442</v>
      </c>
      <c r="BM14" s="53"/>
      <c r="BN14" s="53">
        <f t="shared" si="5"/>
        <v>1261442</v>
      </c>
      <c r="BO14" s="54"/>
      <c r="BS14" s="55"/>
      <c r="BT14" s="55"/>
      <c r="BU14" s="84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</row>
    <row r="15" spans="1:229" s="35" customFormat="1" ht="12.75" customHeight="1">
      <c r="A15" s="35" t="s">
        <v>18</v>
      </c>
      <c r="B15" s="51"/>
      <c r="C15" s="35" t="s">
        <v>18</v>
      </c>
      <c r="D15" s="44"/>
      <c r="E15" s="53">
        <f t="shared" si="7"/>
        <v>1854358</v>
      </c>
      <c r="F15" s="53"/>
      <c r="G15" s="53">
        <v>14723258</v>
      </c>
      <c r="H15" s="53"/>
      <c r="I15" s="53">
        <v>16577616</v>
      </c>
      <c r="J15" s="53"/>
      <c r="K15" s="53">
        <f t="shared" si="8"/>
        <v>508161</v>
      </c>
      <c r="L15" s="53"/>
      <c r="M15" s="53">
        <v>5370892</v>
      </c>
      <c r="N15" s="53"/>
      <c r="O15" s="53">
        <v>5879053</v>
      </c>
      <c r="P15" s="53"/>
      <c r="Q15" s="53">
        <v>9062142</v>
      </c>
      <c r="R15" s="53"/>
      <c r="S15" s="53">
        <v>0</v>
      </c>
      <c r="T15" s="53"/>
      <c r="U15" s="53">
        <v>1636421</v>
      </c>
      <c r="V15" s="53"/>
      <c r="W15" s="53">
        <f t="shared" si="2"/>
        <v>10698563</v>
      </c>
      <c r="X15" s="51"/>
      <c r="Y15" s="51"/>
      <c r="Z15" s="35" t="s">
        <v>18</v>
      </c>
      <c r="AA15" s="53"/>
      <c r="AB15" s="35" t="s">
        <v>18</v>
      </c>
      <c r="AC15" s="51"/>
      <c r="AD15" s="53">
        <v>3544264</v>
      </c>
      <c r="AE15" s="53"/>
      <c r="AF15" s="53">
        <f>3310266-529249</f>
        <v>2781017</v>
      </c>
      <c r="AG15" s="53"/>
      <c r="AH15" s="53">
        <v>529249</v>
      </c>
      <c r="AI15" s="53"/>
      <c r="AJ15" s="45">
        <f t="shared" si="9"/>
        <v>233998</v>
      </c>
      <c r="AK15" s="45"/>
      <c r="AL15" s="53">
        <v>-170463</v>
      </c>
      <c r="AM15" s="45"/>
      <c r="AN15" s="53">
        <v>2948</v>
      </c>
      <c r="AO15" s="53"/>
      <c r="AP15" s="53">
        <v>2991</v>
      </c>
      <c r="AQ15" s="53"/>
      <c r="AR15" s="53">
        <v>66108</v>
      </c>
      <c r="AS15" s="53"/>
      <c r="AT15" s="45">
        <f t="shared" si="10"/>
        <v>129600</v>
      </c>
      <c r="AU15" s="45"/>
      <c r="AV15" s="53">
        <v>0</v>
      </c>
      <c r="AW15" s="53"/>
      <c r="AX15" s="53">
        <v>0</v>
      </c>
      <c r="AY15" s="53"/>
      <c r="AZ15" s="53">
        <f t="shared" si="6"/>
        <v>1346197</v>
      </c>
      <c r="BA15" s="51"/>
      <c r="BB15" s="35" t="s">
        <v>18</v>
      </c>
      <c r="BD15" s="35" t="s">
        <v>18</v>
      </c>
      <c r="BE15" s="53"/>
      <c r="BF15" s="53">
        <f>5212301+348000</f>
        <v>5560301</v>
      </c>
      <c r="BG15" s="53"/>
      <c r="BH15" s="53">
        <v>0</v>
      </c>
      <c r="BI15" s="53"/>
      <c r="BJ15" s="53">
        <f>94388+6428</f>
        <v>100816</v>
      </c>
      <c r="BK15" s="53"/>
      <c r="BL15" s="53">
        <v>64203</v>
      </c>
      <c r="BM15" s="53"/>
      <c r="BN15" s="53">
        <f t="shared" si="5"/>
        <v>5725320</v>
      </c>
      <c r="BO15" s="54"/>
      <c r="BS15" s="55"/>
      <c r="BT15" s="55"/>
      <c r="BU15" s="84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</row>
    <row r="16" spans="1:229" s="126" customFormat="1" ht="12.75" hidden="1" customHeight="1">
      <c r="A16" s="126" t="s">
        <v>19</v>
      </c>
      <c r="B16" s="124"/>
      <c r="C16" s="126" t="s">
        <v>19</v>
      </c>
      <c r="D16" s="121"/>
      <c r="E16" s="53">
        <f t="shared" si="7"/>
        <v>0</v>
      </c>
      <c r="F16" s="53"/>
      <c r="G16" s="53">
        <v>0</v>
      </c>
      <c r="H16" s="53"/>
      <c r="I16" s="53">
        <v>0</v>
      </c>
      <c r="J16" s="53"/>
      <c r="K16" s="53">
        <f t="shared" si="8"/>
        <v>0</v>
      </c>
      <c r="L16" s="53"/>
      <c r="M16" s="53">
        <v>0</v>
      </c>
      <c r="N16" s="53"/>
      <c r="O16" s="53">
        <v>0</v>
      </c>
      <c r="P16" s="53"/>
      <c r="Q16" s="53">
        <v>0</v>
      </c>
      <c r="R16" s="53"/>
      <c r="S16" s="53">
        <v>0</v>
      </c>
      <c r="T16" s="53"/>
      <c r="U16" s="53">
        <v>0</v>
      </c>
      <c r="V16" s="53"/>
      <c r="W16" s="137">
        <f t="shared" si="2"/>
        <v>0</v>
      </c>
      <c r="X16" s="124"/>
      <c r="Y16" s="124"/>
      <c r="Z16" s="126" t="s">
        <v>19</v>
      </c>
      <c r="AA16" s="137"/>
      <c r="AB16" s="126" t="s">
        <v>19</v>
      </c>
      <c r="AC16" s="124"/>
      <c r="AD16" s="53">
        <v>0</v>
      </c>
      <c r="AE16" s="53"/>
      <c r="AF16" s="53">
        <v>0</v>
      </c>
      <c r="AG16" s="53"/>
      <c r="AH16" s="53">
        <v>0</v>
      </c>
      <c r="AI16" s="53"/>
      <c r="AJ16" s="45">
        <f t="shared" si="9"/>
        <v>0</v>
      </c>
      <c r="AK16" s="45"/>
      <c r="AL16" s="53">
        <v>0</v>
      </c>
      <c r="AM16" s="45"/>
      <c r="AN16" s="53">
        <v>0</v>
      </c>
      <c r="AO16" s="53"/>
      <c r="AP16" s="53">
        <v>0</v>
      </c>
      <c r="AQ16" s="53"/>
      <c r="AR16" s="53">
        <v>0</v>
      </c>
      <c r="AS16" s="53"/>
      <c r="AT16" s="45">
        <f t="shared" si="10"/>
        <v>0</v>
      </c>
      <c r="AU16" s="127"/>
      <c r="AV16" s="137">
        <v>0</v>
      </c>
      <c r="AW16" s="137"/>
      <c r="AX16" s="137">
        <v>0</v>
      </c>
      <c r="AY16" s="137"/>
      <c r="AZ16" s="137">
        <f t="shared" si="6"/>
        <v>0</v>
      </c>
      <c r="BA16" s="124"/>
      <c r="BB16" s="126" t="s">
        <v>19</v>
      </c>
      <c r="BD16" s="126" t="s">
        <v>19</v>
      </c>
      <c r="BE16" s="137"/>
      <c r="BF16" s="53">
        <v>0</v>
      </c>
      <c r="BG16" s="53"/>
      <c r="BH16" s="53">
        <v>0</v>
      </c>
      <c r="BI16" s="53"/>
      <c r="BJ16" s="53">
        <v>0</v>
      </c>
      <c r="BK16" s="53"/>
      <c r="BL16" s="53">
        <v>0</v>
      </c>
      <c r="BM16" s="137"/>
      <c r="BN16" s="137">
        <f t="shared" si="5"/>
        <v>0</v>
      </c>
      <c r="BO16" s="139"/>
      <c r="BS16" s="140"/>
      <c r="BT16" s="140"/>
      <c r="BU16" s="141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</row>
    <row r="17" spans="1:95" s="35" customFormat="1" ht="12.75" customHeight="1">
      <c r="A17" s="35" t="s">
        <v>20</v>
      </c>
      <c r="B17" s="51"/>
      <c r="C17" s="35" t="s">
        <v>20</v>
      </c>
      <c r="D17" s="44"/>
      <c r="E17" s="53">
        <f t="shared" si="7"/>
        <v>1474122</v>
      </c>
      <c r="F17" s="53"/>
      <c r="G17" s="53">
        <f>36360+6777391</f>
        <v>6813751</v>
      </c>
      <c r="H17" s="53"/>
      <c r="I17" s="53">
        <v>8287873</v>
      </c>
      <c r="J17" s="53"/>
      <c r="K17" s="53">
        <f t="shared" si="8"/>
        <v>503263</v>
      </c>
      <c r="L17" s="53"/>
      <c r="M17" s="53">
        <f>52813+456000</f>
        <v>508813</v>
      </c>
      <c r="N17" s="53"/>
      <c r="O17" s="53">
        <v>1012076</v>
      </c>
      <c r="P17" s="53"/>
      <c r="Q17" s="53">
        <v>6178751</v>
      </c>
      <c r="R17" s="53"/>
      <c r="S17" s="53">
        <v>0</v>
      </c>
      <c r="T17" s="53"/>
      <c r="U17" s="53">
        <v>1097046</v>
      </c>
      <c r="V17" s="53"/>
      <c r="W17" s="53">
        <f t="shared" si="2"/>
        <v>7275797</v>
      </c>
      <c r="Z17" s="35" t="s">
        <v>20</v>
      </c>
      <c r="AA17" s="53"/>
      <c r="AB17" s="35" t="s">
        <v>20</v>
      </c>
      <c r="AC17" s="51"/>
      <c r="AD17" s="53">
        <v>3032763</v>
      </c>
      <c r="AE17" s="53"/>
      <c r="AF17" s="53">
        <f>3167704-304821</f>
        <v>2862883</v>
      </c>
      <c r="AG17" s="53"/>
      <c r="AH17" s="53">
        <v>304821</v>
      </c>
      <c r="AI17" s="53"/>
      <c r="AJ17" s="45">
        <f t="shared" si="9"/>
        <v>-134941</v>
      </c>
      <c r="AK17" s="45"/>
      <c r="AL17" s="53">
        <v>10690</v>
      </c>
      <c r="AM17" s="45"/>
      <c r="AN17" s="53">
        <v>50000</v>
      </c>
      <c r="AO17" s="53"/>
      <c r="AP17" s="53">
        <v>0</v>
      </c>
      <c r="AQ17" s="53"/>
      <c r="AR17" s="53">
        <v>0</v>
      </c>
      <c r="AS17" s="53"/>
      <c r="AT17" s="45">
        <f t="shared" si="10"/>
        <v>-74251</v>
      </c>
      <c r="AU17" s="45"/>
      <c r="AV17" s="53">
        <v>0</v>
      </c>
      <c r="AW17" s="53"/>
      <c r="AX17" s="53">
        <v>0</v>
      </c>
      <c r="AY17" s="53"/>
      <c r="AZ17" s="53">
        <f t="shared" si="6"/>
        <v>970859</v>
      </c>
      <c r="BA17" s="51"/>
      <c r="BB17" s="35" t="s">
        <v>20</v>
      </c>
      <c r="BD17" s="35" t="s">
        <v>20</v>
      </c>
      <c r="BE17" s="53"/>
      <c r="BF17" s="53">
        <v>0</v>
      </c>
      <c r="BG17" s="53"/>
      <c r="BH17" s="53">
        <v>0</v>
      </c>
      <c r="BI17" s="53"/>
      <c r="BJ17" s="53">
        <v>456000</v>
      </c>
      <c r="BK17" s="53"/>
      <c r="BL17" s="53">
        <f>52813+97703</f>
        <v>150516</v>
      </c>
      <c r="BM17" s="53"/>
      <c r="BN17" s="53">
        <f t="shared" si="5"/>
        <v>606516</v>
      </c>
      <c r="BO17" s="54"/>
      <c r="BS17" s="55"/>
      <c r="BT17" s="55"/>
      <c r="BU17" s="84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</row>
    <row r="18" spans="1:95" s="35" customFormat="1" ht="12.75" customHeight="1">
      <c r="A18" s="35" t="s">
        <v>21</v>
      </c>
      <c r="B18" s="51"/>
      <c r="C18" s="35" t="s">
        <v>22</v>
      </c>
      <c r="D18" s="44"/>
      <c r="E18" s="53">
        <f t="shared" si="7"/>
        <v>2194319</v>
      </c>
      <c r="F18" s="53"/>
      <c r="G18" s="53">
        <v>11131232</v>
      </c>
      <c r="H18" s="53"/>
      <c r="I18" s="53">
        <v>13325551</v>
      </c>
      <c r="J18" s="53"/>
      <c r="K18" s="53">
        <f t="shared" si="8"/>
        <v>768752</v>
      </c>
      <c r="L18" s="53"/>
      <c r="M18" s="53">
        <v>140478</v>
      </c>
      <c r="N18" s="53"/>
      <c r="O18" s="53">
        <v>909230</v>
      </c>
      <c r="P18" s="53"/>
      <c r="Q18" s="53">
        <v>11001232</v>
      </c>
      <c r="R18" s="53"/>
      <c r="S18" s="53">
        <v>0</v>
      </c>
      <c r="T18" s="53"/>
      <c r="U18" s="53">
        <v>1415089</v>
      </c>
      <c r="V18" s="53"/>
      <c r="W18" s="53">
        <f t="shared" si="2"/>
        <v>12416321</v>
      </c>
      <c r="X18" s="51"/>
      <c r="Y18" s="51"/>
      <c r="Z18" s="35" t="s">
        <v>21</v>
      </c>
      <c r="AA18" s="53"/>
      <c r="AB18" s="35" t="s">
        <v>22</v>
      </c>
      <c r="AC18" s="51"/>
      <c r="AD18" s="53">
        <v>2793645</v>
      </c>
      <c r="AE18" s="53"/>
      <c r="AF18" s="53">
        <f>2445409-271845</f>
        <v>2173564</v>
      </c>
      <c r="AG18" s="53"/>
      <c r="AH18" s="53">
        <v>271845</v>
      </c>
      <c r="AI18" s="53"/>
      <c r="AJ18" s="45">
        <f t="shared" si="9"/>
        <v>348236</v>
      </c>
      <c r="AK18" s="45"/>
      <c r="AL18" s="53">
        <v>-16450</v>
      </c>
      <c r="AM18" s="45"/>
      <c r="AN18" s="53">
        <v>0</v>
      </c>
      <c r="AO18" s="53"/>
      <c r="AP18" s="53">
        <v>210043</v>
      </c>
      <c r="AQ18" s="53"/>
      <c r="AR18" s="53">
        <v>437505</v>
      </c>
      <c r="AS18" s="53"/>
      <c r="AT18" s="45">
        <f t="shared" si="10"/>
        <v>559248</v>
      </c>
      <c r="AU18" s="45"/>
      <c r="AV18" s="53">
        <v>0</v>
      </c>
      <c r="AW18" s="53"/>
      <c r="AX18" s="53">
        <v>0</v>
      </c>
      <c r="AY18" s="53"/>
      <c r="AZ18" s="53">
        <f t="shared" si="6"/>
        <v>1425567</v>
      </c>
      <c r="BA18" s="51"/>
      <c r="BB18" s="35" t="s">
        <v>21</v>
      </c>
      <c r="BD18" s="35" t="s">
        <v>22</v>
      </c>
      <c r="BE18" s="53"/>
      <c r="BF18" s="53">
        <v>0</v>
      </c>
      <c r="BG18" s="53"/>
      <c r="BH18" s="53">
        <v>0</v>
      </c>
      <c r="BI18" s="53"/>
      <c r="BJ18" s="53">
        <f>120000+10000</f>
        <v>130000</v>
      </c>
      <c r="BK18" s="53"/>
      <c r="BL18" s="53">
        <f>20478+1023</f>
        <v>21501</v>
      </c>
      <c r="BM18" s="53"/>
      <c r="BN18" s="53">
        <f t="shared" si="5"/>
        <v>151501</v>
      </c>
      <c r="BO18" s="54"/>
      <c r="BS18" s="55"/>
      <c r="BT18" s="55"/>
      <c r="BU18" s="84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</row>
    <row r="19" spans="1:95" s="35" customFormat="1" ht="12.75" customHeight="1">
      <c r="A19" s="35" t="s">
        <v>23</v>
      </c>
      <c r="B19" s="51"/>
      <c r="C19" s="35" t="s">
        <v>17</v>
      </c>
      <c r="D19" s="44"/>
      <c r="E19" s="53">
        <f t="shared" si="7"/>
        <v>3295358</v>
      </c>
      <c r="F19" s="53"/>
      <c r="G19" s="53">
        <v>11480451</v>
      </c>
      <c r="H19" s="53"/>
      <c r="I19" s="53">
        <v>14775809</v>
      </c>
      <c r="J19" s="53"/>
      <c r="K19" s="53">
        <f t="shared" si="8"/>
        <v>942884</v>
      </c>
      <c r="L19" s="53"/>
      <c r="M19" s="53">
        <v>911324</v>
      </c>
      <c r="N19" s="53"/>
      <c r="O19" s="53">
        <v>1854208</v>
      </c>
      <c r="P19" s="53"/>
      <c r="Q19" s="53">
        <v>10348263</v>
      </c>
      <c r="R19" s="53"/>
      <c r="S19" s="53">
        <v>0</v>
      </c>
      <c r="T19" s="53"/>
      <c r="U19" s="53">
        <v>2573338</v>
      </c>
      <c r="V19" s="53"/>
      <c r="W19" s="53">
        <f t="shared" si="2"/>
        <v>12921601</v>
      </c>
      <c r="X19" s="51"/>
      <c r="Y19" s="51"/>
      <c r="Z19" s="35" t="s">
        <v>23</v>
      </c>
      <c r="AA19" s="53"/>
      <c r="AB19" s="35" t="s">
        <v>17</v>
      </c>
      <c r="AC19" s="51"/>
      <c r="AD19" s="53">
        <v>2647203</v>
      </c>
      <c r="AE19" s="53"/>
      <c r="AF19" s="53">
        <f>3858208-438862</f>
        <v>3419346</v>
      </c>
      <c r="AG19" s="53"/>
      <c r="AH19" s="53">
        <v>438862</v>
      </c>
      <c r="AI19" s="53"/>
      <c r="AJ19" s="45">
        <f t="shared" si="9"/>
        <v>-1211005</v>
      </c>
      <c r="AK19" s="45"/>
      <c r="AL19" s="53">
        <v>-60735</v>
      </c>
      <c r="AM19" s="45"/>
      <c r="AN19" s="53">
        <v>0</v>
      </c>
      <c r="AO19" s="53"/>
      <c r="AP19" s="53">
        <v>236000</v>
      </c>
      <c r="AQ19" s="53"/>
      <c r="AR19" s="53">
        <v>0</v>
      </c>
      <c r="AS19" s="53"/>
      <c r="AT19" s="45">
        <f t="shared" si="10"/>
        <v>-1507740</v>
      </c>
      <c r="AU19" s="45"/>
      <c r="AV19" s="53">
        <v>0</v>
      </c>
      <c r="AW19" s="53"/>
      <c r="AX19" s="53">
        <v>0</v>
      </c>
      <c r="AY19" s="53"/>
      <c r="AZ19" s="53">
        <f t="shared" si="6"/>
        <v>2352474</v>
      </c>
      <c r="BA19" s="51"/>
      <c r="BB19" s="35" t="s">
        <v>23</v>
      </c>
      <c r="BD19" s="35" t="s">
        <v>17</v>
      </c>
      <c r="BE19" s="53"/>
      <c r="BF19" s="53">
        <f>29716+31500</f>
        <v>61216</v>
      </c>
      <c r="BG19" s="53"/>
      <c r="BH19" s="53">
        <v>0</v>
      </c>
      <c r="BI19" s="53"/>
      <c r="BJ19" s="53">
        <v>0</v>
      </c>
      <c r="BK19" s="53"/>
      <c r="BL19" s="53">
        <f>59910+821698+5568+130493</f>
        <v>1017669</v>
      </c>
      <c r="BM19" s="53"/>
      <c r="BN19" s="53">
        <f t="shared" si="5"/>
        <v>1078885</v>
      </c>
      <c r="BO19" s="54"/>
      <c r="BS19" s="55"/>
      <c r="BT19" s="55"/>
      <c r="BU19" s="84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</row>
    <row r="20" spans="1:95" s="35" customFormat="1" ht="12.75" hidden="1" customHeight="1">
      <c r="A20" s="35" t="s">
        <v>24</v>
      </c>
      <c r="B20" s="51"/>
      <c r="C20" s="35" t="s">
        <v>17</v>
      </c>
      <c r="D20" s="44"/>
      <c r="E20" s="53">
        <f t="shared" si="7"/>
        <v>0</v>
      </c>
      <c r="F20" s="53"/>
      <c r="G20" s="53">
        <v>0</v>
      </c>
      <c r="H20" s="53"/>
      <c r="I20" s="53">
        <v>0</v>
      </c>
      <c r="J20" s="53"/>
      <c r="K20" s="53">
        <f t="shared" si="8"/>
        <v>0</v>
      </c>
      <c r="L20" s="53"/>
      <c r="M20" s="53">
        <v>0</v>
      </c>
      <c r="N20" s="53"/>
      <c r="O20" s="53">
        <v>0</v>
      </c>
      <c r="P20" s="53"/>
      <c r="Q20" s="53">
        <v>0</v>
      </c>
      <c r="R20" s="53"/>
      <c r="S20" s="53">
        <v>0</v>
      </c>
      <c r="T20" s="53"/>
      <c r="U20" s="53">
        <v>0</v>
      </c>
      <c r="V20" s="53"/>
      <c r="W20" s="53">
        <f t="shared" si="2"/>
        <v>0</v>
      </c>
      <c r="X20" s="51"/>
      <c r="Y20" s="51"/>
      <c r="Z20" s="35" t="s">
        <v>24</v>
      </c>
      <c r="AA20" s="53"/>
      <c r="AB20" s="35" t="s">
        <v>17</v>
      </c>
      <c r="AC20" s="51"/>
      <c r="AD20" s="53">
        <v>0</v>
      </c>
      <c r="AE20" s="53"/>
      <c r="AF20" s="53">
        <v>0</v>
      </c>
      <c r="AG20" s="53"/>
      <c r="AH20" s="53">
        <v>0</v>
      </c>
      <c r="AI20" s="53"/>
      <c r="AJ20" s="45">
        <f t="shared" si="9"/>
        <v>0</v>
      </c>
      <c r="AK20" s="45"/>
      <c r="AL20" s="53">
        <v>0</v>
      </c>
      <c r="AM20" s="45"/>
      <c r="AN20" s="53">
        <v>0</v>
      </c>
      <c r="AO20" s="53"/>
      <c r="AP20" s="53">
        <v>0</v>
      </c>
      <c r="AQ20" s="53"/>
      <c r="AR20" s="53">
        <v>0</v>
      </c>
      <c r="AS20" s="53"/>
      <c r="AT20" s="45">
        <f t="shared" si="10"/>
        <v>0</v>
      </c>
      <c r="AU20" s="45"/>
      <c r="AV20" s="53">
        <v>0</v>
      </c>
      <c r="AW20" s="53"/>
      <c r="AX20" s="53">
        <v>0</v>
      </c>
      <c r="AY20" s="53"/>
      <c r="AZ20" s="53">
        <f t="shared" si="6"/>
        <v>0</v>
      </c>
      <c r="BA20" s="51"/>
      <c r="BB20" s="35" t="s">
        <v>24</v>
      </c>
      <c r="BD20" s="35" t="s">
        <v>17</v>
      </c>
      <c r="BE20" s="53"/>
      <c r="BF20" s="53">
        <v>0</v>
      </c>
      <c r="BG20" s="53"/>
      <c r="BH20" s="53">
        <v>0</v>
      </c>
      <c r="BI20" s="53"/>
      <c r="BJ20" s="53">
        <v>0</v>
      </c>
      <c r="BK20" s="53"/>
      <c r="BL20" s="53">
        <v>0</v>
      </c>
      <c r="BM20" s="53"/>
      <c r="BN20" s="53">
        <f t="shared" si="5"/>
        <v>0</v>
      </c>
      <c r="BO20" s="54"/>
      <c r="BS20" s="55"/>
      <c r="BT20" s="55"/>
      <c r="BU20" s="84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</row>
    <row r="21" spans="1:95" s="35" customFormat="1" ht="12.75" customHeight="1">
      <c r="A21" s="35" t="s">
        <v>25</v>
      </c>
      <c r="C21" s="35" t="s">
        <v>13</v>
      </c>
      <c r="D21" s="44"/>
      <c r="E21" s="53">
        <f t="shared" si="7"/>
        <v>6006536</v>
      </c>
      <c r="F21" s="53"/>
      <c r="G21" s="53">
        <v>17501748</v>
      </c>
      <c r="H21" s="53"/>
      <c r="I21" s="53">
        <v>23508284</v>
      </c>
      <c r="J21" s="53"/>
      <c r="K21" s="53">
        <f t="shared" si="8"/>
        <v>1558611</v>
      </c>
      <c r="L21" s="53"/>
      <c r="M21" s="53">
        <v>9327051</v>
      </c>
      <c r="N21" s="53"/>
      <c r="O21" s="53">
        <v>10885662</v>
      </c>
      <c r="P21" s="53"/>
      <c r="Q21" s="53">
        <v>6885357</v>
      </c>
      <c r="R21" s="53"/>
      <c r="S21" s="53">
        <v>0</v>
      </c>
      <c r="T21" s="53"/>
      <c r="U21" s="53">
        <v>5737265</v>
      </c>
      <c r="V21" s="53"/>
      <c r="W21" s="53">
        <f t="shared" si="2"/>
        <v>12622622</v>
      </c>
      <c r="X21" s="51"/>
      <c r="Y21" s="51"/>
      <c r="Z21" s="35" t="s">
        <v>25</v>
      </c>
      <c r="AA21" s="53"/>
      <c r="AB21" s="35" t="s">
        <v>13</v>
      </c>
      <c r="AD21" s="53">
        <v>5108270</v>
      </c>
      <c r="AE21" s="53"/>
      <c r="AF21" s="53">
        <f>3840918-521265</f>
        <v>3319653</v>
      </c>
      <c r="AG21" s="53"/>
      <c r="AH21" s="53">
        <v>521265</v>
      </c>
      <c r="AI21" s="53"/>
      <c r="AJ21" s="45">
        <f t="shared" si="9"/>
        <v>1267352</v>
      </c>
      <c r="AK21" s="45"/>
      <c r="AL21" s="53">
        <v>-454973</v>
      </c>
      <c r="AM21" s="45"/>
      <c r="AN21" s="53">
        <v>0</v>
      </c>
      <c r="AO21" s="53"/>
      <c r="AP21" s="53">
        <v>0</v>
      </c>
      <c r="AQ21" s="53"/>
      <c r="AR21" s="53">
        <v>0</v>
      </c>
      <c r="AS21" s="53"/>
      <c r="AT21" s="45">
        <f t="shared" si="10"/>
        <v>812379</v>
      </c>
      <c r="AU21" s="45"/>
      <c r="AV21" s="53">
        <v>0</v>
      </c>
      <c r="AW21" s="53"/>
      <c r="AX21" s="53">
        <v>0</v>
      </c>
      <c r="AY21" s="53"/>
      <c r="AZ21" s="53">
        <f t="shared" si="6"/>
        <v>4447925</v>
      </c>
      <c r="BA21" s="51"/>
      <c r="BB21" s="35" t="s">
        <v>25</v>
      </c>
      <c r="BD21" s="35" t="s">
        <v>13</v>
      </c>
      <c r="BE21" s="53"/>
      <c r="BF21" s="53">
        <f>1449885+441438</f>
        <v>1891323</v>
      </c>
      <c r="BG21" s="53"/>
      <c r="BH21" s="53">
        <f>7638356+345000</f>
        <v>7983356</v>
      </c>
      <c r="BI21" s="53"/>
      <c r="BJ21" s="53">
        <v>0</v>
      </c>
      <c r="BK21" s="53"/>
      <c r="BL21" s="53">
        <f>3341+57261+238810</f>
        <v>299412</v>
      </c>
      <c r="BM21" s="53"/>
      <c r="BN21" s="53">
        <f>SUM(BF21:BL21)</f>
        <v>10174091</v>
      </c>
      <c r="BO21" s="54"/>
      <c r="BS21" s="55"/>
      <c r="BT21" s="55"/>
      <c r="BU21" s="84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</row>
    <row r="22" spans="1:95" s="126" customFormat="1" ht="12.75" hidden="1" customHeight="1">
      <c r="A22" s="126" t="s">
        <v>26</v>
      </c>
      <c r="B22" s="124"/>
      <c r="C22" s="126" t="s">
        <v>27</v>
      </c>
      <c r="D22" s="121"/>
      <c r="E22" s="53">
        <f t="shared" si="7"/>
        <v>0</v>
      </c>
      <c r="F22" s="53"/>
      <c r="G22" s="53">
        <v>0</v>
      </c>
      <c r="H22" s="53"/>
      <c r="I22" s="53">
        <v>0</v>
      </c>
      <c r="J22" s="53"/>
      <c r="K22" s="53">
        <f t="shared" si="8"/>
        <v>0</v>
      </c>
      <c r="L22" s="53"/>
      <c r="M22" s="53">
        <v>0</v>
      </c>
      <c r="N22" s="53"/>
      <c r="O22" s="53">
        <v>0</v>
      </c>
      <c r="P22" s="53"/>
      <c r="Q22" s="53">
        <v>0</v>
      </c>
      <c r="R22" s="53"/>
      <c r="S22" s="53">
        <v>0</v>
      </c>
      <c r="T22" s="53"/>
      <c r="U22" s="53">
        <v>0</v>
      </c>
      <c r="V22" s="53"/>
      <c r="W22" s="137">
        <f t="shared" si="2"/>
        <v>0</v>
      </c>
      <c r="X22" s="124"/>
      <c r="Y22" s="124"/>
      <c r="Z22" s="126" t="s">
        <v>26</v>
      </c>
      <c r="AA22" s="137"/>
      <c r="AB22" s="126" t="s">
        <v>27</v>
      </c>
      <c r="AC22" s="124"/>
      <c r="AD22" s="53">
        <v>0</v>
      </c>
      <c r="AE22" s="53"/>
      <c r="AF22" s="53">
        <v>0</v>
      </c>
      <c r="AG22" s="53"/>
      <c r="AH22" s="53">
        <v>0</v>
      </c>
      <c r="AI22" s="53"/>
      <c r="AJ22" s="45">
        <f t="shared" si="9"/>
        <v>0</v>
      </c>
      <c r="AK22" s="45"/>
      <c r="AL22" s="53">
        <v>0</v>
      </c>
      <c r="AM22" s="45"/>
      <c r="AN22" s="53">
        <v>0</v>
      </c>
      <c r="AO22" s="53"/>
      <c r="AP22" s="53">
        <v>0</v>
      </c>
      <c r="AQ22" s="53"/>
      <c r="AR22" s="53">
        <v>0</v>
      </c>
      <c r="AS22" s="53"/>
      <c r="AT22" s="45">
        <f t="shared" si="10"/>
        <v>0</v>
      </c>
      <c r="AU22" s="127"/>
      <c r="AV22" s="137">
        <v>0</v>
      </c>
      <c r="AW22" s="137"/>
      <c r="AX22" s="137">
        <v>0</v>
      </c>
      <c r="AY22" s="137"/>
      <c r="AZ22" s="137">
        <f t="shared" si="6"/>
        <v>0</v>
      </c>
      <c r="BA22" s="124"/>
      <c r="BB22" s="126" t="s">
        <v>26</v>
      </c>
      <c r="BD22" s="126" t="s">
        <v>27</v>
      </c>
      <c r="BE22" s="137"/>
      <c r="BF22" s="53">
        <v>0</v>
      </c>
      <c r="BG22" s="53"/>
      <c r="BH22" s="53">
        <v>0</v>
      </c>
      <c r="BI22" s="53"/>
      <c r="BJ22" s="53">
        <v>0</v>
      </c>
      <c r="BK22" s="53"/>
      <c r="BL22" s="53">
        <v>0</v>
      </c>
      <c r="BM22" s="137"/>
      <c r="BN22" s="137">
        <f t="shared" si="5"/>
        <v>0</v>
      </c>
      <c r="BO22" s="139"/>
      <c r="BS22" s="140"/>
      <c r="BT22" s="140"/>
      <c r="BU22" s="141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</row>
    <row r="23" spans="1:95" s="126" customFormat="1" ht="12.75" hidden="1" customHeight="1">
      <c r="A23" s="126" t="s">
        <v>28</v>
      </c>
      <c r="B23" s="124"/>
      <c r="C23" s="126" t="s">
        <v>27</v>
      </c>
      <c r="D23" s="121"/>
      <c r="E23" s="53">
        <f t="shared" si="7"/>
        <v>0</v>
      </c>
      <c r="F23" s="53"/>
      <c r="G23" s="53">
        <v>0</v>
      </c>
      <c r="H23" s="53"/>
      <c r="I23" s="53">
        <v>0</v>
      </c>
      <c r="J23" s="53"/>
      <c r="K23" s="53">
        <f t="shared" si="8"/>
        <v>0</v>
      </c>
      <c r="L23" s="53"/>
      <c r="M23" s="53">
        <v>0</v>
      </c>
      <c r="N23" s="53"/>
      <c r="O23" s="53">
        <v>0</v>
      </c>
      <c r="P23" s="53"/>
      <c r="Q23" s="53">
        <v>0</v>
      </c>
      <c r="R23" s="53"/>
      <c r="S23" s="53">
        <v>0</v>
      </c>
      <c r="T23" s="53"/>
      <c r="U23" s="53">
        <v>0</v>
      </c>
      <c r="V23" s="53"/>
      <c r="W23" s="137">
        <f t="shared" si="2"/>
        <v>0</v>
      </c>
      <c r="X23" s="124"/>
      <c r="Y23" s="124"/>
      <c r="Z23" s="126" t="s">
        <v>28</v>
      </c>
      <c r="AA23" s="137"/>
      <c r="AB23" s="126" t="s">
        <v>27</v>
      </c>
      <c r="AC23" s="124"/>
      <c r="AD23" s="53">
        <v>0</v>
      </c>
      <c r="AE23" s="53"/>
      <c r="AF23" s="53">
        <v>0</v>
      </c>
      <c r="AG23" s="53"/>
      <c r="AH23" s="53">
        <v>0</v>
      </c>
      <c r="AI23" s="53"/>
      <c r="AJ23" s="45">
        <f t="shared" si="9"/>
        <v>0</v>
      </c>
      <c r="AK23" s="45"/>
      <c r="AL23" s="53">
        <v>0</v>
      </c>
      <c r="AM23" s="45"/>
      <c r="AN23" s="53">
        <v>0</v>
      </c>
      <c r="AO23" s="53"/>
      <c r="AP23" s="53">
        <v>0</v>
      </c>
      <c r="AQ23" s="53"/>
      <c r="AR23" s="53">
        <v>0</v>
      </c>
      <c r="AS23" s="53"/>
      <c r="AT23" s="45">
        <f t="shared" si="10"/>
        <v>0</v>
      </c>
      <c r="AU23" s="127"/>
      <c r="AV23" s="137">
        <v>0</v>
      </c>
      <c r="AW23" s="137"/>
      <c r="AX23" s="137">
        <v>0</v>
      </c>
      <c r="AY23" s="137"/>
      <c r="AZ23" s="137">
        <f t="shared" si="6"/>
        <v>0</v>
      </c>
      <c r="BA23" s="124"/>
      <c r="BB23" s="126" t="s">
        <v>28</v>
      </c>
      <c r="BD23" s="126" t="s">
        <v>27</v>
      </c>
      <c r="BE23" s="137"/>
      <c r="BF23" s="53">
        <v>0</v>
      </c>
      <c r="BG23" s="53"/>
      <c r="BH23" s="53">
        <v>0</v>
      </c>
      <c r="BI23" s="53"/>
      <c r="BJ23" s="53">
        <v>0</v>
      </c>
      <c r="BK23" s="53"/>
      <c r="BL23" s="53">
        <v>0</v>
      </c>
      <c r="BM23" s="137"/>
      <c r="BN23" s="137">
        <f t="shared" si="5"/>
        <v>0</v>
      </c>
      <c r="BO23" s="139"/>
      <c r="BS23" s="140"/>
      <c r="BT23" s="140"/>
      <c r="BU23" s="141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</row>
    <row r="24" spans="1:95" s="126" customFormat="1" ht="12.75" hidden="1" customHeight="1">
      <c r="A24" s="126" t="s">
        <v>29</v>
      </c>
      <c r="B24" s="124"/>
      <c r="C24" s="126" t="s">
        <v>30</v>
      </c>
      <c r="D24" s="121"/>
      <c r="E24" s="53">
        <f t="shared" si="7"/>
        <v>0</v>
      </c>
      <c r="F24" s="53"/>
      <c r="G24" s="53">
        <v>0</v>
      </c>
      <c r="H24" s="53"/>
      <c r="I24" s="53">
        <v>0</v>
      </c>
      <c r="J24" s="53"/>
      <c r="K24" s="53">
        <f t="shared" si="8"/>
        <v>0</v>
      </c>
      <c r="L24" s="53"/>
      <c r="M24" s="53">
        <v>0</v>
      </c>
      <c r="N24" s="53"/>
      <c r="O24" s="53">
        <v>0</v>
      </c>
      <c r="P24" s="53"/>
      <c r="Q24" s="53">
        <v>0</v>
      </c>
      <c r="R24" s="53"/>
      <c r="S24" s="53">
        <v>0</v>
      </c>
      <c r="T24" s="53"/>
      <c r="U24" s="53">
        <v>0</v>
      </c>
      <c r="V24" s="53"/>
      <c r="W24" s="137">
        <f t="shared" si="2"/>
        <v>0</v>
      </c>
      <c r="X24" s="124"/>
      <c r="Y24" s="124"/>
      <c r="Z24" s="126" t="s">
        <v>29</v>
      </c>
      <c r="AA24" s="137"/>
      <c r="AB24" s="126" t="s">
        <v>30</v>
      </c>
      <c r="AC24" s="124"/>
      <c r="AD24" s="53">
        <v>0</v>
      </c>
      <c r="AE24" s="53"/>
      <c r="AF24" s="53">
        <v>0</v>
      </c>
      <c r="AG24" s="53"/>
      <c r="AH24" s="53">
        <v>0</v>
      </c>
      <c r="AI24" s="53"/>
      <c r="AJ24" s="45">
        <f t="shared" si="9"/>
        <v>0</v>
      </c>
      <c r="AK24" s="45"/>
      <c r="AL24" s="53">
        <v>0</v>
      </c>
      <c r="AM24" s="45"/>
      <c r="AN24" s="53">
        <v>0</v>
      </c>
      <c r="AO24" s="53"/>
      <c r="AP24" s="53">
        <v>0</v>
      </c>
      <c r="AQ24" s="53"/>
      <c r="AR24" s="53">
        <v>0</v>
      </c>
      <c r="AS24" s="53"/>
      <c r="AT24" s="45">
        <f t="shared" si="10"/>
        <v>0</v>
      </c>
      <c r="AU24" s="127"/>
      <c r="AV24" s="137">
        <v>0</v>
      </c>
      <c r="AW24" s="137"/>
      <c r="AX24" s="137">
        <v>0</v>
      </c>
      <c r="AY24" s="137"/>
      <c r="AZ24" s="137">
        <f t="shared" si="6"/>
        <v>0</v>
      </c>
      <c r="BA24" s="124"/>
      <c r="BB24" s="126" t="s">
        <v>29</v>
      </c>
      <c r="BD24" s="126" t="s">
        <v>30</v>
      </c>
      <c r="BE24" s="137"/>
      <c r="BF24" s="53">
        <v>0</v>
      </c>
      <c r="BG24" s="53"/>
      <c r="BH24" s="53">
        <v>0</v>
      </c>
      <c r="BI24" s="53"/>
      <c r="BJ24" s="53">
        <v>0</v>
      </c>
      <c r="BK24" s="53"/>
      <c r="BL24" s="53">
        <v>0</v>
      </c>
      <c r="BM24" s="137"/>
      <c r="BN24" s="137">
        <f t="shared" si="5"/>
        <v>0</v>
      </c>
      <c r="BO24" s="139"/>
      <c r="BS24" s="140"/>
      <c r="BT24" s="140"/>
      <c r="BU24" s="141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</row>
    <row r="25" spans="1:95" s="35" customFormat="1" ht="12.75" customHeight="1">
      <c r="A25" s="35" t="s">
        <v>31</v>
      </c>
      <c r="B25" s="51"/>
      <c r="C25" s="35" t="s">
        <v>27</v>
      </c>
      <c r="D25" s="44"/>
      <c r="E25" s="53">
        <f t="shared" si="7"/>
        <v>4313668</v>
      </c>
      <c r="F25" s="53"/>
      <c r="G25" s="53">
        <v>4478666</v>
      </c>
      <c r="H25" s="53"/>
      <c r="I25" s="53">
        <v>8792334</v>
      </c>
      <c r="J25" s="53"/>
      <c r="K25" s="53">
        <f t="shared" si="8"/>
        <v>1032732</v>
      </c>
      <c r="L25" s="53"/>
      <c r="M25" s="53">
        <v>2998915</v>
      </c>
      <c r="N25" s="53"/>
      <c r="O25" s="53">
        <v>4031647</v>
      </c>
      <c r="P25" s="53"/>
      <c r="Q25" s="53">
        <v>1309500</v>
      </c>
      <c r="R25" s="53"/>
      <c r="S25" s="53">
        <v>0</v>
      </c>
      <c r="T25" s="53"/>
      <c r="U25" s="53">
        <v>3451187</v>
      </c>
      <c r="V25" s="53"/>
      <c r="W25" s="53">
        <f t="shared" si="2"/>
        <v>4760687</v>
      </c>
      <c r="Z25" s="35" t="s">
        <v>31</v>
      </c>
      <c r="AA25" s="53"/>
      <c r="AB25" s="35" t="s">
        <v>27</v>
      </c>
      <c r="AC25" s="51"/>
      <c r="AD25" s="53">
        <v>4420907</v>
      </c>
      <c r="AE25" s="53"/>
      <c r="AF25" s="53">
        <f>4423392-105465</f>
        <v>4317927</v>
      </c>
      <c r="AG25" s="53"/>
      <c r="AH25" s="53">
        <v>105465</v>
      </c>
      <c r="AI25" s="53"/>
      <c r="AJ25" s="45">
        <f t="shared" si="9"/>
        <v>-2485</v>
      </c>
      <c r="AK25" s="45"/>
      <c r="AL25" s="53">
        <v>-52527</v>
      </c>
      <c r="AM25" s="45"/>
      <c r="AN25" s="53">
        <v>0</v>
      </c>
      <c r="AO25" s="53"/>
      <c r="AP25" s="53">
        <v>0</v>
      </c>
      <c r="AQ25" s="53"/>
      <c r="AR25" s="53">
        <v>0</v>
      </c>
      <c r="AS25" s="53"/>
      <c r="AT25" s="45">
        <f t="shared" si="10"/>
        <v>-55012</v>
      </c>
      <c r="AU25" s="45"/>
      <c r="AV25" s="53">
        <v>0</v>
      </c>
      <c r="AW25" s="53"/>
      <c r="AX25" s="53">
        <v>0</v>
      </c>
      <c r="AY25" s="53"/>
      <c r="AZ25" s="53">
        <f t="shared" si="6"/>
        <v>3280936</v>
      </c>
      <c r="BA25" s="51"/>
      <c r="BB25" s="35" t="s">
        <v>31</v>
      </c>
      <c r="BD25" s="35" t="s">
        <v>27</v>
      </c>
      <c r="BE25" s="53"/>
      <c r="BF25" s="53">
        <f>2600224+210500</f>
        <v>2810724</v>
      </c>
      <c r="BG25" s="53"/>
      <c r="BH25" s="53">
        <v>0</v>
      </c>
      <c r="BI25" s="53"/>
      <c r="BJ25" s="53">
        <f>350000+20000</f>
        <v>370000</v>
      </c>
      <c r="BK25" s="53"/>
      <c r="BL25" s="53">
        <f>48691+1256</f>
        <v>49947</v>
      </c>
      <c r="BM25" s="53"/>
      <c r="BN25" s="53">
        <f t="shared" si="5"/>
        <v>3230671</v>
      </c>
      <c r="BO25" s="54"/>
      <c r="BS25" s="55"/>
      <c r="BT25" s="55"/>
      <c r="BU25" s="84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</row>
    <row r="26" spans="1:95" s="126" customFormat="1" ht="12.75" hidden="1" customHeight="1">
      <c r="A26" s="126" t="s">
        <v>32</v>
      </c>
      <c r="B26" s="124"/>
      <c r="C26" s="126" t="s">
        <v>27</v>
      </c>
      <c r="D26" s="121"/>
      <c r="E26" s="53">
        <f t="shared" si="7"/>
        <v>0</v>
      </c>
      <c r="F26" s="53"/>
      <c r="G26" s="53">
        <v>0</v>
      </c>
      <c r="H26" s="53"/>
      <c r="I26" s="53">
        <v>0</v>
      </c>
      <c r="J26" s="53"/>
      <c r="K26" s="53">
        <f t="shared" si="8"/>
        <v>0</v>
      </c>
      <c r="L26" s="53"/>
      <c r="M26" s="53">
        <v>0</v>
      </c>
      <c r="N26" s="53"/>
      <c r="O26" s="53">
        <v>0</v>
      </c>
      <c r="P26" s="53"/>
      <c r="Q26" s="53">
        <v>0</v>
      </c>
      <c r="R26" s="53"/>
      <c r="S26" s="53">
        <v>0</v>
      </c>
      <c r="T26" s="53"/>
      <c r="U26" s="53">
        <v>0</v>
      </c>
      <c r="V26" s="53"/>
      <c r="W26" s="137">
        <f t="shared" si="2"/>
        <v>0</v>
      </c>
      <c r="X26" s="124"/>
      <c r="Y26" s="124"/>
      <c r="Z26" s="126" t="s">
        <v>32</v>
      </c>
      <c r="AA26" s="137"/>
      <c r="AB26" s="126" t="s">
        <v>27</v>
      </c>
      <c r="AC26" s="124"/>
      <c r="AD26" s="53">
        <v>0</v>
      </c>
      <c r="AE26" s="53"/>
      <c r="AF26" s="53">
        <v>0</v>
      </c>
      <c r="AG26" s="53"/>
      <c r="AH26" s="53">
        <v>0</v>
      </c>
      <c r="AI26" s="53"/>
      <c r="AJ26" s="45">
        <f t="shared" si="9"/>
        <v>0</v>
      </c>
      <c r="AK26" s="45"/>
      <c r="AL26" s="53">
        <v>0</v>
      </c>
      <c r="AM26" s="45"/>
      <c r="AN26" s="53">
        <v>0</v>
      </c>
      <c r="AO26" s="53"/>
      <c r="AP26" s="53">
        <v>0</v>
      </c>
      <c r="AQ26" s="53"/>
      <c r="AR26" s="53">
        <v>0</v>
      </c>
      <c r="AS26" s="53"/>
      <c r="AT26" s="45">
        <f t="shared" si="10"/>
        <v>0</v>
      </c>
      <c r="AU26" s="127"/>
      <c r="AV26" s="137">
        <v>0</v>
      </c>
      <c r="AW26" s="137"/>
      <c r="AX26" s="137">
        <v>0</v>
      </c>
      <c r="AY26" s="137"/>
      <c r="AZ26" s="137">
        <f t="shared" si="6"/>
        <v>0</v>
      </c>
      <c r="BA26" s="124"/>
      <c r="BB26" s="126" t="s">
        <v>32</v>
      </c>
      <c r="BD26" s="126" t="s">
        <v>27</v>
      </c>
      <c r="BE26" s="137"/>
      <c r="BF26" s="53">
        <v>0</v>
      </c>
      <c r="BG26" s="53"/>
      <c r="BH26" s="53">
        <v>0</v>
      </c>
      <c r="BI26" s="53"/>
      <c r="BJ26" s="53">
        <v>0</v>
      </c>
      <c r="BK26" s="53"/>
      <c r="BL26" s="53">
        <v>0</v>
      </c>
      <c r="BM26" s="137"/>
      <c r="BN26" s="137">
        <f t="shared" si="5"/>
        <v>0</v>
      </c>
      <c r="BO26" s="139"/>
      <c r="BS26" s="140"/>
      <c r="BT26" s="140"/>
      <c r="BU26" s="141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</row>
    <row r="27" spans="1:95" s="35" customFormat="1" ht="12.75" customHeight="1">
      <c r="A27" s="35" t="s">
        <v>34</v>
      </c>
      <c r="B27" s="51"/>
      <c r="C27" s="35" t="s">
        <v>30</v>
      </c>
      <c r="D27" s="44"/>
      <c r="E27" s="53">
        <f t="shared" si="7"/>
        <v>1291115</v>
      </c>
      <c r="F27" s="53"/>
      <c r="G27" s="53">
        <v>12448941</v>
      </c>
      <c r="H27" s="53"/>
      <c r="I27" s="53">
        <v>13740056</v>
      </c>
      <c r="J27" s="53"/>
      <c r="K27" s="53">
        <f t="shared" si="8"/>
        <v>284610</v>
      </c>
      <c r="L27" s="53"/>
      <c r="M27" s="53">
        <v>1219491</v>
      </c>
      <c r="N27" s="53"/>
      <c r="O27" s="53">
        <v>1504101</v>
      </c>
      <c r="P27" s="53"/>
      <c r="Q27" s="53">
        <v>11163059</v>
      </c>
      <c r="R27" s="53"/>
      <c r="S27" s="53">
        <v>0</v>
      </c>
      <c r="T27" s="53"/>
      <c r="U27" s="53">
        <v>1072896</v>
      </c>
      <c r="V27" s="53"/>
      <c r="W27" s="53">
        <f t="shared" ref="W27:W55" si="11">SUM(Q27:U27)</f>
        <v>12235955</v>
      </c>
      <c r="X27" s="51"/>
      <c r="Y27" s="51"/>
      <c r="Z27" s="35" t="s">
        <v>34</v>
      </c>
      <c r="AA27" s="53"/>
      <c r="AB27" s="35" t="s">
        <v>30</v>
      </c>
      <c r="AD27" s="53">
        <v>1599706</v>
      </c>
      <c r="AE27" s="53"/>
      <c r="AF27" s="53">
        <f>1424978-291193</f>
        <v>1133785</v>
      </c>
      <c r="AG27" s="53"/>
      <c r="AH27" s="53">
        <v>291193</v>
      </c>
      <c r="AI27" s="53"/>
      <c r="AJ27" s="45">
        <f t="shared" si="9"/>
        <v>174728</v>
      </c>
      <c r="AK27" s="45"/>
      <c r="AL27" s="53">
        <v>634338</v>
      </c>
      <c r="AM27" s="45"/>
      <c r="AN27" s="53">
        <v>0</v>
      </c>
      <c r="AO27" s="53"/>
      <c r="AP27" s="53">
        <v>0</v>
      </c>
      <c r="AQ27" s="53"/>
      <c r="AR27" s="53">
        <v>161456</v>
      </c>
      <c r="AS27" s="53"/>
      <c r="AT27" s="45">
        <f t="shared" si="10"/>
        <v>970522</v>
      </c>
      <c r="AU27" s="45"/>
      <c r="AV27" s="53">
        <v>0</v>
      </c>
      <c r="AW27" s="53"/>
      <c r="AX27" s="53">
        <v>0</v>
      </c>
      <c r="AY27" s="53"/>
      <c r="AZ27" s="53">
        <f t="shared" si="6"/>
        <v>1006505</v>
      </c>
      <c r="BA27" s="51"/>
      <c r="BB27" s="35" t="s">
        <v>34</v>
      </c>
      <c r="BD27" s="35" t="s">
        <v>30</v>
      </c>
      <c r="BE27" s="53"/>
      <c r="BF27" s="53">
        <v>0</v>
      </c>
      <c r="BG27" s="53"/>
      <c r="BH27" s="53">
        <f>699000+53000</f>
        <v>752000</v>
      </c>
      <c r="BI27" s="53"/>
      <c r="BJ27" s="53">
        <f>508882+25000</f>
        <v>533882</v>
      </c>
      <c r="BK27" s="53"/>
      <c r="BL27" s="53">
        <f>11609+34958</f>
        <v>46567</v>
      </c>
      <c r="BM27" s="53"/>
      <c r="BN27" s="53">
        <f t="shared" si="5"/>
        <v>1332449</v>
      </c>
      <c r="BO27" s="54"/>
      <c r="BS27" s="55"/>
      <c r="BT27" s="55"/>
      <c r="BU27" s="84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</row>
    <row r="28" spans="1:95" s="35" customFormat="1" ht="12.75" customHeight="1">
      <c r="A28" s="35" t="s">
        <v>35</v>
      </c>
      <c r="B28" s="51"/>
      <c r="C28" s="35" t="s">
        <v>36</v>
      </c>
      <c r="D28" s="44"/>
      <c r="E28" s="53">
        <f t="shared" si="7"/>
        <v>2258365</v>
      </c>
      <c r="F28" s="53"/>
      <c r="G28" s="53">
        <v>9467007</v>
      </c>
      <c r="H28" s="53"/>
      <c r="I28" s="53">
        <v>11725372</v>
      </c>
      <c r="J28" s="53"/>
      <c r="K28" s="53">
        <f t="shared" si="8"/>
        <v>403891</v>
      </c>
      <c r="L28" s="53"/>
      <c r="M28" s="53">
        <v>2198233</v>
      </c>
      <c r="N28" s="53"/>
      <c r="O28" s="53">
        <v>2602124</v>
      </c>
      <c r="P28" s="53"/>
      <c r="Q28" s="53">
        <v>8592993</v>
      </c>
      <c r="R28" s="53"/>
      <c r="S28" s="53">
        <v>0</v>
      </c>
      <c r="T28" s="53"/>
      <c r="U28" s="53">
        <v>530255</v>
      </c>
      <c r="V28" s="53"/>
      <c r="W28" s="53">
        <f t="shared" si="11"/>
        <v>9123248</v>
      </c>
      <c r="X28" s="51"/>
      <c r="Y28" s="51"/>
      <c r="Z28" s="35" t="s">
        <v>35</v>
      </c>
      <c r="AA28" s="53"/>
      <c r="AB28" s="35" t="s">
        <v>36</v>
      </c>
      <c r="AC28" s="51"/>
      <c r="AD28" s="53">
        <v>1794202</v>
      </c>
      <c r="AE28" s="53"/>
      <c r="AF28" s="53">
        <f>1553969-249870</f>
        <v>1304099</v>
      </c>
      <c r="AG28" s="53"/>
      <c r="AH28" s="53">
        <v>249870</v>
      </c>
      <c r="AI28" s="53"/>
      <c r="AJ28" s="45">
        <f t="shared" si="9"/>
        <v>240233</v>
      </c>
      <c r="AK28" s="45"/>
      <c r="AL28" s="53">
        <v>-74427</v>
      </c>
      <c r="AM28" s="45"/>
      <c r="AN28" s="53">
        <v>0</v>
      </c>
      <c r="AO28" s="53"/>
      <c r="AP28" s="53">
        <v>0</v>
      </c>
      <c r="AQ28" s="53"/>
      <c r="AR28" s="53">
        <v>0</v>
      </c>
      <c r="AS28" s="53"/>
      <c r="AT28" s="45">
        <f t="shared" si="10"/>
        <v>165806</v>
      </c>
      <c r="AU28" s="45"/>
      <c r="AV28" s="53">
        <v>0</v>
      </c>
      <c r="AW28" s="53"/>
      <c r="AX28" s="53">
        <v>0</v>
      </c>
      <c r="AY28" s="53"/>
      <c r="AZ28" s="53">
        <f t="shared" si="6"/>
        <v>1854474</v>
      </c>
      <c r="BA28" s="51"/>
      <c r="BB28" s="35" t="s">
        <v>35</v>
      </c>
      <c r="BD28" s="35" t="s">
        <v>36</v>
      </c>
      <c r="BE28" s="53"/>
      <c r="BF28" s="53">
        <f>2100095+266595</f>
        <v>2366690</v>
      </c>
      <c r="BG28" s="53"/>
      <c r="BH28" s="53">
        <v>0</v>
      </c>
      <c r="BI28" s="53"/>
      <c r="BJ28" s="53">
        <v>0</v>
      </c>
      <c r="BK28" s="53"/>
      <c r="BL28" s="53">
        <f>9613+88525+712+70004</f>
        <v>168854</v>
      </c>
      <c r="BM28" s="53"/>
      <c r="BN28" s="53">
        <f t="shared" si="5"/>
        <v>2535544</v>
      </c>
      <c r="BO28" s="54"/>
      <c r="BS28" s="55"/>
      <c r="BT28" s="55"/>
      <c r="BU28" s="84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5" s="35" customFormat="1" ht="12.75" customHeight="1">
      <c r="A29" s="35" t="s">
        <v>37</v>
      </c>
      <c r="B29" s="51"/>
      <c r="C29" s="35" t="s">
        <v>38</v>
      </c>
      <c r="D29" s="44"/>
      <c r="E29" s="53">
        <f t="shared" si="7"/>
        <v>1402977</v>
      </c>
      <c r="F29" s="53"/>
      <c r="G29" s="53">
        <f>3474890+9917504</f>
        <v>13392394</v>
      </c>
      <c r="H29" s="53"/>
      <c r="I29" s="53">
        <v>14795371</v>
      </c>
      <c r="J29" s="53"/>
      <c r="K29" s="53">
        <f t="shared" si="8"/>
        <v>166805</v>
      </c>
      <c r="L29" s="53"/>
      <c r="M29" s="53">
        <v>89451</v>
      </c>
      <c r="N29" s="53"/>
      <c r="O29" s="53">
        <v>256256</v>
      </c>
      <c r="P29" s="53"/>
      <c r="Q29" s="53">
        <v>13392394</v>
      </c>
      <c r="R29" s="53"/>
      <c r="S29" s="53">
        <v>0</v>
      </c>
      <c r="T29" s="53"/>
      <c r="U29" s="53">
        <v>1146721</v>
      </c>
      <c r="V29" s="53"/>
      <c r="W29" s="53">
        <f t="shared" si="11"/>
        <v>14539115</v>
      </c>
      <c r="X29" s="51"/>
      <c r="Y29" s="51"/>
      <c r="Z29" s="35" t="s">
        <v>37</v>
      </c>
      <c r="AA29" s="53"/>
      <c r="AB29" s="35" t="s">
        <v>38</v>
      </c>
      <c r="AC29" s="51"/>
      <c r="AD29" s="53">
        <v>2343816</v>
      </c>
      <c r="AE29" s="53"/>
      <c r="AF29" s="53">
        <f>2267567-348470</f>
        <v>1919097</v>
      </c>
      <c r="AG29" s="53"/>
      <c r="AH29" s="53">
        <v>348470</v>
      </c>
      <c r="AI29" s="53"/>
      <c r="AJ29" s="45">
        <f t="shared" si="9"/>
        <v>76249</v>
      </c>
      <c r="AK29" s="45"/>
      <c r="AL29" s="53">
        <v>37102</v>
      </c>
      <c r="AM29" s="45"/>
      <c r="AN29" s="53">
        <v>0</v>
      </c>
      <c r="AO29" s="53"/>
      <c r="AP29" s="53">
        <v>0</v>
      </c>
      <c r="AQ29" s="53"/>
      <c r="AR29" s="53">
        <v>0</v>
      </c>
      <c r="AS29" s="53"/>
      <c r="AT29" s="45">
        <f t="shared" si="10"/>
        <v>113351</v>
      </c>
      <c r="AU29" s="45"/>
      <c r="AV29" s="53">
        <v>0</v>
      </c>
      <c r="AW29" s="53"/>
      <c r="AX29" s="53">
        <v>0</v>
      </c>
      <c r="AY29" s="53"/>
      <c r="AZ29" s="53">
        <f t="shared" si="6"/>
        <v>1236172</v>
      </c>
      <c r="BA29" s="51"/>
      <c r="BB29" s="35" t="s">
        <v>37</v>
      </c>
      <c r="BD29" s="35" t="s">
        <v>38</v>
      </c>
      <c r="BE29" s="53"/>
      <c r="BF29" s="53">
        <v>0</v>
      </c>
      <c r="BG29" s="53"/>
      <c r="BH29" s="53">
        <v>0</v>
      </c>
      <c r="BI29" s="53"/>
      <c r="BJ29" s="53">
        <v>0</v>
      </c>
      <c r="BK29" s="53"/>
      <c r="BL29" s="53">
        <f>89451+17839</f>
        <v>107290</v>
      </c>
      <c r="BM29" s="53"/>
      <c r="BN29" s="53">
        <f t="shared" si="5"/>
        <v>107290</v>
      </c>
      <c r="BO29" s="54"/>
      <c r="BS29" s="55"/>
      <c r="BT29" s="55"/>
      <c r="BU29" s="84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</row>
    <row r="30" spans="1:95" s="35" customFormat="1" ht="12.75" customHeight="1">
      <c r="A30" s="35" t="s">
        <v>39</v>
      </c>
      <c r="B30" s="51"/>
      <c r="C30" s="35" t="s">
        <v>40</v>
      </c>
      <c r="D30" s="44"/>
      <c r="E30" s="53">
        <f t="shared" si="7"/>
        <v>1274188</v>
      </c>
      <c r="F30" s="53"/>
      <c r="G30" s="53">
        <v>13963649</v>
      </c>
      <c r="H30" s="53"/>
      <c r="I30" s="53">
        <v>15237837</v>
      </c>
      <c r="J30" s="53"/>
      <c r="K30" s="53">
        <f t="shared" si="8"/>
        <v>1059168</v>
      </c>
      <c r="L30" s="53"/>
      <c r="M30" s="53">
        <v>5012141</v>
      </c>
      <c r="N30" s="53"/>
      <c r="O30" s="53">
        <v>6071309</v>
      </c>
      <c r="P30" s="53"/>
      <c r="Q30" s="53">
        <v>8221474</v>
      </c>
      <c r="R30" s="53"/>
      <c r="S30" s="53">
        <v>0</v>
      </c>
      <c r="T30" s="53"/>
      <c r="U30" s="53">
        <v>945054</v>
      </c>
      <c r="V30" s="53"/>
      <c r="W30" s="53">
        <f t="shared" si="11"/>
        <v>9166528</v>
      </c>
      <c r="X30" s="51"/>
      <c r="Y30" s="51"/>
      <c r="Z30" s="35" t="s">
        <v>39</v>
      </c>
      <c r="AA30" s="53"/>
      <c r="AB30" s="35" t="s">
        <v>40</v>
      </c>
      <c r="AC30" s="51"/>
      <c r="AD30" s="53">
        <v>956146</v>
      </c>
      <c r="AE30" s="53"/>
      <c r="AF30" s="53">
        <f>595182-153366</f>
        <v>441816</v>
      </c>
      <c r="AG30" s="53"/>
      <c r="AH30" s="53">
        <v>153366</v>
      </c>
      <c r="AI30" s="53"/>
      <c r="AJ30" s="45">
        <f t="shared" si="9"/>
        <v>360964</v>
      </c>
      <c r="AK30" s="45"/>
      <c r="AL30" s="53">
        <v>-129050</v>
      </c>
      <c r="AM30" s="45"/>
      <c r="AN30" s="53">
        <v>0</v>
      </c>
      <c r="AO30" s="53"/>
      <c r="AP30" s="53">
        <v>0</v>
      </c>
      <c r="AQ30" s="53"/>
      <c r="AR30" s="53">
        <v>7308</v>
      </c>
      <c r="AS30" s="53"/>
      <c r="AT30" s="45">
        <f t="shared" si="10"/>
        <v>239222</v>
      </c>
      <c r="AU30" s="45"/>
      <c r="AV30" s="53">
        <v>0</v>
      </c>
      <c r="AW30" s="53"/>
      <c r="AX30" s="53">
        <v>0</v>
      </c>
      <c r="AY30" s="53"/>
      <c r="AZ30" s="53">
        <f t="shared" si="6"/>
        <v>215020</v>
      </c>
      <c r="BA30" s="51"/>
      <c r="BB30" s="35" t="s">
        <v>39</v>
      </c>
      <c r="BD30" s="35" t="s">
        <v>40</v>
      </c>
      <c r="BE30" s="53"/>
      <c r="BF30" s="53">
        <v>0</v>
      </c>
      <c r="BG30" s="53"/>
      <c r="BH30" s="53">
        <v>0</v>
      </c>
      <c r="BI30" s="53"/>
      <c r="BJ30" s="53">
        <f>308675+46003+50277+3901</f>
        <v>408856</v>
      </c>
      <c r="BK30" s="53"/>
      <c r="BL30" s="53">
        <f>1999416+5837+301809</f>
        <v>2307062</v>
      </c>
      <c r="BM30" s="53"/>
      <c r="BN30" s="53">
        <f t="shared" si="5"/>
        <v>2715918</v>
      </c>
      <c r="BO30" s="54"/>
      <c r="BS30" s="55"/>
      <c r="BT30" s="55"/>
      <c r="BU30" s="84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</row>
    <row r="31" spans="1:95" s="35" customFormat="1" ht="12.75" customHeight="1">
      <c r="A31" s="35" t="s">
        <v>41</v>
      </c>
      <c r="B31" s="51"/>
      <c r="C31" s="35" t="s">
        <v>27</v>
      </c>
      <c r="D31" s="44"/>
      <c r="E31" s="53">
        <f t="shared" si="7"/>
        <v>2743905</v>
      </c>
      <c r="F31" s="53"/>
      <c r="G31" s="53">
        <v>22671107</v>
      </c>
      <c r="H31" s="53"/>
      <c r="I31" s="53">
        <v>25415012</v>
      </c>
      <c r="J31" s="53"/>
      <c r="K31" s="53">
        <f t="shared" si="8"/>
        <v>1357677</v>
      </c>
      <c r="L31" s="53"/>
      <c r="M31" s="53">
        <v>8852910</v>
      </c>
      <c r="N31" s="53"/>
      <c r="O31" s="53">
        <v>10210587</v>
      </c>
      <c r="P31" s="53"/>
      <c r="Q31" s="53">
        <v>13293791</v>
      </c>
      <c r="R31" s="53"/>
      <c r="S31" s="53">
        <v>0</v>
      </c>
      <c r="T31" s="53"/>
      <c r="U31" s="53">
        <v>1910634</v>
      </c>
      <c r="V31" s="53"/>
      <c r="W31" s="53">
        <f t="shared" si="11"/>
        <v>15204425</v>
      </c>
      <c r="X31" s="51"/>
      <c r="Y31" s="51"/>
      <c r="Z31" s="35" t="s">
        <v>41</v>
      </c>
      <c r="AA31" s="53"/>
      <c r="AB31" s="35" t="s">
        <v>27</v>
      </c>
      <c r="AC31" s="51"/>
      <c r="AD31" s="53">
        <v>2583684</v>
      </c>
      <c r="AE31" s="53"/>
      <c r="AF31" s="53">
        <f>3330934-780707</f>
        <v>2550227</v>
      </c>
      <c r="AG31" s="53"/>
      <c r="AH31" s="53">
        <v>780707</v>
      </c>
      <c r="AI31" s="53"/>
      <c r="AJ31" s="45">
        <f t="shared" si="9"/>
        <v>-747250</v>
      </c>
      <c r="AK31" s="45"/>
      <c r="AL31" s="53">
        <v>497672</v>
      </c>
      <c r="AM31" s="45"/>
      <c r="AN31" s="53">
        <v>100000</v>
      </c>
      <c r="AO31" s="53"/>
      <c r="AP31" s="53">
        <v>159582</v>
      </c>
      <c r="AQ31" s="53"/>
      <c r="AR31" s="53">
        <v>234802</v>
      </c>
      <c r="AS31" s="53"/>
      <c r="AT31" s="45">
        <f t="shared" si="10"/>
        <v>-74358</v>
      </c>
      <c r="AU31" s="45"/>
      <c r="AV31" s="53">
        <v>0</v>
      </c>
      <c r="AW31" s="53"/>
      <c r="AX31" s="53">
        <v>0</v>
      </c>
      <c r="AY31" s="53"/>
      <c r="AZ31" s="53">
        <f t="shared" si="6"/>
        <v>1386228</v>
      </c>
      <c r="BA31" s="51"/>
      <c r="BB31" s="35" t="s">
        <v>41</v>
      </c>
      <c r="BD31" s="35" t="s">
        <v>27</v>
      </c>
      <c r="BE31" s="53"/>
      <c r="BF31" s="53">
        <v>0</v>
      </c>
      <c r="BG31" s="53"/>
      <c r="BH31" s="53">
        <v>0</v>
      </c>
      <c r="BI31" s="53"/>
      <c r="BJ31" s="53">
        <f>8770985+579805</f>
        <v>9350790</v>
      </c>
      <c r="BK31" s="53"/>
      <c r="BL31" s="53">
        <f>81925+2548</f>
        <v>84473</v>
      </c>
      <c r="BM31" s="53"/>
      <c r="BN31" s="53">
        <f t="shared" si="5"/>
        <v>9435263</v>
      </c>
      <c r="BO31" s="54"/>
      <c r="BS31" s="55"/>
      <c r="BT31" s="55"/>
      <c r="BU31" s="84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</row>
    <row r="32" spans="1:95" s="35" customFormat="1" ht="12.75" customHeight="1">
      <c r="A32" s="35" t="s">
        <v>42</v>
      </c>
      <c r="B32" s="51"/>
      <c r="C32" s="35" t="s">
        <v>43</v>
      </c>
      <c r="D32" s="44"/>
      <c r="E32" s="53">
        <f t="shared" si="7"/>
        <v>1156099</v>
      </c>
      <c r="F32" s="53"/>
      <c r="G32" s="53">
        <v>2404195</v>
      </c>
      <c r="H32" s="53"/>
      <c r="I32" s="53">
        <v>3560294</v>
      </c>
      <c r="J32" s="53"/>
      <c r="K32" s="53">
        <f t="shared" si="8"/>
        <v>152924</v>
      </c>
      <c r="L32" s="53"/>
      <c r="M32" s="53">
        <v>1741123</v>
      </c>
      <c r="N32" s="53"/>
      <c r="O32" s="53">
        <v>1894047</v>
      </c>
      <c r="P32" s="53"/>
      <c r="Q32" s="53">
        <v>1605516</v>
      </c>
      <c r="R32" s="53"/>
      <c r="S32" s="53">
        <v>0</v>
      </c>
      <c r="T32" s="53"/>
      <c r="U32" s="53">
        <v>60731</v>
      </c>
      <c r="V32" s="53"/>
      <c r="W32" s="53">
        <f t="shared" si="11"/>
        <v>1666247</v>
      </c>
      <c r="X32" s="51"/>
      <c r="Y32" s="51"/>
      <c r="Z32" s="35" t="s">
        <v>42</v>
      </c>
      <c r="AA32" s="53"/>
      <c r="AB32" s="35" t="s">
        <v>43</v>
      </c>
      <c r="AC32" s="51"/>
      <c r="AD32" s="53">
        <v>2175372</v>
      </c>
      <c r="AE32" s="53"/>
      <c r="AF32" s="53">
        <f>1939142-93901</f>
        <v>1845241</v>
      </c>
      <c r="AG32" s="53"/>
      <c r="AH32" s="53">
        <v>93901</v>
      </c>
      <c r="AI32" s="53"/>
      <c r="AJ32" s="45">
        <f t="shared" si="9"/>
        <v>236230</v>
      </c>
      <c r="AK32" s="45"/>
      <c r="AL32" s="53">
        <v>-50393</v>
      </c>
      <c r="AM32" s="45"/>
      <c r="AN32" s="53">
        <v>272520</v>
      </c>
      <c r="AO32" s="53"/>
      <c r="AP32" s="53">
        <v>1168750</v>
      </c>
      <c r="AQ32" s="53"/>
      <c r="AR32" s="53">
        <v>0</v>
      </c>
      <c r="AS32" s="53"/>
      <c r="AT32" s="45">
        <f t="shared" si="10"/>
        <v>-710393</v>
      </c>
      <c r="AU32" s="45"/>
      <c r="AV32" s="53">
        <v>0</v>
      </c>
      <c r="AW32" s="53"/>
      <c r="AX32" s="53">
        <v>0</v>
      </c>
      <c r="AY32" s="53"/>
      <c r="AZ32" s="53">
        <f t="shared" si="6"/>
        <v>1003175</v>
      </c>
      <c r="BA32" s="51"/>
      <c r="BB32" s="35" t="s">
        <v>42</v>
      </c>
      <c r="BD32" s="35" t="s">
        <v>43</v>
      </c>
      <c r="BE32" s="53"/>
      <c r="BF32" s="53">
        <f>1711950+97800</f>
        <v>1809750</v>
      </c>
      <c r="BG32" s="53"/>
      <c r="BH32" s="53">
        <v>0</v>
      </c>
      <c r="BI32" s="53"/>
      <c r="BJ32" s="53">
        <v>0</v>
      </c>
      <c r="BK32" s="53"/>
      <c r="BL32" s="53">
        <f>29173+1523</f>
        <v>30696</v>
      </c>
      <c r="BM32" s="53"/>
      <c r="BN32" s="53">
        <f t="shared" si="5"/>
        <v>1840446</v>
      </c>
      <c r="BO32" s="54"/>
      <c r="BS32" s="55"/>
      <c r="BT32" s="55"/>
      <c r="BU32" s="84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</row>
    <row r="33" spans="1:95" s="126" customFormat="1" ht="12.75" hidden="1" customHeight="1">
      <c r="A33" s="126" t="s">
        <v>44</v>
      </c>
      <c r="B33" s="124"/>
      <c r="C33" s="126" t="s">
        <v>45</v>
      </c>
      <c r="D33" s="121"/>
      <c r="E33" s="53">
        <f t="shared" si="7"/>
        <v>0</v>
      </c>
      <c r="F33" s="53"/>
      <c r="G33" s="53">
        <v>0</v>
      </c>
      <c r="H33" s="53"/>
      <c r="I33" s="53">
        <v>0</v>
      </c>
      <c r="J33" s="53"/>
      <c r="K33" s="53">
        <f t="shared" si="8"/>
        <v>0</v>
      </c>
      <c r="L33" s="53"/>
      <c r="M33" s="53">
        <v>0</v>
      </c>
      <c r="N33" s="53"/>
      <c r="O33" s="53">
        <v>0</v>
      </c>
      <c r="P33" s="53"/>
      <c r="Q33" s="53">
        <v>0</v>
      </c>
      <c r="R33" s="53"/>
      <c r="S33" s="53">
        <v>0</v>
      </c>
      <c r="T33" s="53"/>
      <c r="U33" s="53">
        <v>0</v>
      </c>
      <c r="V33" s="53"/>
      <c r="W33" s="137">
        <f t="shared" si="11"/>
        <v>0</v>
      </c>
      <c r="X33" s="124"/>
      <c r="Y33" s="124"/>
      <c r="Z33" s="126" t="s">
        <v>44</v>
      </c>
      <c r="AA33" s="137"/>
      <c r="AB33" s="126" t="s">
        <v>45</v>
      </c>
      <c r="AC33" s="124"/>
      <c r="AD33" s="53">
        <v>0</v>
      </c>
      <c r="AE33" s="53"/>
      <c r="AF33" s="53">
        <v>0</v>
      </c>
      <c r="AG33" s="53"/>
      <c r="AH33" s="53">
        <v>0</v>
      </c>
      <c r="AI33" s="53"/>
      <c r="AJ33" s="45">
        <f t="shared" si="9"/>
        <v>0</v>
      </c>
      <c r="AK33" s="45"/>
      <c r="AL33" s="53">
        <v>0</v>
      </c>
      <c r="AM33" s="45"/>
      <c r="AN33" s="53">
        <v>0</v>
      </c>
      <c r="AO33" s="53"/>
      <c r="AP33" s="53">
        <v>0</v>
      </c>
      <c r="AQ33" s="53"/>
      <c r="AR33" s="53">
        <v>0</v>
      </c>
      <c r="AS33" s="53"/>
      <c r="AT33" s="45">
        <f t="shared" si="10"/>
        <v>0</v>
      </c>
      <c r="AU33" s="127"/>
      <c r="AV33" s="137">
        <v>0</v>
      </c>
      <c r="AW33" s="137"/>
      <c r="AX33" s="137">
        <v>0</v>
      </c>
      <c r="AY33" s="137"/>
      <c r="AZ33" s="137">
        <f t="shared" si="6"/>
        <v>0</v>
      </c>
      <c r="BA33" s="124"/>
      <c r="BB33" s="126" t="s">
        <v>44</v>
      </c>
      <c r="BD33" s="126" t="s">
        <v>45</v>
      </c>
      <c r="BE33" s="137"/>
      <c r="BF33" s="53">
        <v>0</v>
      </c>
      <c r="BG33" s="53"/>
      <c r="BH33" s="53">
        <v>0</v>
      </c>
      <c r="BI33" s="53"/>
      <c r="BJ33" s="53">
        <v>0</v>
      </c>
      <c r="BK33" s="53"/>
      <c r="BL33" s="53">
        <v>0</v>
      </c>
      <c r="BM33" s="137"/>
      <c r="BN33" s="137">
        <f t="shared" si="5"/>
        <v>0</v>
      </c>
      <c r="BO33" s="139"/>
      <c r="BS33" s="140"/>
      <c r="BT33" s="140"/>
      <c r="BU33" s="141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</row>
    <row r="34" spans="1:95" s="35" customFormat="1" ht="12.75" customHeight="1">
      <c r="A34" s="35" t="s">
        <v>46</v>
      </c>
      <c r="B34" s="51"/>
      <c r="C34" s="35" t="s">
        <v>47</v>
      </c>
      <c r="D34" s="44"/>
      <c r="E34" s="53">
        <f t="shared" si="7"/>
        <v>4550716</v>
      </c>
      <c r="F34" s="53"/>
      <c r="G34" s="53">
        <v>41736606</v>
      </c>
      <c r="H34" s="53"/>
      <c r="I34" s="53">
        <v>46287322</v>
      </c>
      <c r="J34" s="53"/>
      <c r="K34" s="53">
        <f t="shared" si="8"/>
        <v>391176</v>
      </c>
      <c r="L34" s="53"/>
      <c r="M34" s="53">
        <v>988528</v>
      </c>
      <c r="N34" s="53"/>
      <c r="O34" s="53">
        <v>1379704</v>
      </c>
      <c r="P34" s="53"/>
      <c r="Q34" s="53">
        <v>40812722</v>
      </c>
      <c r="R34" s="53"/>
      <c r="S34" s="53">
        <v>0</v>
      </c>
      <c r="T34" s="53"/>
      <c r="U34" s="53">
        <v>4094896</v>
      </c>
      <c r="V34" s="53"/>
      <c r="W34" s="53">
        <f t="shared" si="11"/>
        <v>44907618</v>
      </c>
      <c r="X34" s="51"/>
      <c r="Y34" s="51"/>
      <c r="Z34" s="35" t="s">
        <v>46</v>
      </c>
      <c r="AA34" s="53"/>
      <c r="AB34" s="35" t="s">
        <v>47</v>
      </c>
      <c r="AC34" s="51"/>
      <c r="AD34" s="53">
        <v>3723038</v>
      </c>
      <c r="AE34" s="53"/>
      <c r="AF34" s="53">
        <f>4193267-982201</f>
        <v>3211066</v>
      </c>
      <c r="AG34" s="53"/>
      <c r="AH34" s="53">
        <v>982201</v>
      </c>
      <c r="AI34" s="53"/>
      <c r="AJ34" s="45">
        <f t="shared" si="9"/>
        <v>-470229</v>
      </c>
      <c r="AK34" s="45"/>
      <c r="AL34" s="53">
        <v>-35901</v>
      </c>
      <c r="AM34" s="45"/>
      <c r="AN34" s="53">
        <v>0</v>
      </c>
      <c r="AO34" s="53"/>
      <c r="AP34" s="53">
        <v>0</v>
      </c>
      <c r="AQ34" s="53"/>
      <c r="AR34" s="53">
        <v>8052337</v>
      </c>
      <c r="AS34" s="53"/>
      <c r="AT34" s="45">
        <f t="shared" si="10"/>
        <v>7546207</v>
      </c>
      <c r="AU34" s="45"/>
      <c r="AV34" s="53">
        <v>0</v>
      </c>
      <c r="AW34" s="53"/>
      <c r="AX34" s="53">
        <v>0</v>
      </c>
      <c r="AY34" s="53"/>
      <c r="AZ34" s="53">
        <f t="shared" si="6"/>
        <v>4159540</v>
      </c>
      <c r="BA34" s="51"/>
      <c r="BB34" s="35" t="s">
        <v>46</v>
      </c>
      <c r="BD34" s="35" t="s">
        <v>47</v>
      </c>
      <c r="BE34" s="53"/>
      <c r="BF34" s="53">
        <f>813346+55000</f>
        <v>868346</v>
      </c>
      <c r="BG34" s="53"/>
      <c r="BH34" s="53">
        <v>0</v>
      </c>
      <c r="BI34" s="53"/>
      <c r="BJ34" s="53">
        <v>0</v>
      </c>
      <c r="BK34" s="53"/>
      <c r="BL34" s="53">
        <f>185182+83203</f>
        <v>268385</v>
      </c>
      <c r="BM34" s="53"/>
      <c r="BN34" s="53">
        <f t="shared" si="5"/>
        <v>1136731</v>
      </c>
      <c r="BO34" s="54"/>
      <c r="BS34" s="55"/>
      <c r="BT34" s="55"/>
      <c r="BU34" s="84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</row>
    <row r="35" spans="1:95" s="126" customFormat="1" ht="12.75" hidden="1" customHeight="1">
      <c r="A35" s="126" t="s">
        <v>48</v>
      </c>
      <c r="B35" s="124"/>
      <c r="C35" s="126" t="s">
        <v>27</v>
      </c>
      <c r="D35" s="121"/>
      <c r="E35" s="53">
        <f t="shared" si="7"/>
        <v>0</v>
      </c>
      <c r="F35" s="53"/>
      <c r="G35" s="53">
        <v>0</v>
      </c>
      <c r="H35" s="53"/>
      <c r="I35" s="53">
        <v>0</v>
      </c>
      <c r="J35" s="53"/>
      <c r="K35" s="53">
        <f t="shared" si="8"/>
        <v>0</v>
      </c>
      <c r="L35" s="53"/>
      <c r="M35" s="53">
        <v>0</v>
      </c>
      <c r="N35" s="53"/>
      <c r="O35" s="53">
        <v>0</v>
      </c>
      <c r="P35" s="53"/>
      <c r="Q35" s="53">
        <v>0</v>
      </c>
      <c r="R35" s="53"/>
      <c r="S35" s="53">
        <v>0</v>
      </c>
      <c r="T35" s="53"/>
      <c r="U35" s="53">
        <v>0</v>
      </c>
      <c r="V35" s="53"/>
      <c r="W35" s="137">
        <f t="shared" si="11"/>
        <v>0</v>
      </c>
      <c r="X35" s="124"/>
      <c r="Y35" s="124"/>
      <c r="Z35" s="126" t="s">
        <v>48</v>
      </c>
      <c r="AA35" s="137"/>
      <c r="AB35" s="126" t="s">
        <v>27</v>
      </c>
      <c r="AC35" s="124"/>
      <c r="AD35" s="53">
        <v>0</v>
      </c>
      <c r="AE35" s="53"/>
      <c r="AF35" s="53">
        <v>0</v>
      </c>
      <c r="AG35" s="53"/>
      <c r="AH35" s="53">
        <v>0</v>
      </c>
      <c r="AI35" s="53"/>
      <c r="AJ35" s="45">
        <f t="shared" si="9"/>
        <v>0</v>
      </c>
      <c r="AK35" s="45"/>
      <c r="AL35" s="53">
        <v>0</v>
      </c>
      <c r="AM35" s="45"/>
      <c r="AN35" s="53">
        <v>0</v>
      </c>
      <c r="AO35" s="53"/>
      <c r="AP35" s="53">
        <v>0</v>
      </c>
      <c r="AQ35" s="53"/>
      <c r="AR35" s="53">
        <v>0</v>
      </c>
      <c r="AS35" s="53"/>
      <c r="AT35" s="45">
        <f t="shared" si="10"/>
        <v>0</v>
      </c>
      <c r="AU35" s="127"/>
      <c r="AV35" s="137">
        <v>0</v>
      </c>
      <c r="AW35" s="137"/>
      <c r="AX35" s="137">
        <v>0</v>
      </c>
      <c r="AY35" s="137"/>
      <c r="AZ35" s="137">
        <f t="shared" si="6"/>
        <v>0</v>
      </c>
      <c r="BA35" s="124"/>
      <c r="BB35" s="126" t="s">
        <v>48</v>
      </c>
      <c r="BD35" s="126" t="s">
        <v>27</v>
      </c>
      <c r="BE35" s="137"/>
      <c r="BF35" s="53">
        <v>0</v>
      </c>
      <c r="BG35" s="53"/>
      <c r="BH35" s="53">
        <v>0</v>
      </c>
      <c r="BI35" s="53"/>
      <c r="BJ35" s="53">
        <v>0</v>
      </c>
      <c r="BK35" s="53"/>
      <c r="BL35" s="53">
        <v>0</v>
      </c>
      <c r="BM35" s="137"/>
      <c r="BN35" s="137">
        <f t="shared" si="5"/>
        <v>0</v>
      </c>
      <c r="BO35" s="139"/>
      <c r="BS35" s="140"/>
      <c r="BT35" s="140"/>
      <c r="BU35" s="141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</row>
    <row r="36" spans="1:95" s="126" customFormat="1" ht="12.75" hidden="1" customHeight="1">
      <c r="A36" s="126" t="s">
        <v>49</v>
      </c>
      <c r="B36" s="124"/>
      <c r="C36" s="126" t="s">
        <v>27</v>
      </c>
      <c r="D36" s="121"/>
      <c r="E36" s="53">
        <f t="shared" si="7"/>
        <v>0</v>
      </c>
      <c r="F36" s="53"/>
      <c r="G36" s="53">
        <v>0</v>
      </c>
      <c r="H36" s="53"/>
      <c r="I36" s="53">
        <v>0</v>
      </c>
      <c r="J36" s="53"/>
      <c r="K36" s="53">
        <f t="shared" si="8"/>
        <v>0</v>
      </c>
      <c r="L36" s="53"/>
      <c r="M36" s="53">
        <v>0</v>
      </c>
      <c r="N36" s="53"/>
      <c r="O36" s="53">
        <v>0</v>
      </c>
      <c r="P36" s="53"/>
      <c r="Q36" s="53">
        <v>0</v>
      </c>
      <c r="R36" s="53"/>
      <c r="S36" s="53">
        <v>0</v>
      </c>
      <c r="T36" s="53"/>
      <c r="U36" s="53">
        <v>0</v>
      </c>
      <c r="V36" s="53"/>
      <c r="W36" s="137">
        <f t="shared" si="11"/>
        <v>0</v>
      </c>
      <c r="X36" s="124"/>
      <c r="Y36" s="124"/>
      <c r="Z36" s="126" t="s">
        <v>49</v>
      </c>
      <c r="AA36" s="137"/>
      <c r="AB36" s="126" t="s">
        <v>27</v>
      </c>
      <c r="AC36" s="124"/>
      <c r="AD36" s="53">
        <v>0</v>
      </c>
      <c r="AE36" s="53"/>
      <c r="AF36" s="53">
        <v>0</v>
      </c>
      <c r="AG36" s="53"/>
      <c r="AH36" s="53">
        <v>0</v>
      </c>
      <c r="AI36" s="53"/>
      <c r="AJ36" s="45">
        <f t="shared" si="9"/>
        <v>0</v>
      </c>
      <c r="AK36" s="45"/>
      <c r="AL36" s="53">
        <v>0</v>
      </c>
      <c r="AM36" s="45"/>
      <c r="AN36" s="53">
        <v>0</v>
      </c>
      <c r="AO36" s="53"/>
      <c r="AP36" s="53">
        <v>0</v>
      </c>
      <c r="AQ36" s="53"/>
      <c r="AR36" s="53">
        <v>0</v>
      </c>
      <c r="AS36" s="53"/>
      <c r="AT36" s="45">
        <f t="shared" si="10"/>
        <v>0</v>
      </c>
      <c r="AU36" s="127"/>
      <c r="AV36" s="137">
        <v>0</v>
      </c>
      <c r="AW36" s="137"/>
      <c r="AX36" s="137">
        <v>0</v>
      </c>
      <c r="AY36" s="137"/>
      <c r="AZ36" s="137">
        <f t="shared" si="6"/>
        <v>0</v>
      </c>
      <c r="BA36" s="124"/>
      <c r="BB36" s="126" t="s">
        <v>49</v>
      </c>
      <c r="BD36" s="126" t="s">
        <v>27</v>
      </c>
      <c r="BE36" s="137"/>
      <c r="BF36" s="53">
        <v>0</v>
      </c>
      <c r="BG36" s="53"/>
      <c r="BH36" s="53">
        <v>0</v>
      </c>
      <c r="BI36" s="53"/>
      <c r="BJ36" s="53">
        <v>0</v>
      </c>
      <c r="BK36" s="53"/>
      <c r="BL36" s="53">
        <v>0</v>
      </c>
      <c r="BM36" s="137"/>
      <c r="BN36" s="137">
        <f t="shared" si="5"/>
        <v>0</v>
      </c>
      <c r="BO36" s="139"/>
      <c r="BS36" s="140"/>
      <c r="BT36" s="140"/>
      <c r="BU36" s="141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</row>
    <row r="37" spans="1:95" s="126" customFormat="1" ht="12.75" hidden="1" customHeight="1">
      <c r="A37" s="126" t="s">
        <v>50</v>
      </c>
      <c r="B37" s="124"/>
      <c r="C37" s="126" t="s">
        <v>27</v>
      </c>
      <c r="D37" s="121"/>
      <c r="E37" s="53">
        <f t="shared" si="7"/>
        <v>0</v>
      </c>
      <c r="F37" s="53"/>
      <c r="G37" s="53">
        <v>0</v>
      </c>
      <c r="H37" s="53"/>
      <c r="I37" s="53">
        <v>0</v>
      </c>
      <c r="J37" s="53"/>
      <c r="K37" s="53">
        <f t="shared" si="8"/>
        <v>0</v>
      </c>
      <c r="L37" s="53"/>
      <c r="M37" s="53">
        <v>0</v>
      </c>
      <c r="N37" s="53"/>
      <c r="O37" s="53">
        <v>0</v>
      </c>
      <c r="P37" s="53"/>
      <c r="Q37" s="53">
        <v>0</v>
      </c>
      <c r="R37" s="53"/>
      <c r="S37" s="53">
        <v>0</v>
      </c>
      <c r="T37" s="53"/>
      <c r="U37" s="53">
        <v>0</v>
      </c>
      <c r="V37" s="53"/>
      <c r="W37" s="137">
        <f t="shared" si="11"/>
        <v>0</v>
      </c>
      <c r="X37" s="124"/>
      <c r="Y37" s="124"/>
      <c r="Z37" s="126" t="s">
        <v>50</v>
      </c>
      <c r="AA37" s="137"/>
      <c r="AB37" s="126" t="s">
        <v>27</v>
      </c>
      <c r="AC37" s="124"/>
      <c r="AD37" s="53">
        <v>0</v>
      </c>
      <c r="AE37" s="53"/>
      <c r="AF37" s="53">
        <v>0</v>
      </c>
      <c r="AG37" s="53"/>
      <c r="AH37" s="53">
        <v>0</v>
      </c>
      <c r="AI37" s="53"/>
      <c r="AJ37" s="45">
        <f t="shared" si="9"/>
        <v>0</v>
      </c>
      <c r="AK37" s="45"/>
      <c r="AL37" s="53">
        <v>0</v>
      </c>
      <c r="AM37" s="45"/>
      <c r="AN37" s="53">
        <v>0</v>
      </c>
      <c r="AO37" s="53"/>
      <c r="AP37" s="53">
        <v>0</v>
      </c>
      <c r="AQ37" s="53"/>
      <c r="AR37" s="53">
        <v>0</v>
      </c>
      <c r="AS37" s="53"/>
      <c r="AT37" s="45">
        <f t="shared" si="10"/>
        <v>0</v>
      </c>
      <c r="AU37" s="127"/>
      <c r="AV37" s="137">
        <v>0</v>
      </c>
      <c r="AW37" s="137"/>
      <c r="AX37" s="137">
        <v>0</v>
      </c>
      <c r="AY37" s="137"/>
      <c r="AZ37" s="137">
        <f t="shared" si="6"/>
        <v>0</v>
      </c>
      <c r="BA37" s="124"/>
      <c r="BB37" s="126" t="s">
        <v>50</v>
      </c>
      <c r="BD37" s="126" t="s">
        <v>27</v>
      </c>
      <c r="BE37" s="137"/>
      <c r="BF37" s="53">
        <v>0</v>
      </c>
      <c r="BG37" s="53"/>
      <c r="BH37" s="53">
        <v>0</v>
      </c>
      <c r="BI37" s="53"/>
      <c r="BJ37" s="53">
        <v>0</v>
      </c>
      <c r="BK37" s="53"/>
      <c r="BL37" s="53">
        <v>0</v>
      </c>
      <c r="BM37" s="137"/>
      <c r="BN37" s="137">
        <f t="shared" si="5"/>
        <v>0</v>
      </c>
      <c r="BO37" s="139"/>
      <c r="BS37" s="140"/>
      <c r="BT37" s="140"/>
      <c r="BU37" s="141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</row>
    <row r="38" spans="1:95" s="35" customFormat="1" ht="12.75" customHeight="1">
      <c r="A38" s="35" t="s">
        <v>462</v>
      </c>
      <c r="B38" s="51"/>
      <c r="C38" s="35" t="s">
        <v>66</v>
      </c>
      <c r="D38" s="44"/>
      <c r="E38" s="53">
        <f t="shared" si="7"/>
        <v>487785</v>
      </c>
      <c r="F38" s="53"/>
      <c r="G38" s="53">
        <v>421392</v>
      </c>
      <c r="H38" s="53"/>
      <c r="I38" s="53">
        <v>909177</v>
      </c>
      <c r="J38" s="53"/>
      <c r="K38" s="53">
        <f t="shared" si="8"/>
        <v>212985</v>
      </c>
      <c r="L38" s="53"/>
      <c r="M38" s="53">
        <v>94107</v>
      </c>
      <c r="N38" s="53"/>
      <c r="O38" s="53">
        <v>307092</v>
      </c>
      <c r="P38" s="53"/>
      <c r="Q38" s="53">
        <v>314571</v>
      </c>
      <c r="R38" s="53"/>
      <c r="S38" s="53">
        <v>0</v>
      </c>
      <c r="T38" s="53"/>
      <c r="U38" s="53">
        <v>287514</v>
      </c>
      <c r="V38" s="53"/>
      <c r="W38" s="53">
        <f t="shared" si="11"/>
        <v>602085</v>
      </c>
      <c r="X38" s="51"/>
      <c r="Y38" s="51"/>
      <c r="Z38" s="35" t="s">
        <v>462</v>
      </c>
      <c r="AA38" s="53"/>
      <c r="AB38" s="35" t="s">
        <v>66</v>
      </c>
      <c r="AC38" s="51"/>
      <c r="AD38" s="53">
        <v>927255</v>
      </c>
      <c r="AE38" s="53"/>
      <c r="AF38" s="53">
        <f>950943-54821</f>
        <v>896122</v>
      </c>
      <c r="AG38" s="53"/>
      <c r="AH38" s="53">
        <v>54821</v>
      </c>
      <c r="AI38" s="53"/>
      <c r="AJ38" s="45">
        <f t="shared" si="9"/>
        <v>-23688</v>
      </c>
      <c r="AK38" s="45"/>
      <c r="AL38" s="53">
        <v>-6555</v>
      </c>
      <c r="AM38" s="45"/>
      <c r="AN38" s="53">
        <v>0</v>
      </c>
      <c r="AO38" s="53"/>
      <c r="AP38" s="53">
        <v>0</v>
      </c>
      <c r="AQ38" s="53"/>
      <c r="AR38" s="53">
        <v>0</v>
      </c>
      <c r="AS38" s="53"/>
      <c r="AT38" s="45">
        <f t="shared" si="10"/>
        <v>-30243</v>
      </c>
      <c r="AU38" s="45"/>
      <c r="AV38" s="53">
        <v>0</v>
      </c>
      <c r="AW38" s="53"/>
      <c r="AX38" s="53">
        <v>0</v>
      </c>
      <c r="AY38" s="53"/>
      <c r="AZ38" s="53">
        <f t="shared" si="6"/>
        <v>274800</v>
      </c>
      <c r="BA38" s="51"/>
      <c r="BB38" s="35" t="s">
        <v>462</v>
      </c>
      <c r="BD38" s="35" t="s">
        <v>66</v>
      </c>
      <c r="BE38" s="53"/>
      <c r="BF38" s="53">
        <v>0</v>
      </c>
      <c r="BG38" s="53"/>
      <c r="BH38" s="53">
        <v>0</v>
      </c>
      <c r="BI38" s="53"/>
      <c r="BJ38" s="53">
        <f>90098+16723</f>
        <v>106821</v>
      </c>
      <c r="BK38" s="53"/>
      <c r="BL38" s="53">
        <f>4009+5510</f>
        <v>9519</v>
      </c>
      <c r="BM38" s="53"/>
      <c r="BN38" s="53">
        <f t="shared" si="5"/>
        <v>116340</v>
      </c>
      <c r="BO38" s="54"/>
      <c r="BP38" s="55"/>
      <c r="BS38" s="55"/>
      <c r="BT38" s="55"/>
      <c r="BU38" s="84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 s="126" customFormat="1" ht="12.75" hidden="1" customHeight="1">
      <c r="A39" s="126" t="s">
        <v>462</v>
      </c>
      <c r="B39" s="124"/>
      <c r="C39" s="126" t="s">
        <v>66</v>
      </c>
      <c r="D39" s="121"/>
      <c r="E39" s="53">
        <f t="shared" si="7"/>
        <v>0</v>
      </c>
      <c r="F39" s="53"/>
      <c r="G39" s="53">
        <v>0</v>
      </c>
      <c r="H39" s="53"/>
      <c r="I39" s="53">
        <v>0</v>
      </c>
      <c r="J39" s="53"/>
      <c r="K39" s="53">
        <f t="shared" si="8"/>
        <v>0</v>
      </c>
      <c r="L39" s="53"/>
      <c r="M39" s="53">
        <v>0</v>
      </c>
      <c r="N39" s="53"/>
      <c r="O39" s="53">
        <v>0</v>
      </c>
      <c r="P39" s="53"/>
      <c r="Q39" s="53">
        <v>0</v>
      </c>
      <c r="R39" s="53"/>
      <c r="S39" s="53">
        <v>0</v>
      </c>
      <c r="T39" s="53"/>
      <c r="U39" s="53">
        <v>0</v>
      </c>
      <c r="V39" s="53"/>
      <c r="W39" s="137">
        <f t="shared" si="11"/>
        <v>0</v>
      </c>
      <c r="X39" s="124"/>
      <c r="Y39" s="124"/>
      <c r="Z39" s="126" t="s">
        <v>462</v>
      </c>
      <c r="AA39" s="137"/>
      <c r="AB39" s="126" t="s">
        <v>66</v>
      </c>
      <c r="AC39" s="124"/>
      <c r="AD39" s="53">
        <v>0</v>
      </c>
      <c r="AE39" s="53"/>
      <c r="AF39" s="53">
        <v>0</v>
      </c>
      <c r="AG39" s="53"/>
      <c r="AH39" s="53">
        <v>0</v>
      </c>
      <c r="AI39" s="53"/>
      <c r="AJ39" s="45">
        <f t="shared" si="9"/>
        <v>0</v>
      </c>
      <c r="AK39" s="45"/>
      <c r="AL39" s="53">
        <v>0</v>
      </c>
      <c r="AM39" s="45"/>
      <c r="AN39" s="53">
        <v>0</v>
      </c>
      <c r="AO39" s="53"/>
      <c r="AP39" s="53">
        <v>0</v>
      </c>
      <c r="AQ39" s="53"/>
      <c r="AR39" s="53">
        <v>0</v>
      </c>
      <c r="AS39" s="53"/>
      <c r="AT39" s="45">
        <f t="shared" si="10"/>
        <v>0</v>
      </c>
      <c r="AU39" s="127"/>
      <c r="AV39" s="137">
        <v>0</v>
      </c>
      <c r="AW39" s="137"/>
      <c r="AX39" s="137">
        <v>0</v>
      </c>
      <c r="AY39" s="137"/>
      <c r="AZ39" s="137">
        <f t="shared" si="6"/>
        <v>0</v>
      </c>
      <c r="BA39" s="124"/>
      <c r="BB39" s="126" t="s">
        <v>462</v>
      </c>
      <c r="BD39" s="126" t="s">
        <v>66</v>
      </c>
      <c r="BE39" s="137"/>
      <c r="BF39" s="53">
        <v>0</v>
      </c>
      <c r="BG39" s="53"/>
      <c r="BH39" s="53">
        <v>0</v>
      </c>
      <c r="BI39" s="53"/>
      <c r="BJ39" s="53">
        <v>0</v>
      </c>
      <c r="BK39" s="53"/>
      <c r="BL39" s="53">
        <v>0</v>
      </c>
      <c r="BM39" s="137"/>
      <c r="BN39" s="137">
        <f t="shared" si="5"/>
        <v>0</v>
      </c>
      <c r="BO39" s="139"/>
      <c r="BP39" s="140"/>
      <c r="BS39" s="140"/>
      <c r="BT39" s="140"/>
      <c r="BU39" s="141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</row>
    <row r="40" spans="1:95" s="126" customFormat="1" ht="12.75" hidden="1" customHeight="1">
      <c r="A40" s="126" t="s">
        <v>52</v>
      </c>
      <c r="B40" s="124"/>
      <c r="C40" s="126" t="s">
        <v>53</v>
      </c>
      <c r="D40" s="121"/>
      <c r="E40" s="53">
        <f t="shared" si="7"/>
        <v>0</v>
      </c>
      <c r="F40" s="53"/>
      <c r="G40" s="53">
        <v>0</v>
      </c>
      <c r="H40" s="53"/>
      <c r="I40" s="53">
        <v>0</v>
      </c>
      <c r="J40" s="53"/>
      <c r="K40" s="53">
        <f t="shared" si="8"/>
        <v>0</v>
      </c>
      <c r="L40" s="53"/>
      <c r="M40" s="53">
        <v>0</v>
      </c>
      <c r="N40" s="53"/>
      <c r="O40" s="53">
        <v>0</v>
      </c>
      <c r="P40" s="53"/>
      <c r="Q40" s="53">
        <v>0</v>
      </c>
      <c r="R40" s="53"/>
      <c r="S40" s="53">
        <v>0</v>
      </c>
      <c r="T40" s="53"/>
      <c r="U40" s="53">
        <v>0</v>
      </c>
      <c r="V40" s="53"/>
      <c r="W40" s="137">
        <f t="shared" si="11"/>
        <v>0</v>
      </c>
      <c r="X40" s="124"/>
      <c r="Y40" s="124"/>
      <c r="Z40" s="126" t="s">
        <v>52</v>
      </c>
      <c r="AA40" s="137"/>
      <c r="AB40" s="126" t="s">
        <v>53</v>
      </c>
      <c r="AC40" s="124"/>
      <c r="AD40" s="53">
        <v>0</v>
      </c>
      <c r="AE40" s="53"/>
      <c r="AF40" s="53">
        <v>0</v>
      </c>
      <c r="AG40" s="53"/>
      <c r="AH40" s="53">
        <v>0</v>
      </c>
      <c r="AI40" s="53"/>
      <c r="AJ40" s="45">
        <f t="shared" si="9"/>
        <v>0</v>
      </c>
      <c r="AK40" s="45"/>
      <c r="AL40" s="53">
        <v>0</v>
      </c>
      <c r="AM40" s="45"/>
      <c r="AN40" s="53">
        <v>0</v>
      </c>
      <c r="AO40" s="53"/>
      <c r="AP40" s="53">
        <v>0</v>
      </c>
      <c r="AQ40" s="53"/>
      <c r="AR40" s="53">
        <v>0</v>
      </c>
      <c r="AS40" s="53"/>
      <c r="AT40" s="45">
        <f t="shared" si="10"/>
        <v>0</v>
      </c>
      <c r="AU40" s="127"/>
      <c r="AV40" s="137">
        <v>0</v>
      </c>
      <c r="AW40" s="137"/>
      <c r="AX40" s="137">
        <v>0</v>
      </c>
      <c r="AY40" s="137"/>
      <c r="AZ40" s="137">
        <f t="shared" si="6"/>
        <v>0</v>
      </c>
      <c r="BA40" s="124"/>
      <c r="BB40" s="126" t="s">
        <v>52</v>
      </c>
      <c r="BD40" s="126" t="s">
        <v>53</v>
      </c>
      <c r="BE40" s="137"/>
      <c r="BF40" s="53">
        <v>0</v>
      </c>
      <c r="BG40" s="53"/>
      <c r="BH40" s="53">
        <v>0</v>
      </c>
      <c r="BI40" s="53"/>
      <c r="BJ40" s="53">
        <v>0</v>
      </c>
      <c r="BK40" s="53"/>
      <c r="BL40" s="53">
        <v>0</v>
      </c>
      <c r="BM40" s="137"/>
      <c r="BN40" s="137">
        <f t="shared" si="5"/>
        <v>0</v>
      </c>
      <c r="BO40" s="139"/>
      <c r="BS40" s="140"/>
      <c r="BT40" s="140"/>
      <c r="BU40" s="141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</row>
    <row r="41" spans="1:95" s="35" customFormat="1" ht="12.75" customHeight="1">
      <c r="A41" s="35" t="s">
        <v>54</v>
      </c>
      <c r="B41" s="51"/>
      <c r="C41" s="35" t="s">
        <v>55</v>
      </c>
      <c r="D41" s="44"/>
      <c r="E41" s="53">
        <f t="shared" si="7"/>
        <v>1425094</v>
      </c>
      <c r="F41" s="53"/>
      <c r="G41" s="53">
        <v>5272091</v>
      </c>
      <c r="H41" s="53"/>
      <c r="I41" s="53">
        <v>6697185</v>
      </c>
      <c r="J41" s="53"/>
      <c r="K41" s="53">
        <f t="shared" si="8"/>
        <v>80582</v>
      </c>
      <c r="L41" s="53"/>
      <c r="M41" s="53">
        <v>533682</v>
      </c>
      <c r="N41" s="53"/>
      <c r="O41" s="53">
        <v>614264</v>
      </c>
      <c r="P41" s="53"/>
      <c r="Q41" s="53">
        <v>5272091</v>
      </c>
      <c r="R41" s="53"/>
      <c r="S41" s="53">
        <v>0</v>
      </c>
      <c r="T41" s="53"/>
      <c r="U41" s="53">
        <v>810830</v>
      </c>
      <c r="V41" s="53"/>
      <c r="W41" s="53">
        <f t="shared" si="11"/>
        <v>6082921</v>
      </c>
      <c r="Z41" s="35" t="s">
        <v>54</v>
      </c>
      <c r="AA41" s="53"/>
      <c r="AB41" s="35" t="s">
        <v>55</v>
      </c>
      <c r="AC41" s="51"/>
      <c r="AD41" s="53">
        <v>1698217</v>
      </c>
      <c r="AE41" s="53"/>
      <c r="AF41" s="53">
        <f>1448195-211362</f>
        <v>1236833</v>
      </c>
      <c r="AG41" s="53"/>
      <c r="AH41" s="53">
        <v>211362</v>
      </c>
      <c r="AI41" s="53"/>
      <c r="AJ41" s="45">
        <f t="shared" si="9"/>
        <v>250022</v>
      </c>
      <c r="AK41" s="45"/>
      <c r="AL41" s="53">
        <v>8315</v>
      </c>
      <c r="AM41" s="45"/>
      <c r="AN41" s="53">
        <v>0</v>
      </c>
      <c r="AO41" s="53"/>
      <c r="AP41" s="53">
        <v>0</v>
      </c>
      <c r="AQ41" s="53"/>
      <c r="AR41" s="53">
        <v>0</v>
      </c>
      <c r="AS41" s="53"/>
      <c r="AT41" s="45">
        <f t="shared" si="10"/>
        <v>258337</v>
      </c>
      <c r="AU41" s="45"/>
      <c r="AV41" s="53">
        <v>0</v>
      </c>
      <c r="AW41" s="53"/>
      <c r="AX41" s="53">
        <v>0</v>
      </c>
      <c r="AY41" s="53"/>
      <c r="AZ41" s="53">
        <f t="shared" si="6"/>
        <v>1344512</v>
      </c>
      <c r="BA41" s="51"/>
      <c r="BB41" s="35" t="s">
        <v>54</v>
      </c>
      <c r="BD41" s="35" t="s">
        <v>55</v>
      </c>
      <c r="BE41" s="53"/>
      <c r="BF41" s="53">
        <v>0</v>
      </c>
      <c r="BG41" s="53"/>
      <c r="BH41" s="53">
        <v>0</v>
      </c>
      <c r="BI41" s="53"/>
      <c r="BJ41" s="53">
        <v>0</v>
      </c>
      <c r="BK41" s="53"/>
      <c r="BL41" s="53">
        <f>533682+32926</f>
        <v>566608</v>
      </c>
      <c r="BM41" s="53"/>
      <c r="BN41" s="53">
        <f t="shared" si="5"/>
        <v>566608</v>
      </c>
      <c r="BO41" s="54"/>
      <c r="BS41" s="55"/>
      <c r="BT41" s="55"/>
      <c r="BU41" s="84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</row>
    <row r="42" spans="1:95" s="35" customFormat="1" ht="12.75" customHeight="1">
      <c r="A42" s="35" t="s">
        <v>56</v>
      </c>
      <c r="B42" s="51"/>
      <c r="C42" s="35" t="s">
        <v>57</v>
      </c>
      <c r="D42" s="44"/>
      <c r="E42" s="53">
        <f t="shared" si="7"/>
        <v>1752525</v>
      </c>
      <c r="F42" s="53"/>
      <c r="G42" s="53">
        <v>8205279</v>
      </c>
      <c r="H42" s="53"/>
      <c r="I42" s="53">
        <v>9957804</v>
      </c>
      <c r="J42" s="53"/>
      <c r="K42" s="53">
        <f t="shared" si="8"/>
        <v>444784</v>
      </c>
      <c r="L42" s="53"/>
      <c r="M42" s="53">
        <v>796797</v>
      </c>
      <c r="N42" s="53"/>
      <c r="O42" s="53">
        <v>1241581</v>
      </c>
      <c r="P42" s="53"/>
      <c r="Q42" s="53">
        <v>7251176</v>
      </c>
      <c r="R42" s="53"/>
      <c r="S42" s="53">
        <v>0</v>
      </c>
      <c r="T42" s="53"/>
      <c r="U42" s="53">
        <v>1465047</v>
      </c>
      <c r="V42" s="53"/>
      <c r="W42" s="53">
        <f t="shared" si="11"/>
        <v>8716223</v>
      </c>
      <c r="X42" s="51"/>
      <c r="Y42" s="51"/>
      <c r="Z42" s="35" t="s">
        <v>56</v>
      </c>
      <c r="AA42" s="53"/>
      <c r="AB42" s="35" t="s">
        <v>57</v>
      </c>
      <c r="AC42" s="51"/>
      <c r="AD42" s="53">
        <v>1986367</v>
      </c>
      <c r="AE42" s="53"/>
      <c r="AF42" s="53">
        <f>1637308-367447</f>
        <v>1269861</v>
      </c>
      <c r="AG42" s="53"/>
      <c r="AH42" s="53">
        <v>367447</v>
      </c>
      <c r="AI42" s="53"/>
      <c r="AJ42" s="45">
        <f t="shared" si="9"/>
        <v>349059</v>
      </c>
      <c r="AK42" s="45"/>
      <c r="AL42" s="53">
        <v>-39270</v>
      </c>
      <c r="AM42" s="45"/>
      <c r="AN42" s="53">
        <v>0</v>
      </c>
      <c r="AO42" s="53"/>
      <c r="AP42" s="53">
        <v>0</v>
      </c>
      <c r="AQ42" s="53"/>
      <c r="AR42" s="53">
        <v>590134</v>
      </c>
      <c r="AS42" s="53"/>
      <c r="AT42" s="45">
        <f t="shared" si="10"/>
        <v>899923</v>
      </c>
      <c r="AU42" s="45"/>
      <c r="AV42" s="53">
        <v>0</v>
      </c>
      <c r="AW42" s="53"/>
      <c r="AX42" s="53">
        <v>0</v>
      </c>
      <c r="AY42" s="53"/>
      <c r="AZ42" s="53">
        <f t="shared" si="6"/>
        <v>1307741</v>
      </c>
      <c r="BA42" s="51"/>
      <c r="BB42" s="35" t="s">
        <v>56</v>
      </c>
      <c r="BD42" s="35" t="s">
        <v>57</v>
      </c>
      <c r="BE42" s="53"/>
      <c r="BF42" s="53">
        <f>200000+195000</f>
        <v>395000</v>
      </c>
      <c r="BG42" s="53"/>
      <c r="BH42" s="53">
        <v>0</v>
      </c>
      <c r="BI42" s="53"/>
      <c r="BJ42" s="53">
        <f>251588+130662+26183+13277</f>
        <v>421710</v>
      </c>
      <c r="BK42" s="53"/>
      <c r="BL42" s="53">
        <f>163393+78154+23985</f>
        <v>265532</v>
      </c>
      <c r="BM42" s="53"/>
      <c r="BN42" s="53">
        <f t="shared" si="5"/>
        <v>1082242</v>
      </c>
      <c r="BO42" s="54"/>
      <c r="BP42" s="55"/>
      <c r="BS42" s="55"/>
      <c r="BT42" s="55"/>
      <c r="BU42" s="84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</row>
    <row r="43" spans="1:95" s="35" customFormat="1" ht="12.75" customHeight="1">
      <c r="A43" s="35" t="s">
        <v>58</v>
      </c>
      <c r="B43" s="51"/>
      <c r="C43" s="35" t="s">
        <v>59</v>
      </c>
      <c r="D43" s="44"/>
      <c r="E43" s="53">
        <f t="shared" si="7"/>
        <v>2663139</v>
      </c>
      <c r="F43" s="53"/>
      <c r="G43" s="53">
        <v>7452704</v>
      </c>
      <c r="H43" s="53"/>
      <c r="I43" s="53">
        <v>10115843</v>
      </c>
      <c r="J43" s="53"/>
      <c r="K43" s="53">
        <f t="shared" si="8"/>
        <v>832156</v>
      </c>
      <c r="L43" s="53"/>
      <c r="M43" s="53">
        <v>2705479</v>
      </c>
      <c r="N43" s="53"/>
      <c r="O43" s="53">
        <v>3537635</v>
      </c>
      <c r="P43" s="53"/>
      <c r="Q43" s="53">
        <v>4147944</v>
      </c>
      <c r="R43" s="53"/>
      <c r="S43" s="53">
        <v>0</v>
      </c>
      <c r="T43" s="53"/>
      <c r="U43" s="53">
        <v>2430264</v>
      </c>
      <c r="V43" s="53"/>
      <c r="W43" s="53">
        <f t="shared" si="11"/>
        <v>6578208</v>
      </c>
      <c r="X43" s="51"/>
      <c r="Y43" s="51"/>
      <c r="Z43" s="35" t="s">
        <v>58</v>
      </c>
      <c r="AA43" s="53"/>
      <c r="AB43" s="35" t="s">
        <v>59</v>
      </c>
      <c r="AC43" s="51"/>
      <c r="AD43" s="53">
        <v>2558026</v>
      </c>
      <c r="AE43" s="53"/>
      <c r="AF43" s="53">
        <f>2648915-434171</f>
        <v>2214744</v>
      </c>
      <c r="AG43" s="53"/>
      <c r="AH43" s="53">
        <v>434171</v>
      </c>
      <c r="AI43" s="53"/>
      <c r="AJ43" s="45">
        <f t="shared" si="9"/>
        <v>-90889</v>
      </c>
      <c r="AK43" s="45"/>
      <c r="AL43" s="53">
        <v>-131028</v>
      </c>
      <c r="AM43" s="45"/>
      <c r="AN43" s="53">
        <v>0</v>
      </c>
      <c r="AO43" s="53"/>
      <c r="AP43" s="53">
        <v>0</v>
      </c>
      <c r="AQ43" s="53"/>
      <c r="AR43" s="53">
        <v>47772</v>
      </c>
      <c r="AS43" s="53"/>
      <c r="AT43" s="45">
        <f t="shared" si="10"/>
        <v>-174145</v>
      </c>
      <c r="AU43" s="45"/>
      <c r="AV43" s="53">
        <v>0</v>
      </c>
      <c r="AW43" s="53"/>
      <c r="AX43" s="53">
        <v>0</v>
      </c>
      <c r="AY43" s="53"/>
      <c r="AZ43" s="53">
        <f t="shared" si="6"/>
        <v>1830983</v>
      </c>
      <c r="BA43" s="51"/>
      <c r="BB43" s="35" t="s">
        <v>58</v>
      </c>
      <c r="BD43" s="35" t="s">
        <v>59</v>
      </c>
      <c r="BE43" s="53"/>
      <c r="BF43" s="53">
        <v>0</v>
      </c>
      <c r="BG43" s="53"/>
      <c r="BH43" s="53">
        <f>953000+217000</f>
        <v>1170000</v>
      </c>
      <c r="BI43" s="53"/>
      <c r="BJ43" s="53">
        <f>92229+1610459+9223+212669</f>
        <v>1924580</v>
      </c>
      <c r="BK43" s="53"/>
      <c r="BL43" s="53">
        <f>49791+16897</f>
        <v>66688</v>
      </c>
      <c r="BM43" s="53"/>
      <c r="BN43" s="53">
        <f t="shared" si="5"/>
        <v>3161268</v>
      </c>
      <c r="BO43" s="54"/>
      <c r="BS43" s="55"/>
      <c r="BT43" s="55"/>
      <c r="BU43" s="84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</row>
    <row r="44" spans="1:95" s="35" customFormat="1" ht="12.75" customHeight="1">
      <c r="A44" s="44" t="s">
        <v>476</v>
      </c>
      <c r="B44" s="51"/>
      <c r="C44" s="35" t="s">
        <v>15</v>
      </c>
      <c r="D44" s="44"/>
      <c r="E44" s="53">
        <f t="shared" si="7"/>
        <v>252574</v>
      </c>
      <c r="F44" s="53"/>
      <c r="G44" s="53">
        <v>4286115</v>
      </c>
      <c r="H44" s="53"/>
      <c r="I44" s="53">
        <v>4538689</v>
      </c>
      <c r="J44" s="53"/>
      <c r="K44" s="53">
        <f t="shared" si="8"/>
        <v>-1156764</v>
      </c>
      <c r="L44" s="53"/>
      <c r="M44" s="53">
        <v>1323063</v>
      </c>
      <c r="N44" s="53"/>
      <c r="O44" s="53">
        <v>166299</v>
      </c>
      <c r="P44" s="53"/>
      <c r="Q44" s="53">
        <v>2758612</v>
      </c>
      <c r="R44" s="53"/>
      <c r="S44" s="53">
        <v>0</v>
      </c>
      <c r="T44" s="53"/>
      <c r="U44" s="53">
        <v>173778</v>
      </c>
      <c r="V44" s="53"/>
      <c r="W44" s="53">
        <f t="shared" si="11"/>
        <v>2932390</v>
      </c>
      <c r="X44" s="51"/>
      <c r="Y44" s="51"/>
      <c r="Z44" s="44" t="s">
        <v>476</v>
      </c>
      <c r="AA44" s="53"/>
      <c r="AB44" s="35" t="s">
        <v>15</v>
      </c>
      <c r="AC44" s="51"/>
      <c r="AD44" s="53">
        <v>674350</v>
      </c>
      <c r="AE44" s="53"/>
      <c r="AF44" s="53">
        <f>628548-136228</f>
        <v>492320</v>
      </c>
      <c r="AG44" s="53"/>
      <c r="AH44" s="53">
        <v>136228</v>
      </c>
      <c r="AI44" s="53"/>
      <c r="AJ44" s="45">
        <f t="shared" si="9"/>
        <v>45802</v>
      </c>
      <c r="AK44" s="45"/>
      <c r="AL44" s="53">
        <v>-27317</v>
      </c>
      <c r="AM44" s="45"/>
      <c r="AN44" s="53">
        <v>115000</v>
      </c>
      <c r="AO44" s="53"/>
      <c r="AP44" s="53">
        <v>0</v>
      </c>
      <c r="AQ44" s="53"/>
      <c r="AR44" s="53">
        <v>0</v>
      </c>
      <c r="AS44" s="53"/>
      <c r="AT44" s="45">
        <f t="shared" si="10"/>
        <v>133485</v>
      </c>
      <c r="AU44" s="45"/>
      <c r="AV44" s="53">
        <v>0</v>
      </c>
      <c r="AW44" s="53"/>
      <c r="AX44" s="53">
        <v>0</v>
      </c>
      <c r="AY44" s="53"/>
      <c r="AZ44" s="53">
        <f t="shared" si="6"/>
        <v>1409338</v>
      </c>
      <c r="BA44" s="51"/>
      <c r="BB44" s="44" t="s">
        <v>476</v>
      </c>
      <c r="BD44" s="35" t="s">
        <v>15</v>
      </c>
      <c r="BE44" s="53"/>
      <c r="BF44" s="53">
        <f>568575+170083</f>
        <v>738658</v>
      </c>
      <c r="BG44" s="53"/>
      <c r="BH44" s="53">
        <v>0</v>
      </c>
      <c r="BI44" s="53"/>
      <c r="BJ44" s="53">
        <f>719952+68893</f>
        <v>788845</v>
      </c>
      <c r="BK44" s="53"/>
      <c r="BL44" s="53">
        <v>34536</v>
      </c>
      <c r="BM44" s="53"/>
      <c r="BN44" s="53">
        <f t="shared" si="5"/>
        <v>1562039</v>
      </c>
      <c r="BO44" s="54"/>
      <c r="BS44" s="55"/>
      <c r="BT44" s="55"/>
      <c r="BU44" s="84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</row>
    <row r="45" spans="1:95" s="35" customFormat="1" ht="12.75" customHeight="1">
      <c r="A45" s="35" t="s">
        <v>60</v>
      </c>
      <c r="C45" s="35" t="s">
        <v>61</v>
      </c>
      <c r="D45" s="44"/>
      <c r="E45" s="53">
        <f t="shared" si="7"/>
        <v>1935888</v>
      </c>
      <c r="F45" s="53"/>
      <c r="G45" s="53">
        <v>5185566</v>
      </c>
      <c r="H45" s="53"/>
      <c r="I45" s="53">
        <v>7121454</v>
      </c>
      <c r="J45" s="53"/>
      <c r="K45" s="53">
        <f t="shared" si="8"/>
        <v>83064</v>
      </c>
      <c r="L45" s="53"/>
      <c r="M45" s="53">
        <v>0</v>
      </c>
      <c r="N45" s="53"/>
      <c r="O45" s="53">
        <v>83064</v>
      </c>
      <c r="P45" s="53"/>
      <c r="Q45" s="53">
        <v>5185566</v>
      </c>
      <c r="R45" s="53"/>
      <c r="S45" s="53">
        <v>0</v>
      </c>
      <c r="T45" s="53"/>
      <c r="U45" s="53">
        <v>1852824</v>
      </c>
      <c r="V45" s="53"/>
      <c r="W45" s="53">
        <f t="shared" si="11"/>
        <v>7038390</v>
      </c>
      <c r="X45" s="51"/>
      <c r="Y45" s="51"/>
      <c r="Z45" s="35" t="s">
        <v>60</v>
      </c>
      <c r="AA45" s="53"/>
      <c r="AB45" s="35" t="s">
        <v>61</v>
      </c>
      <c r="AD45" s="53">
        <v>1214378</v>
      </c>
      <c r="AE45" s="53"/>
      <c r="AF45" s="53">
        <f>1352695-215521</f>
        <v>1137174</v>
      </c>
      <c r="AG45" s="53"/>
      <c r="AH45" s="53">
        <v>215521</v>
      </c>
      <c r="AI45" s="53"/>
      <c r="AJ45" s="45">
        <f t="shared" si="9"/>
        <v>-138317</v>
      </c>
      <c r="AK45" s="45"/>
      <c r="AL45" s="53">
        <v>-28</v>
      </c>
      <c r="AM45" s="45"/>
      <c r="AN45" s="53">
        <v>0</v>
      </c>
      <c r="AO45" s="53"/>
      <c r="AP45" s="53">
        <v>0</v>
      </c>
      <c r="AQ45" s="53"/>
      <c r="AR45" s="53">
        <v>172820</v>
      </c>
      <c r="AS45" s="53"/>
      <c r="AT45" s="45">
        <f t="shared" si="10"/>
        <v>34475</v>
      </c>
      <c r="AU45" s="45"/>
      <c r="AV45" s="53">
        <v>0</v>
      </c>
      <c r="AW45" s="53"/>
      <c r="AX45" s="53">
        <v>0</v>
      </c>
      <c r="AY45" s="53"/>
      <c r="AZ45" s="53">
        <f t="shared" si="6"/>
        <v>1852824</v>
      </c>
      <c r="BA45" s="51"/>
      <c r="BB45" s="35" t="s">
        <v>60</v>
      </c>
      <c r="BD45" s="35" t="s">
        <v>61</v>
      </c>
      <c r="BE45" s="53"/>
      <c r="BF45" s="53">
        <v>0</v>
      </c>
      <c r="BG45" s="53"/>
      <c r="BH45" s="53">
        <v>0</v>
      </c>
      <c r="BI45" s="53"/>
      <c r="BJ45" s="53">
        <v>0</v>
      </c>
      <c r="BK45" s="53"/>
      <c r="BL45" s="53">
        <v>0</v>
      </c>
      <c r="BM45" s="53"/>
      <c r="BN45" s="53">
        <f t="shared" si="5"/>
        <v>0</v>
      </c>
      <c r="BO45" s="54"/>
      <c r="BS45" s="55"/>
      <c r="BT45" s="55"/>
      <c r="BU45" s="84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</row>
    <row r="46" spans="1:95" s="35" customFormat="1" ht="12.75" customHeight="1">
      <c r="A46" s="44" t="s">
        <v>62</v>
      </c>
      <c r="B46" s="51"/>
      <c r="C46" s="35" t="s">
        <v>15</v>
      </c>
      <c r="D46" s="44"/>
      <c r="E46" s="53">
        <f t="shared" si="7"/>
        <v>15702574</v>
      </c>
      <c r="F46" s="53"/>
      <c r="G46" s="53">
        <v>50236731</v>
      </c>
      <c r="H46" s="53"/>
      <c r="I46" s="53">
        <v>65939305</v>
      </c>
      <c r="J46" s="53"/>
      <c r="K46" s="53">
        <f t="shared" si="8"/>
        <v>2384728</v>
      </c>
      <c r="L46" s="53"/>
      <c r="M46" s="53">
        <v>19023618</v>
      </c>
      <c r="N46" s="53"/>
      <c r="O46" s="53">
        <v>21408346</v>
      </c>
      <c r="P46" s="53"/>
      <c r="Q46" s="53">
        <v>29978017</v>
      </c>
      <c r="R46" s="53"/>
      <c r="S46" s="53">
        <v>0</v>
      </c>
      <c r="T46" s="53"/>
      <c r="U46" s="53">
        <v>14552942</v>
      </c>
      <c r="V46" s="53"/>
      <c r="W46" s="53">
        <f t="shared" si="11"/>
        <v>44530959</v>
      </c>
      <c r="X46" s="51"/>
      <c r="Y46" s="51"/>
      <c r="Z46" s="44" t="s">
        <v>62</v>
      </c>
      <c r="AA46" s="53"/>
      <c r="AB46" s="35" t="s">
        <v>15</v>
      </c>
      <c r="AC46" s="51"/>
      <c r="AD46" s="53">
        <v>14722587</v>
      </c>
      <c r="AE46" s="53"/>
      <c r="AF46" s="53">
        <f>10147536-1437114</f>
        <v>8710422</v>
      </c>
      <c r="AG46" s="53"/>
      <c r="AH46" s="53">
        <v>1437114</v>
      </c>
      <c r="AI46" s="53"/>
      <c r="AJ46" s="45">
        <f t="shared" si="9"/>
        <v>4575051</v>
      </c>
      <c r="AK46" s="45"/>
      <c r="AL46" s="53">
        <v>-825205</v>
      </c>
      <c r="AM46" s="45"/>
      <c r="AN46" s="53">
        <v>0</v>
      </c>
      <c r="AO46" s="53"/>
      <c r="AP46" s="53">
        <v>0</v>
      </c>
      <c r="AQ46" s="53"/>
      <c r="AR46" s="53">
        <v>204947</v>
      </c>
      <c r="AS46" s="53"/>
      <c r="AT46" s="45">
        <f t="shared" si="10"/>
        <v>3954793</v>
      </c>
      <c r="AU46" s="45"/>
      <c r="AV46" s="53">
        <v>0</v>
      </c>
      <c r="AW46" s="53"/>
      <c r="AX46" s="53">
        <v>0</v>
      </c>
      <c r="AY46" s="53"/>
      <c r="AZ46" s="53">
        <f t="shared" si="6"/>
        <v>13317846</v>
      </c>
      <c r="BA46" s="51"/>
      <c r="BB46" s="44" t="s">
        <v>62</v>
      </c>
      <c r="BD46" s="35" t="s">
        <v>15</v>
      </c>
      <c r="BE46" s="53"/>
      <c r="BF46" s="53">
        <f>19023618+1229754</f>
        <v>20253372</v>
      </c>
      <c r="BG46" s="53"/>
      <c r="BH46" s="53">
        <v>0</v>
      </c>
      <c r="BI46" s="53"/>
      <c r="BJ46" s="53">
        <v>0</v>
      </c>
      <c r="BK46" s="53"/>
      <c r="BL46" s="53">
        <v>5342</v>
      </c>
      <c r="BM46" s="53"/>
      <c r="BN46" s="53">
        <f t="shared" si="5"/>
        <v>20258714</v>
      </c>
      <c r="BO46" s="54"/>
      <c r="BS46" s="55"/>
      <c r="BT46" s="55"/>
      <c r="BU46" s="84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</row>
    <row r="47" spans="1:95" s="35" customFormat="1" ht="12.75" customHeight="1">
      <c r="A47" s="35" t="s">
        <v>485</v>
      </c>
      <c r="B47" s="51"/>
      <c r="C47" s="35" t="s">
        <v>111</v>
      </c>
      <c r="D47" s="44"/>
      <c r="E47" s="53">
        <f t="shared" si="7"/>
        <v>190270</v>
      </c>
      <c r="F47" s="53"/>
      <c r="G47" s="53">
        <v>1113826</v>
      </c>
      <c r="H47" s="53"/>
      <c r="I47" s="53">
        <v>1304096</v>
      </c>
      <c r="J47" s="53"/>
      <c r="K47" s="53">
        <f t="shared" si="8"/>
        <v>1325</v>
      </c>
      <c r="L47" s="53"/>
      <c r="M47" s="53">
        <v>0</v>
      </c>
      <c r="N47" s="53"/>
      <c r="O47" s="53">
        <v>1325</v>
      </c>
      <c r="P47" s="53"/>
      <c r="Q47" s="53">
        <v>1113826</v>
      </c>
      <c r="R47" s="53"/>
      <c r="S47" s="53">
        <v>0</v>
      </c>
      <c r="T47" s="53"/>
      <c r="U47" s="53">
        <v>188945</v>
      </c>
      <c r="V47" s="53"/>
      <c r="W47" s="53">
        <f t="shared" si="11"/>
        <v>1302771</v>
      </c>
      <c r="X47" s="51"/>
      <c r="Y47" s="51"/>
      <c r="Z47" s="35" t="s">
        <v>485</v>
      </c>
      <c r="AA47" s="51"/>
      <c r="AB47" s="35" t="s">
        <v>111</v>
      </c>
      <c r="AC47" s="51"/>
      <c r="AD47" s="53">
        <v>234755</v>
      </c>
      <c r="AE47" s="53"/>
      <c r="AF47" s="53">
        <f>216182-53372</f>
        <v>162810</v>
      </c>
      <c r="AG47" s="53"/>
      <c r="AH47" s="53">
        <v>53372</v>
      </c>
      <c r="AI47" s="53"/>
      <c r="AJ47" s="45">
        <f t="shared" si="9"/>
        <v>18573</v>
      </c>
      <c r="AK47" s="45"/>
      <c r="AL47" s="53">
        <v>0</v>
      </c>
      <c r="AM47" s="45"/>
      <c r="AN47" s="53">
        <v>0</v>
      </c>
      <c r="AO47" s="53"/>
      <c r="AP47" s="53">
        <v>0</v>
      </c>
      <c r="AQ47" s="53"/>
      <c r="AR47" s="53">
        <v>0</v>
      </c>
      <c r="AS47" s="53"/>
      <c r="AT47" s="45">
        <f t="shared" si="10"/>
        <v>18573</v>
      </c>
      <c r="AU47" s="45"/>
      <c r="AV47" s="53">
        <v>0</v>
      </c>
      <c r="AW47" s="53"/>
      <c r="AX47" s="53">
        <v>0</v>
      </c>
      <c r="AY47" s="53"/>
      <c r="AZ47" s="53">
        <f>E47-K47</f>
        <v>188945</v>
      </c>
      <c r="BA47" s="51"/>
      <c r="BB47" s="35" t="s">
        <v>485</v>
      </c>
      <c r="BC47" s="51"/>
      <c r="BD47" s="35" t="s">
        <v>111</v>
      </c>
      <c r="BE47" s="53"/>
      <c r="BF47" s="53">
        <v>0</v>
      </c>
      <c r="BG47" s="53"/>
      <c r="BH47" s="53">
        <v>0</v>
      </c>
      <c r="BI47" s="53"/>
      <c r="BJ47" s="53">
        <v>0</v>
      </c>
      <c r="BK47" s="53"/>
      <c r="BL47" s="53">
        <v>0</v>
      </c>
      <c r="BM47" s="53"/>
      <c r="BN47" s="53">
        <f t="shared" si="5"/>
        <v>0</v>
      </c>
      <c r="BO47" s="54"/>
      <c r="BS47" s="55"/>
      <c r="BT47" s="55"/>
      <c r="BU47" s="84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</row>
    <row r="48" spans="1:95" s="35" customFormat="1" ht="12.75" customHeight="1">
      <c r="A48" s="35" t="s">
        <v>63</v>
      </c>
      <c r="B48" s="51"/>
      <c r="C48" s="35" t="s">
        <v>64</v>
      </c>
      <c r="D48" s="44"/>
      <c r="E48" s="53">
        <f t="shared" si="7"/>
        <v>2018496</v>
      </c>
      <c r="F48" s="53"/>
      <c r="G48" s="53">
        <v>13605673</v>
      </c>
      <c r="H48" s="53"/>
      <c r="I48" s="53">
        <v>15624169</v>
      </c>
      <c r="J48" s="53"/>
      <c r="K48" s="53">
        <f t="shared" si="8"/>
        <v>604524</v>
      </c>
      <c r="L48" s="53"/>
      <c r="M48" s="53">
        <v>6992477</v>
      </c>
      <c r="N48" s="53"/>
      <c r="O48" s="53">
        <v>7597001</v>
      </c>
      <c r="P48" s="53"/>
      <c r="Q48" s="53">
        <v>6240883</v>
      </c>
      <c r="R48" s="53"/>
      <c r="S48" s="53">
        <v>0</v>
      </c>
      <c r="T48" s="53"/>
      <c r="U48" s="53">
        <v>1786285</v>
      </c>
      <c r="V48" s="53"/>
      <c r="W48" s="53">
        <f t="shared" si="11"/>
        <v>8027168</v>
      </c>
      <c r="X48" s="51"/>
      <c r="Y48" s="51"/>
      <c r="Z48" s="35" t="s">
        <v>63</v>
      </c>
      <c r="AA48" s="53"/>
      <c r="AB48" s="35" t="s">
        <v>64</v>
      </c>
      <c r="AC48" s="51"/>
      <c r="AD48" s="53">
        <v>3633295</v>
      </c>
      <c r="AE48" s="53"/>
      <c r="AF48" s="53">
        <f>2848601-396636</f>
        <v>2451965</v>
      </c>
      <c r="AG48" s="53"/>
      <c r="AH48" s="53">
        <v>396636</v>
      </c>
      <c r="AI48" s="53"/>
      <c r="AJ48" s="45">
        <f t="shared" si="9"/>
        <v>784694</v>
      </c>
      <c r="AK48" s="45"/>
      <c r="AL48" s="53">
        <v>-276535</v>
      </c>
      <c r="AM48" s="45"/>
      <c r="AN48" s="53">
        <v>42845</v>
      </c>
      <c r="AO48" s="53"/>
      <c r="AP48" s="53">
        <v>0</v>
      </c>
      <c r="AQ48" s="53"/>
      <c r="AR48" s="53">
        <v>1205780</v>
      </c>
      <c r="AS48" s="53"/>
      <c r="AT48" s="45">
        <f t="shared" si="10"/>
        <v>1756784</v>
      </c>
      <c r="AU48" s="45"/>
      <c r="AV48" s="53">
        <v>0</v>
      </c>
      <c r="AW48" s="53"/>
      <c r="AX48" s="53">
        <v>0</v>
      </c>
      <c r="AY48" s="53"/>
      <c r="AZ48" s="53">
        <f t="shared" si="6"/>
        <v>1413972</v>
      </c>
      <c r="BA48" s="51"/>
      <c r="BB48" s="35" t="s">
        <v>63</v>
      </c>
      <c r="BC48" s="51"/>
      <c r="BD48" s="35" t="s">
        <v>64</v>
      </c>
      <c r="BE48" s="53"/>
      <c r="BF48" s="53">
        <f>807350+150000</f>
        <v>957350</v>
      </c>
      <c r="BG48" s="53"/>
      <c r="BH48" s="53">
        <v>0</v>
      </c>
      <c r="BI48" s="53"/>
      <c r="BJ48" s="53">
        <f>326188+5802533+24162+254557</f>
        <v>6407440</v>
      </c>
      <c r="BK48" s="53"/>
      <c r="BL48" s="53">
        <f>56406+24515</f>
        <v>80921</v>
      </c>
      <c r="BM48" s="53"/>
      <c r="BN48" s="53">
        <f t="shared" si="5"/>
        <v>7445711</v>
      </c>
      <c r="BO48" s="54"/>
      <c r="BS48" s="55"/>
      <c r="BT48" s="55"/>
      <c r="BU48" s="84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</row>
    <row r="49" spans="1:95" s="126" customFormat="1" ht="12.75" hidden="1" customHeight="1">
      <c r="A49" s="126" t="s">
        <v>65</v>
      </c>
      <c r="B49" s="124"/>
      <c r="C49" s="126" t="s">
        <v>66</v>
      </c>
      <c r="D49" s="121"/>
      <c r="E49" s="53">
        <f t="shared" si="7"/>
        <v>0</v>
      </c>
      <c r="F49" s="53"/>
      <c r="G49" s="53">
        <v>0</v>
      </c>
      <c r="H49" s="53"/>
      <c r="I49" s="53">
        <v>0</v>
      </c>
      <c r="J49" s="53"/>
      <c r="K49" s="53">
        <f t="shared" si="8"/>
        <v>0</v>
      </c>
      <c r="L49" s="53"/>
      <c r="M49" s="53">
        <v>0</v>
      </c>
      <c r="N49" s="53"/>
      <c r="O49" s="53">
        <v>0</v>
      </c>
      <c r="P49" s="53"/>
      <c r="Q49" s="53">
        <v>0</v>
      </c>
      <c r="R49" s="53"/>
      <c r="S49" s="53">
        <v>0</v>
      </c>
      <c r="T49" s="53"/>
      <c r="U49" s="53">
        <v>0</v>
      </c>
      <c r="V49" s="53"/>
      <c r="W49" s="53">
        <f t="shared" si="11"/>
        <v>0</v>
      </c>
      <c r="X49" s="51"/>
      <c r="Y49" s="51"/>
      <c r="Z49" s="35" t="s">
        <v>65</v>
      </c>
      <c r="AA49" s="53"/>
      <c r="AB49" s="35" t="s">
        <v>66</v>
      </c>
      <c r="AC49" s="51"/>
      <c r="AD49" s="53">
        <v>0</v>
      </c>
      <c r="AE49" s="53"/>
      <c r="AF49" s="53">
        <v>0</v>
      </c>
      <c r="AG49" s="53"/>
      <c r="AH49" s="53">
        <v>0</v>
      </c>
      <c r="AI49" s="53"/>
      <c r="AJ49" s="45">
        <f t="shared" si="9"/>
        <v>0</v>
      </c>
      <c r="AK49" s="45"/>
      <c r="AL49" s="53">
        <v>0</v>
      </c>
      <c r="AM49" s="45"/>
      <c r="AN49" s="53">
        <v>0</v>
      </c>
      <c r="AO49" s="53"/>
      <c r="AP49" s="53">
        <v>0</v>
      </c>
      <c r="AQ49" s="53"/>
      <c r="AR49" s="53">
        <v>0</v>
      </c>
      <c r="AS49" s="53"/>
      <c r="AT49" s="45">
        <f t="shared" si="10"/>
        <v>0</v>
      </c>
      <c r="AU49" s="45"/>
      <c r="AV49" s="53">
        <v>0</v>
      </c>
      <c r="AW49" s="53"/>
      <c r="AX49" s="53">
        <v>0</v>
      </c>
      <c r="AY49" s="53"/>
      <c r="AZ49" s="53">
        <f t="shared" si="6"/>
        <v>0</v>
      </c>
      <c r="BA49" s="51"/>
      <c r="BB49" s="35" t="s">
        <v>65</v>
      </c>
      <c r="BC49" s="35"/>
      <c r="BD49" s="35" t="s">
        <v>66</v>
      </c>
      <c r="BE49" s="53"/>
      <c r="BF49" s="53">
        <v>0</v>
      </c>
      <c r="BG49" s="53"/>
      <c r="BH49" s="53">
        <v>0</v>
      </c>
      <c r="BI49" s="53"/>
      <c r="BJ49" s="53">
        <v>0</v>
      </c>
      <c r="BK49" s="53"/>
      <c r="BL49" s="53">
        <v>0</v>
      </c>
      <c r="BM49" s="53"/>
      <c r="BN49" s="53">
        <f t="shared" si="5"/>
        <v>0</v>
      </c>
      <c r="BO49" s="139"/>
      <c r="BS49" s="140"/>
      <c r="BT49" s="140"/>
      <c r="BU49" s="141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</row>
    <row r="50" spans="1:95" s="35" customFormat="1" ht="12.75" customHeight="1">
      <c r="A50" s="35" t="s">
        <v>67</v>
      </c>
      <c r="B50" s="51"/>
      <c r="C50" s="35" t="s">
        <v>375</v>
      </c>
      <c r="D50" s="44"/>
      <c r="E50" s="53">
        <f t="shared" si="7"/>
        <v>1419059</v>
      </c>
      <c r="F50" s="53"/>
      <c r="G50" s="53">
        <v>12511170</v>
      </c>
      <c r="H50" s="53"/>
      <c r="I50" s="53">
        <v>13930229</v>
      </c>
      <c r="J50" s="53"/>
      <c r="K50" s="53">
        <f t="shared" si="8"/>
        <v>345647</v>
      </c>
      <c r="L50" s="53"/>
      <c r="M50" s="53">
        <v>5078751</v>
      </c>
      <c r="N50" s="53"/>
      <c r="O50" s="53">
        <v>5424398</v>
      </c>
      <c r="P50" s="53"/>
      <c r="Q50" s="53">
        <v>7242519</v>
      </c>
      <c r="R50" s="53"/>
      <c r="S50" s="53">
        <v>0</v>
      </c>
      <c r="T50" s="53"/>
      <c r="U50" s="53">
        <v>1263312</v>
      </c>
      <c r="V50" s="53"/>
      <c r="W50" s="53">
        <f t="shared" si="11"/>
        <v>8505831</v>
      </c>
      <c r="X50" s="51"/>
      <c r="Y50" s="51"/>
      <c r="Z50" s="35" t="s">
        <v>67</v>
      </c>
      <c r="AA50" s="53"/>
      <c r="AB50" s="35" t="s">
        <v>375</v>
      </c>
      <c r="AC50" s="51"/>
      <c r="AD50" s="53">
        <v>868042</v>
      </c>
      <c r="AE50" s="53"/>
      <c r="AF50" s="53">
        <f>1093242-243957</f>
        <v>849285</v>
      </c>
      <c r="AG50" s="53"/>
      <c r="AH50" s="53">
        <v>243957</v>
      </c>
      <c r="AI50" s="53"/>
      <c r="AJ50" s="45">
        <f t="shared" si="9"/>
        <v>-225200</v>
      </c>
      <c r="AK50" s="45"/>
      <c r="AL50" s="53">
        <v>-99346</v>
      </c>
      <c r="AM50" s="45"/>
      <c r="AN50" s="53">
        <v>0</v>
      </c>
      <c r="AO50" s="53"/>
      <c r="AP50" s="53">
        <v>0</v>
      </c>
      <c r="AQ50" s="53"/>
      <c r="AR50" s="53">
        <v>0</v>
      </c>
      <c r="AS50" s="53"/>
      <c r="AT50" s="45">
        <f t="shared" si="10"/>
        <v>-324546</v>
      </c>
      <c r="AU50" s="45"/>
      <c r="AV50" s="53">
        <v>0</v>
      </c>
      <c r="AW50" s="53"/>
      <c r="AX50" s="53">
        <v>0</v>
      </c>
      <c r="AY50" s="53"/>
      <c r="AZ50" s="53">
        <f t="shared" si="6"/>
        <v>1073412</v>
      </c>
      <c r="BA50" s="51"/>
      <c r="BB50" s="35" t="s">
        <v>67</v>
      </c>
      <c r="BD50" s="35" t="s">
        <v>375</v>
      </c>
      <c r="BE50" s="53"/>
      <c r="BF50" s="53">
        <v>0</v>
      </c>
      <c r="BG50" s="53"/>
      <c r="BH50" s="53">
        <v>0</v>
      </c>
      <c r="BI50" s="53"/>
      <c r="BJ50" s="53">
        <f>5011978+2600+254073</f>
        <v>5268651</v>
      </c>
      <c r="BK50" s="53"/>
      <c r="BL50" s="53">
        <f>66773+15843</f>
        <v>82616</v>
      </c>
      <c r="BM50" s="53"/>
      <c r="BN50" s="53">
        <f t="shared" si="5"/>
        <v>5351267</v>
      </c>
      <c r="BO50" s="54"/>
      <c r="BS50" s="55"/>
      <c r="BT50" s="55"/>
      <c r="BU50" s="84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s="126" customFormat="1" ht="12.75" hidden="1" customHeight="1">
      <c r="A51" s="126" t="s">
        <v>68</v>
      </c>
      <c r="B51" s="124"/>
      <c r="C51" s="126" t="s">
        <v>45</v>
      </c>
      <c r="D51" s="121"/>
      <c r="E51" s="53">
        <f t="shared" si="7"/>
        <v>0</v>
      </c>
      <c r="F51" s="53"/>
      <c r="G51" s="53">
        <v>0</v>
      </c>
      <c r="H51" s="53"/>
      <c r="I51" s="53">
        <v>0</v>
      </c>
      <c r="J51" s="53"/>
      <c r="K51" s="53">
        <f t="shared" si="8"/>
        <v>0</v>
      </c>
      <c r="L51" s="53"/>
      <c r="M51" s="53">
        <v>0</v>
      </c>
      <c r="N51" s="53"/>
      <c r="O51" s="53">
        <v>0</v>
      </c>
      <c r="P51" s="53"/>
      <c r="Q51" s="53">
        <v>0</v>
      </c>
      <c r="R51" s="53"/>
      <c r="S51" s="53">
        <v>0</v>
      </c>
      <c r="T51" s="53"/>
      <c r="U51" s="53">
        <v>0</v>
      </c>
      <c r="V51" s="53"/>
      <c r="W51" s="137">
        <f t="shared" si="11"/>
        <v>0</v>
      </c>
      <c r="X51" s="124"/>
      <c r="Y51" s="124"/>
      <c r="Z51" s="126" t="s">
        <v>68</v>
      </c>
      <c r="AA51" s="137"/>
      <c r="AB51" s="126" t="s">
        <v>45</v>
      </c>
      <c r="AC51" s="124"/>
      <c r="AD51" s="53">
        <v>0</v>
      </c>
      <c r="AE51" s="53"/>
      <c r="AF51" s="53">
        <v>0</v>
      </c>
      <c r="AG51" s="53"/>
      <c r="AH51" s="53">
        <v>0</v>
      </c>
      <c r="AI51" s="53"/>
      <c r="AJ51" s="45">
        <f t="shared" si="9"/>
        <v>0</v>
      </c>
      <c r="AK51" s="45"/>
      <c r="AL51" s="53">
        <v>0</v>
      </c>
      <c r="AM51" s="45"/>
      <c r="AN51" s="53">
        <v>0</v>
      </c>
      <c r="AO51" s="53"/>
      <c r="AP51" s="53">
        <v>0</v>
      </c>
      <c r="AQ51" s="53"/>
      <c r="AR51" s="53">
        <v>0</v>
      </c>
      <c r="AS51" s="53"/>
      <c r="AT51" s="45">
        <f t="shared" si="10"/>
        <v>0</v>
      </c>
      <c r="AU51" s="127"/>
      <c r="AV51" s="137">
        <v>0</v>
      </c>
      <c r="AW51" s="137"/>
      <c r="AX51" s="137">
        <v>0</v>
      </c>
      <c r="AY51" s="137"/>
      <c r="AZ51" s="137">
        <f t="shared" si="6"/>
        <v>0</v>
      </c>
      <c r="BA51" s="124"/>
      <c r="BB51" s="126" t="s">
        <v>68</v>
      </c>
      <c r="BD51" s="126" t="s">
        <v>45</v>
      </c>
      <c r="BE51" s="137"/>
      <c r="BF51" s="53">
        <v>0</v>
      </c>
      <c r="BG51" s="53"/>
      <c r="BH51" s="53">
        <v>0</v>
      </c>
      <c r="BI51" s="53"/>
      <c r="BJ51" s="53">
        <v>0</v>
      </c>
      <c r="BK51" s="53"/>
      <c r="BL51" s="53">
        <v>0</v>
      </c>
      <c r="BM51" s="137"/>
      <c r="BN51" s="137">
        <f t="shared" si="5"/>
        <v>0</v>
      </c>
      <c r="BO51" s="139"/>
      <c r="BP51" s="140"/>
      <c r="BQ51" s="140"/>
      <c r="BS51" s="140"/>
      <c r="BT51" s="140"/>
      <c r="BU51" s="141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</row>
    <row r="52" spans="1:95" s="35" customFormat="1" ht="12.75" customHeight="1">
      <c r="A52" s="35" t="s">
        <v>69</v>
      </c>
      <c r="B52" s="51"/>
      <c r="C52" s="35" t="s">
        <v>70</v>
      </c>
      <c r="D52" s="44"/>
      <c r="E52" s="53">
        <f t="shared" si="7"/>
        <v>2503695</v>
      </c>
      <c r="F52" s="53"/>
      <c r="G52" s="53">
        <v>24615541</v>
      </c>
      <c r="H52" s="53"/>
      <c r="I52" s="53">
        <v>27119236</v>
      </c>
      <c r="J52" s="53"/>
      <c r="K52" s="53">
        <f t="shared" si="8"/>
        <v>1395387</v>
      </c>
      <c r="L52" s="53"/>
      <c r="M52" s="53">
        <v>3824216</v>
      </c>
      <c r="N52" s="53"/>
      <c r="O52" s="53">
        <v>5219603</v>
      </c>
      <c r="P52" s="53"/>
      <c r="Q52" s="53">
        <v>17094892</v>
      </c>
      <c r="R52" s="53"/>
      <c r="S52" s="53">
        <f>1627337+1200000</f>
        <v>2827337</v>
      </c>
      <c r="T52" s="53"/>
      <c r="U52" s="53">
        <v>1977404</v>
      </c>
      <c r="V52" s="53"/>
      <c r="W52" s="53">
        <f t="shared" si="11"/>
        <v>21899633</v>
      </c>
      <c r="X52" s="51"/>
      <c r="Y52" s="51"/>
      <c r="Z52" s="35" t="s">
        <v>69</v>
      </c>
      <c r="AA52" s="53"/>
      <c r="AB52" s="35" t="s">
        <v>70</v>
      </c>
      <c r="AC52" s="51"/>
      <c r="AD52" s="53">
        <v>4815546</v>
      </c>
      <c r="AE52" s="53"/>
      <c r="AF52" s="53">
        <f>3606350-743260</f>
        <v>2863090</v>
      </c>
      <c r="AG52" s="53"/>
      <c r="AH52" s="53">
        <v>743260</v>
      </c>
      <c r="AI52" s="53"/>
      <c r="AJ52" s="45">
        <f t="shared" si="9"/>
        <v>1209196</v>
      </c>
      <c r="AK52" s="45"/>
      <c r="AL52" s="53">
        <v>-293934</v>
      </c>
      <c r="AM52" s="45"/>
      <c r="AN52" s="53">
        <v>0</v>
      </c>
      <c r="AO52" s="53"/>
      <c r="AP52" s="53">
        <v>6761</v>
      </c>
      <c r="AQ52" s="53"/>
      <c r="AR52" s="53">
        <v>0</v>
      </c>
      <c r="AS52" s="53"/>
      <c r="AT52" s="45">
        <f t="shared" si="10"/>
        <v>908501</v>
      </c>
      <c r="AU52" s="45"/>
      <c r="AV52" s="53">
        <v>0</v>
      </c>
      <c r="AW52" s="53"/>
      <c r="AX52" s="53">
        <v>0</v>
      </c>
      <c r="AY52" s="53"/>
      <c r="AZ52" s="53">
        <f t="shared" si="6"/>
        <v>1108308</v>
      </c>
      <c r="BA52" s="51"/>
      <c r="BB52" s="35" t="s">
        <v>69</v>
      </c>
      <c r="BD52" s="35" t="s">
        <v>70</v>
      </c>
      <c r="BE52" s="53"/>
      <c r="BF52" s="53">
        <v>0</v>
      </c>
      <c r="BG52" s="53"/>
      <c r="BH52" s="53">
        <f>3597642+1095000</f>
        <v>4692642</v>
      </c>
      <c r="BI52" s="53"/>
      <c r="BJ52" s="53">
        <v>0</v>
      </c>
      <c r="BK52" s="53"/>
      <c r="BL52" s="53">
        <f>226574+136729</f>
        <v>363303</v>
      </c>
      <c r="BM52" s="53"/>
      <c r="BN52" s="53">
        <f t="shared" si="5"/>
        <v>5055945</v>
      </c>
      <c r="BO52" s="54"/>
      <c r="BS52" s="55"/>
      <c r="BT52" s="55"/>
      <c r="BU52" s="84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</row>
    <row r="53" spans="1:95" s="35" customFormat="1" ht="12.75" customHeight="1">
      <c r="A53" s="64" t="s">
        <v>71</v>
      </c>
      <c r="B53" s="64"/>
      <c r="C53" s="64" t="s">
        <v>45</v>
      </c>
      <c r="D53" s="46"/>
      <c r="E53" s="53">
        <f t="shared" si="7"/>
        <v>119757000</v>
      </c>
      <c r="F53" s="53"/>
      <c r="G53" s="53">
        <v>961286000</v>
      </c>
      <c r="H53" s="53"/>
      <c r="I53" s="53">
        <v>1081043000</v>
      </c>
      <c r="J53" s="53"/>
      <c r="K53" s="53">
        <f t="shared" si="8"/>
        <v>36103000</v>
      </c>
      <c r="L53" s="53"/>
      <c r="M53" s="53">
        <v>450472000</v>
      </c>
      <c r="N53" s="53"/>
      <c r="O53" s="53">
        <v>486575000</v>
      </c>
      <c r="P53" s="53"/>
      <c r="Q53" s="53">
        <v>482346000</v>
      </c>
      <c r="R53" s="53"/>
      <c r="S53" s="53">
        <f>10152000+36587000</f>
        <v>46739000</v>
      </c>
      <c r="T53" s="53"/>
      <c r="U53" s="53">
        <v>65383000</v>
      </c>
      <c r="V53" s="53"/>
      <c r="W53" s="53">
        <f t="shared" si="11"/>
        <v>594468000</v>
      </c>
      <c r="Z53" s="64" t="s">
        <v>71</v>
      </c>
      <c r="AA53" s="79"/>
      <c r="AB53" s="64" t="s">
        <v>45</v>
      </c>
      <c r="AC53" s="66"/>
      <c r="AD53" s="53">
        <v>125287000</v>
      </c>
      <c r="AE53" s="53"/>
      <c r="AF53" s="53">
        <f>117196000-24290000</f>
        <v>92906000</v>
      </c>
      <c r="AG53" s="53"/>
      <c r="AH53" s="53">
        <v>24290000</v>
      </c>
      <c r="AI53" s="53"/>
      <c r="AJ53" s="45">
        <f t="shared" si="9"/>
        <v>8091000</v>
      </c>
      <c r="AK53" s="45"/>
      <c r="AL53" s="53">
        <v>-8302000</v>
      </c>
      <c r="AM53" s="45"/>
      <c r="AN53" s="53">
        <v>0</v>
      </c>
      <c r="AO53" s="53"/>
      <c r="AP53" s="53">
        <v>0</v>
      </c>
      <c r="AQ53" s="53"/>
      <c r="AR53" s="53">
        <v>3039000</v>
      </c>
      <c r="AS53" s="53"/>
      <c r="AT53" s="45">
        <f t="shared" si="10"/>
        <v>2828000</v>
      </c>
      <c r="AU53" s="45"/>
      <c r="AV53" s="53">
        <v>0</v>
      </c>
      <c r="AW53" s="53"/>
      <c r="AX53" s="53">
        <v>0</v>
      </c>
      <c r="AY53" s="53"/>
      <c r="AZ53" s="53">
        <f t="shared" si="6"/>
        <v>83654000</v>
      </c>
      <c r="BA53" s="51"/>
      <c r="BB53" s="64" t="s">
        <v>71</v>
      </c>
      <c r="BC53" s="64"/>
      <c r="BD53" s="64" t="s">
        <v>45</v>
      </c>
      <c r="BE53" s="79"/>
      <c r="BF53" s="53">
        <f>5800000+2000000</f>
        <v>7800000</v>
      </c>
      <c r="BG53" s="53"/>
      <c r="BH53" s="53">
        <f>401212000+16963000</f>
        <v>418175000</v>
      </c>
      <c r="BI53" s="53"/>
      <c r="BJ53" s="53">
        <f>2231000+4473000+157000+229000</f>
        <v>7090000</v>
      </c>
      <c r="BK53" s="53"/>
      <c r="BL53" s="53">
        <f>3530000+120000+19536000+13570000+4063000+194000</f>
        <v>41013000</v>
      </c>
      <c r="BM53" s="53"/>
      <c r="BN53" s="53">
        <f t="shared" si="5"/>
        <v>474078000</v>
      </c>
      <c r="BO53" s="54"/>
      <c r="BS53" s="55"/>
      <c r="BT53" s="55"/>
      <c r="BU53" s="84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</row>
    <row r="54" spans="1:95" s="35" customFormat="1" ht="12.75" customHeight="1">
      <c r="A54" s="44" t="s">
        <v>463</v>
      </c>
      <c r="B54" s="51"/>
      <c r="C54" s="44" t="s">
        <v>464</v>
      </c>
      <c r="D54" s="44"/>
      <c r="E54" s="53">
        <f t="shared" si="7"/>
        <v>4253303</v>
      </c>
      <c r="F54" s="53"/>
      <c r="G54" s="53">
        <v>6739094</v>
      </c>
      <c r="H54" s="53"/>
      <c r="I54" s="53">
        <v>10992397</v>
      </c>
      <c r="J54" s="53"/>
      <c r="K54" s="53">
        <f t="shared" si="8"/>
        <v>163146</v>
      </c>
      <c r="L54" s="53"/>
      <c r="M54" s="53">
        <v>1177106</v>
      </c>
      <c r="N54" s="53"/>
      <c r="O54" s="53">
        <v>1340252</v>
      </c>
      <c r="P54" s="53"/>
      <c r="Q54" s="53">
        <v>5543039</v>
      </c>
      <c r="R54" s="53"/>
      <c r="S54" s="53">
        <v>0</v>
      </c>
      <c r="T54" s="53"/>
      <c r="U54" s="53">
        <v>4109106</v>
      </c>
      <c r="V54" s="53"/>
      <c r="W54" s="53">
        <f t="shared" si="11"/>
        <v>9652145</v>
      </c>
      <c r="X54" s="51"/>
      <c r="Y54" s="51"/>
      <c r="Z54" s="44" t="s">
        <v>463</v>
      </c>
      <c r="AA54" s="51"/>
      <c r="AB54" s="44" t="s">
        <v>464</v>
      </c>
      <c r="AC54" s="51"/>
      <c r="AD54" s="53">
        <v>1584754</v>
      </c>
      <c r="AE54" s="53"/>
      <c r="AF54" s="53">
        <f>1535781-220452</f>
        <v>1315329</v>
      </c>
      <c r="AG54" s="53"/>
      <c r="AH54" s="53">
        <v>220452</v>
      </c>
      <c r="AI54" s="53"/>
      <c r="AJ54" s="45">
        <f t="shared" si="9"/>
        <v>48973</v>
      </c>
      <c r="AK54" s="45"/>
      <c r="AL54" s="53">
        <v>-49627</v>
      </c>
      <c r="AM54" s="45"/>
      <c r="AN54" s="53">
        <v>0</v>
      </c>
      <c r="AO54" s="53"/>
      <c r="AP54" s="53">
        <v>0</v>
      </c>
      <c r="AQ54" s="53"/>
      <c r="AR54" s="53">
        <v>0</v>
      </c>
      <c r="AS54" s="53"/>
      <c r="AT54" s="45">
        <f t="shared" si="10"/>
        <v>-654</v>
      </c>
      <c r="AU54" s="45"/>
      <c r="AV54" s="53">
        <v>0</v>
      </c>
      <c r="AW54" s="53"/>
      <c r="AX54" s="53">
        <v>0</v>
      </c>
      <c r="AY54" s="53"/>
      <c r="AZ54" s="53">
        <f t="shared" si="6"/>
        <v>4090157</v>
      </c>
      <c r="BA54" s="51"/>
      <c r="BB54" s="44" t="s">
        <v>463</v>
      </c>
      <c r="BC54" s="51"/>
      <c r="BD54" s="44" t="s">
        <v>464</v>
      </c>
      <c r="BE54" s="53"/>
      <c r="BF54" s="53">
        <f>1145000+45000</f>
        <v>1190000</v>
      </c>
      <c r="BG54" s="53"/>
      <c r="BH54" s="53">
        <v>0</v>
      </c>
      <c r="BI54" s="53"/>
      <c r="BJ54" s="53">
        <v>0</v>
      </c>
      <c r="BK54" s="53"/>
      <c r="BL54" s="53">
        <f>32106+28665</f>
        <v>60771</v>
      </c>
      <c r="BM54" s="53"/>
      <c r="BN54" s="53">
        <f t="shared" si="5"/>
        <v>1250771</v>
      </c>
      <c r="BO54" s="54"/>
      <c r="BS54" s="55"/>
      <c r="BT54" s="55"/>
      <c r="BU54" s="84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</row>
    <row r="55" spans="1:95" s="35" customFormat="1" ht="12.75" customHeight="1">
      <c r="A55" s="35" t="s">
        <v>72</v>
      </c>
      <c r="B55" s="51"/>
      <c r="C55" s="35" t="s">
        <v>66</v>
      </c>
      <c r="D55" s="44"/>
      <c r="E55" s="53">
        <f t="shared" si="7"/>
        <v>139982</v>
      </c>
      <c r="F55" s="53"/>
      <c r="G55" s="53">
        <v>3770644</v>
      </c>
      <c r="H55" s="53"/>
      <c r="I55" s="53">
        <v>3910626</v>
      </c>
      <c r="J55" s="53"/>
      <c r="K55" s="53">
        <f t="shared" si="8"/>
        <v>589</v>
      </c>
      <c r="L55" s="53"/>
      <c r="M55" s="53">
        <v>4232359</v>
      </c>
      <c r="N55" s="53"/>
      <c r="O55" s="53">
        <v>4232948</v>
      </c>
      <c r="P55" s="53"/>
      <c r="Q55" s="53">
        <v>-461715</v>
      </c>
      <c r="R55" s="53"/>
      <c r="S55" s="53">
        <v>0</v>
      </c>
      <c r="T55" s="53"/>
      <c r="U55" s="53">
        <v>139393</v>
      </c>
      <c r="V55" s="53"/>
      <c r="W55" s="53">
        <f t="shared" si="11"/>
        <v>-322322</v>
      </c>
      <c r="X55" s="51"/>
      <c r="Y55" s="51"/>
      <c r="Z55" s="35" t="s">
        <v>72</v>
      </c>
      <c r="AA55" s="53"/>
      <c r="AB55" s="35" t="s">
        <v>66</v>
      </c>
      <c r="AC55" s="51"/>
      <c r="AD55" s="53">
        <v>65430</v>
      </c>
      <c r="AE55" s="53"/>
      <c r="AF55" s="53">
        <f>149372-72140</f>
        <v>77232</v>
      </c>
      <c r="AG55" s="53"/>
      <c r="AH55" s="53">
        <v>72140</v>
      </c>
      <c r="AI55" s="53"/>
      <c r="AJ55" s="45">
        <f t="shared" si="9"/>
        <v>-83942</v>
      </c>
      <c r="AK55" s="45"/>
      <c r="AL55" s="53">
        <v>0</v>
      </c>
      <c r="AM55" s="45"/>
      <c r="AN55" s="53">
        <v>0</v>
      </c>
      <c r="AO55" s="53"/>
      <c r="AP55" s="53">
        <v>0</v>
      </c>
      <c r="AQ55" s="53"/>
      <c r="AR55" s="53">
        <v>0</v>
      </c>
      <c r="AS55" s="53"/>
      <c r="AT55" s="45">
        <f t="shared" si="10"/>
        <v>-83942</v>
      </c>
      <c r="AU55" s="45"/>
      <c r="AV55" s="53">
        <v>0</v>
      </c>
      <c r="AW55" s="53"/>
      <c r="AX55" s="53">
        <v>0</v>
      </c>
      <c r="AY55" s="53"/>
      <c r="AZ55" s="53">
        <f t="shared" si="6"/>
        <v>139393</v>
      </c>
      <c r="BA55" s="51"/>
      <c r="BB55" s="35" t="s">
        <v>72</v>
      </c>
      <c r="BD55" s="35" t="s">
        <v>66</v>
      </c>
      <c r="BE55" s="53"/>
      <c r="BF55" s="53">
        <v>0</v>
      </c>
      <c r="BG55" s="53"/>
      <c r="BH55" s="53">
        <v>0</v>
      </c>
      <c r="BI55" s="53"/>
      <c r="BJ55" s="53">
        <v>4232359</v>
      </c>
      <c r="BK55" s="53"/>
      <c r="BL55" s="53">
        <v>0</v>
      </c>
      <c r="BM55" s="53"/>
      <c r="BN55" s="53">
        <f t="shared" si="5"/>
        <v>4232359</v>
      </c>
      <c r="BO55" s="54"/>
      <c r="BS55" s="55"/>
      <c r="BT55" s="55"/>
      <c r="BU55" s="84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</row>
    <row r="56" spans="1:95" s="35" customFormat="1" ht="12.75" customHeight="1">
      <c r="A56" s="35" t="s">
        <v>73</v>
      </c>
      <c r="C56" s="35" t="s">
        <v>27</v>
      </c>
      <c r="D56" s="44"/>
      <c r="E56" s="53">
        <f t="shared" si="7"/>
        <v>276285000</v>
      </c>
      <c r="F56" s="53"/>
      <c r="G56" s="53">
        <v>1733126000</v>
      </c>
      <c r="H56" s="53"/>
      <c r="I56" s="53">
        <v>2009411000</v>
      </c>
      <c r="J56" s="53"/>
      <c r="K56" s="53">
        <f t="shared" si="8"/>
        <v>149843000</v>
      </c>
      <c r="L56" s="53"/>
      <c r="M56" s="53">
        <v>836902000</v>
      </c>
      <c r="N56" s="53"/>
      <c r="O56" s="53">
        <v>986745000</v>
      </c>
      <c r="P56" s="53"/>
      <c r="Q56" s="53">
        <v>713285000</v>
      </c>
      <c r="R56" s="53"/>
      <c r="S56" s="53">
        <v>101890000</v>
      </c>
      <c r="T56" s="53"/>
      <c r="U56" s="53">
        <v>207491000</v>
      </c>
      <c r="V56" s="53"/>
      <c r="W56" s="53">
        <f t="shared" si="2"/>
        <v>1022666000</v>
      </c>
      <c r="X56" s="51"/>
      <c r="Y56" s="51"/>
      <c r="Z56" s="35" t="s">
        <v>73</v>
      </c>
      <c r="AA56" s="53"/>
      <c r="AB56" s="35" t="s">
        <v>27</v>
      </c>
      <c r="AD56" s="53">
        <v>237271000</v>
      </c>
      <c r="AE56" s="53"/>
      <c r="AF56" s="53">
        <f>205228000-55714000</f>
        <v>149514000</v>
      </c>
      <c r="AG56" s="53"/>
      <c r="AH56" s="53">
        <v>55714000</v>
      </c>
      <c r="AI56" s="53"/>
      <c r="AJ56" s="45">
        <f t="shared" si="9"/>
        <v>32043000</v>
      </c>
      <c r="AK56" s="45"/>
      <c r="AL56" s="53">
        <v>-21214000</v>
      </c>
      <c r="AM56" s="45"/>
      <c r="AN56" s="53">
        <v>0</v>
      </c>
      <c r="AO56" s="53"/>
      <c r="AP56" s="53">
        <v>0</v>
      </c>
      <c r="AQ56" s="53"/>
      <c r="AR56" s="53">
        <v>5001000</v>
      </c>
      <c r="AS56" s="53"/>
      <c r="AT56" s="45">
        <f t="shared" si="10"/>
        <v>15830000</v>
      </c>
      <c r="AU56" s="45"/>
      <c r="AV56" s="53">
        <v>0</v>
      </c>
      <c r="AW56" s="53"/>
      <c r="AX56" s="53">
        <v>0</v>
      </c>
      <c r="AY56" s="53"/>
      <c r="AZ56" s="53">
        <f t="shared" ref="AZ56:AZ81" si="12">E56-K56</f>
        <v>126442000</v>
      </c>
      <c r="BA56" s="51"/>
      <c r="BB56" s="35" t="s">
        <v>73</v>
      </c>
      <c r="BD56" s="35" t="s">
        <v>27</v>
      </c>
      <c r="BE56" s="53"/>
      <c r="BF56" s="53">
        <v>0</v>
      </c>
      <c r="BG56" s="53"/>
      <c r="BH56" s="53">
        <f>705505000+93407000</f>
        <v>798912000</v>
      </c>
      <c r="BI56" s="53"/>
      <c r="BJ56" s="53">
        <v>112114000</v>
      </c>
      <c r="BK56" s="53"/>
      <c r="BL56" s="53">
        <f>1619000+17664000</f>
        <v>19283000</v>
      </c>
      <c r="BM56" s="53"/>
      <c r="BN56" s="53">
        <f t="shared" si="5"/>
        <v>930309000</v>
      </c>
      <c r="BO56" s="54"/>
      <c r="BS56" s="55"/>
      <c r="BT56" s="55"/>
      <c r="BU56" s="84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</row>
    <row r="57" spans="1:95" s="126" customFormat="1" ht="12.75" hidden="1" customHeight="1">
      <c r="A57" s="126" t="s">
        <v>74</v>
      </c>
      <c r="B57" s="124"/>
      <c r="C57" s="126" t="s">
        <v>27</v>
      </c>
      <c r="D57" s="121"/>
      <c r="E57" s="53">
        <f t="shared" si="7"/>
        <v>0</v>
      </c>
      <c r="F57" s="53"/>
      <c r="G57" s="53">
        <v>0</v>
      </c>
      <c r="H57" s="53"/>
      <c r="I57" s="53">
        <v>0</v>
      </c>
      <c r="J57" s="53"/>
      <c r="K57" s="53">
        <f t="shared" si="8"/>
        <v>0</v>
      </c>
      <c r="L57" s="53"/>
      <c r="M57" s="53">
        <v>0</v>
      </c>
      <c r="N57" s="53"/>
      <c r="O57" s="53">
        <v>0</v>
      </c>
      <c r="P57" s="53"/>
      <c r="Q57" s="53">
        <v>0</v>
      </c>
      <c r="R57" s="53"/>
      <c r="S57" s="53">
        <v>0</v>
      </c>
      <c r="T57" s="53"/>
      <c r="U57" s="53">
        <v>0</v>
      </c>
      <c r="V57" s="53"/>
      <c r="W57" s="137">
        <f t="shared" si="2"/>
        <v>0</v>
      </c>
      <c r="X57" s="124"/>
      <c r="Y57" s="124"/>
      <c r="Z57" s="126" t="s">
        <v>74</v>
      </c>
      <c r="AA57" s="137"/>
      <c r="AB57" s="126" t="s">
        <v>27</v>
      </c>
      <c r="AC57" s="124"/>
      <c r="AD57" s="53">
        <v>0</v>
      </c>
      <c r="AE57" s="53"/>
      <c r="AF57" s="53">
        <v>0</v>
      </c>
      <c r="AG57" s="53"/>
      <c r="AH57" s="53">
        <v>0</v>
      </c>
      <c r="AI57" s="53"/>
      <c r="AJ57" s="45">
        <f t="shared" si="9"/>
        <v>0</v>
      </c>
      <c r="AK57" s="45"/>
      <c r="AL57" s="53">
        <v>0</v>
      </c>
      <c r="AM57" s="45"/>
      <c r="AN57" s="53">
        <v>0</v>
      </c>
      <c r="AO57" s="53"/>
      <c r="AP57" s="53">
        <v>0</v>
      </c>
      <c r="AQ57" s="53"/>
      <c r="AR57" s="53">
        <v>0</v>
      </c>
      <c r="AS57" s="53"/>
      <c r="AT57" s="45">
        <f t="shared" si="10"/>
        <v>0</v>
      </c>
      <c r="AU57" s="127"/>
      <c r="AV57" s="137">
        <v>0</v>
      </c>
      <c r="AW57" s="137"/>
      <c r="AX57" s="137">
        <v>0</v>
      </c>
      <c r="AY57" s="137"/>
      <c r="AZ57" s="137">
        <f t="shared" si="12"/>
        <v>0</v>
      </c>
      <c r="BA57" s="124"/>
      <c r="BB57" s="126" t="s">
        <v>74</v>
      </c>
      <c r="BD57" s="126" t="s">
        <v>27</v>
      </c>
      <c r="BE57" s="137"/>
      <c r="BF57" s="53">
        <v>0</v>
      </c>
      <c r="BG57" s="53"/>
      <c r="BH57" s="53">
        <v>0</v>
      </c>
      <c r="BI57" s="53"/>
      <c r="BJ57" s="53">
        <v>0</v>
      </c>
      <c r="BK57" s="53"/>
      <c r="BL57" s="53">
        <v>0</v>
      </c>
      <c r="BM57" s="137"/>
      <c r="BN57" s="137">
        <f t="shared" si="5"/>
        <v>0</v>
      </c>
      <c r="BO57" s="139"/>
      <c r="BS57" s="140"/>
      <c r="BT57" s="140"/>
      <c r="BU57" s="141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</row>
    <row r="58" spans="1:95" s="35" customFormat="1" ht="12.75" customHeight="1">
      <c r="A58" s="35" t="s">
        <v>75</v>
      </c>
      <c r="B58" s="51"/>
      <c r="C58" s="35" t="s">
        <v>76</v>
      </c>
      <c r="D58" s="44"/>
      <c r="E58" s="53">
        <f t="shared" si="7"/>
        <v>1770509</v>
      </c>
      <c r="F58" s="53"/>
      <c r="G58" s="53">
        <v>12883259</v>
      </c>
      <c r="H58" s="53"/>
      <c r="I58" s="53">
        <v>14653768</v>
      </c>
      <c r="J58" s="53"/>
      <c r="K58" s="53">
        <f t="shared" si="8"/>
        <v>453823</v>
      </c>
      <c r="L58" s="53"/>
      <c r="M58" s="53">
        <v>5790662</v>
      </c>
      <c r="N58" s="53"/>
      <c r="O58" s="53">
        <v>6244485</v>
      </c>
      <c r="P58" s="53"/>
      <c r="Q58" s="53">
        <v>5923463</v>
      </c>
      <c r="R58" s="53"/>
      <c r="S58" s="53">
        <v>900026</v>
      </c>
      <c r="T58" s="53"/>
      <c r="U58" s="53">
        <v>1585794</v>
      </c>
      <c r="V58" s="53"/>
      <c r="W58" s="53">
        <f t="shared" si="2"/>
        <v>8409283</v>
      </c>
      <c r="X58" s="51"/>
      <c r="Y58" s="51"/>
      <c r="Z58" s="35" t="s">
        <v>75</v>
      </c>
      <c r="AA58" s="53"/>
      <c r="AB58" s="35" t="s">
        <v>76</v>
      </c>
      <c r="AC58" s="51"/>
      <c r="AD58" s="53">
        <v>2678313</v>
      </c>
      <c r="AE58" s="53"/>
      <c r="AF58" s="53">
        <f>2348957-587519</f>
        <v>1761438</v>
      </c>
      <c r="AG58" s="53"/>
      <c r="AH58" s="53">
        <v>587519</v>
      </c>
      <c r="AI58" s="53"/>
      <c r="AJ58" s="45">
        <f t="shared" si="9"/>
        <v>329356</v>
      </c>
      <c r="AK58" s="45"/>
      <c r="AL58" s="53">
        <v>-279119</v>
      </c>
      <c r="AM58" s="45"/>
      <c r="AN58" s="53">
        <v>0</v>
      </c>
      <c r="AO58" s="53"/>
      <c r="AP58" s="53">
        <v>56000</v>
      </c>
      <c r="AQ58" s="53"/>
      <c r="AR58" s="53">
        <v>0</v>
      </c>
      <c r="AS58" s="53"/>
      <c r="AT58" s="45">
        <f t="shared" si="10"/>
        <v>-5763</v>
      </c>
      <c r="AU58" s="45"/>
      <c r="AV58" s="53">
        <v>0</v>
      </c>
      <c r="AW58" s="53"/>
      <c r="AX58" s="53">
        <v>0</v>
      </c>
      <c r="AY58" s="53"/>
      <c r="AZ58" s="53">
        <f t="shared" si="12"/>
        <v>1316686</v>
      </c>
      <c r="BA58" s="51"/>
      <c r="BB58" s="35" t="s">
        <v>75</v>
      </c>
      <c r="BD58" s="35" t="s">
        <v>76</v>
      </c>
      <c r="BE58" s="53"/>
      <c r="BF58" s="53">
        <f>4895000+255000</f>
        <v>5150000</v>
      </c>
      <c r="BG58" s="53"/>
      <c r="BH58" s="53">
        <v>0</v>
      </c>
      <c r="BI58" s="53"/>
      <c r="BJ58" s="53">
        <f>841976+67794</f>
        <v>909770</v>
      </c>
      <c r="BK58" s="53"/>
      <c r="BL58" s="53">
        <f>53686+16291</f>
        <v>69977</v>
      </c>
      <c r="BM58" s="53"/>
      <c r="BN58" s="53">
        <f t="shared" si="5"/>
        <v>6129747</v>
      </c>
      <c r="BO58" s="54"/>
      <c r="BS58" s="55"/>
      <c r="BT58" s="55"/>
      <c r="BU58" s="84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</row>
    <row r="59" spans="1:95" s="35" customFormat="1" ht="12.75" customHeight="1">
      <c r="A59" s="35" t="s">
        <v>77</v>
      </c>
      <c r="B59" s="51"/>
      <c r="C59" s="35" t="s">
        <v>43</v>
      </c>
      <c r="D59" s="44"/>
      <c r="E59" s="53">
        <f t="shared" si="7"/>
        <v>374035000</v>
      </c>
      <c r="F59" s="53"/>
      <c r="G59" s="53">
        <v>520477000</v>
      </c>
      <c r="H59" s="53"/>
      <c r="I59" s="53">
        <v>894512000</v>
      </c>
      <c r="J59" s="53"/>
      <c r="K59" s="53">
        <f t="shared" si="8"/>
        <v>51137000</v>
      </c>
      <c r="L59" s="53"/>
      <c r="M59" s="53">
        <v>560089000</v>
      </c>
      <c r="N59" s="53"/>
      <c r="O59" s="53">
        <v>611226000</v>
      </c>
      <c r="P59" s="53"/>
      <c r="Q59" s="53">
        <v>20938000</v>
      </c>
      <c r="R59" s="53"/>
      <c r="S59" s="53">
        <v>1339000</v>
      </c>
      <c r="T59" s="53"/>
      <c r="U59" s="53">
        <v>72909000</v>
      </c>
      <c r="V59" s="53"/>
      <c r="W59" s="53">
        <f t="shared" si="2"/>
        <v>95186000</v>
      </c>
      <c r="Z59" s="35" t="s">
        <v>77</v>
      </c>
      <c r="AA59" s="53"/>
      <c r="AB59" s="35" t="s">
        <v>43</v>
      </c>
      <c r="AC59" s="51"/>
      <c r="AD59" s="53">
        <v>154982000</v>
      </c>
      <c r="AE59" s="53"/>
      <c r="AF59" s="53">
        <f>116794000-19776000</f>
        <v>97018000</v>
      </c>
      <c r="AG59" s="53"/>
      <c r="AH59" s="53">
        <v>19776000</v>
      </c>
      <c r="AI59" s="53"/>
      <c r="AJ59" s="45">
        <f t="shared" si="9"/>
        <v>38188000</v>
      </c>
      <c r="AK59" s="45"/>
      <c r="AL59" s="53">
        <v>-14937000</v>
      </c>
      <c r="AM59" s="45"/>
      <c r="AN59" s="53">
        <v>0</v>
      </c>
      <c r="AO59" s="53"/>
      <c r="AP59" s="53">
        <v>434000</v>
      </c>
      <c r="AQ59" s="53"/>
      <c r="AR59" s="53">
        <v>0</v>
      </c>
      <c r="AS59" s="53"/>
      <c r="AT59" s="45">
        <f t="shared" si="10"/>
        <v>22817000</v>
      </c>
      <c r="AU59" s="45"/>
      <c r="AV59" s="53">
        <v>0</v>
      </c>
      <c r="AW59" s="53"/>
      <c r="AX59" s="53">
        <v>0</v>
      </c>
      <c r="AY59" s="53"/>
      <c r="AZ59" s="53">
        <f t="shared" si="12"/>
        <v>322898000</v>
      </c>
      <c r="BA59" s="51"/>
      <c r="BB59" s="35" t="s">
        <v>77</v>
      </c>
      <c r="BD59" s="35" t="s">
        <v>43</v>
      </c>
      <c r="BE59" s="53"/>
      <c r="BF59" s="53">
        <f>33119000+560089000</f>
        <v>593208000</v>
      </c>
      <c r="BG59" s="53"/>
      <c r="BH59" s="53">
        <v>0</v>
      </c>
      <c r="BI59" s="53"/>
      <c r="BJ59" s="53">
        <v>0</v>
      </c>
      <c r="BK59" s="53"/>
      <c r="BL59" s="53">
        <v>0</v>
      </c>
      <c r="BM59" s="53"/>
      <c r="BN59" s="53">
        <f t="shared" si="5"/>
        <v>593208000</v>
      </c>
      <c r="BO59" s="54"/>
      <c r="BS59" s="55"/>
      <c r="BT59" s="55"/>
      <c r="BU59" s="84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</row>
    <row r="60" spans="1:95" s="35" customFormat="1" ht="12.75" customHeight="1">
      <c r="A60" s="35" t="s">
        <v>94</v>
      </c>
      <c r="B60" s="51"/>
      <c r="C60" s="35" t="s">
        <v>94</v>
      </c>
      <c r="D60" s="44"/>
      <c r="E60" s="53">
        <f t="shared" si="7"/>
        <v>801185</v>
      </c>
      <c r="F60" s="53"/>
      <c r="G60" s="53">
        <v>3211261</v>
      </c>
      <c r="H60" s="53"/>
      <c r="I60" s="53">
        <v>4012446</v>
      </c>
      <c r="J60" s="53"/>
      <c r="K60" s="53">
        <f t="shared" si="8"/>
        <v>1321263</v>
      </c>
      <c r="L60" s="53"/>
      <c r="M60" s="53">
        <v>177729</v>
      </c>
      <c r="N60" s="53"/>
      <c r="O60" s="53">
        <v>1498992</v>
      </c>
      <c r="P60" s="53"/>
      <c r="Q60" s="53">
        <v>1806261</v>
      </c>
      <c r="R60" s="53"/>
      <c r="S60" s="53">
        <v>0</v>
      </c>
      <c r="T60" s="53"/>
      <c r="U60" s="53">
        <v>707193</v>
      </c>
      <c r="V60" s="53"/>
      <c r="W60" s="53">
        <f>SUM(Q60:U60)</f>
        <v>2513454</v>
      </c>
      <c r="X60" s="51"/>
      <c r="Y60" s="51"/>
      <c r="Z60" s="35" t="str">
        <f>+A60</f>
        <v>Columbiana</v>
      </c>
      <c r="AA60" s="53"/>
      <c r="AB60" s="35" t="s">
        <v>94</v>
      </c>
      <c r="AC60" s="51"/>
      <c r="AD60" s="53">
        <v>1174871</v>
      </c>
      <c r="AE60" s="53"/>
      <c r="AF60" s="53">
        <f>968499-109001</f>
        <v>859498</v>
      </c>
      <c r="AG60" s="53"/>
      <c r="AH60" s="53">
        <v>109001</v>
      </c>
      <c r="AI60" s="53"/>
      <c r="AJ60" s="45">
        <f t="shared" si="9"/>
        <v>206372</v>
      </c>
      <c r="AK60" s="45"/>
      <c r="AL60" s="53">
        <v>-39713</v>
      </c>
      <c r="AM60" s="45"/>
      <c r="AN60" s="53">
        <v>2950</v>
      </c>
      <c r="AO60" s="53"/>
      <c r="AP60" s="53">
        <v>0</v>
      </c>
      <c r="AQ60" s="53"/>
      <c r="AR60" s="53">
        <v>385164</v>
      </c>
      <c r="AS60" s="53"/>
      <c r="AT60" s="45">
        <f t="shared" si="10"/>
        <v>554773</v>
      </c>
      <c r="AU60" s="45"/>
      <c r="AV60" s="53">
        <v>0</v>
      </c>
      <c r="AW60" s="53"/>
      <c r="AX60" s="53">
        <v>0</v>
      </c>
      <c r="AY60" s="53"/>
      <c r="AZ60" s="53">
        <f t="shared" si="12"/>
        <v>-520078</v>
      </c>
      <c r="BA60" s="51"/>
      <c r="BB60" s="35" t="str">
        <f>+Z60</f>
        <v>Columbiana</v>
      </c>
      <c r="BD60" s="35" t="s">
        <v>94</v>
      </c>
      <c r="BE60" s="53"/>
      <c r="BF60" s="53">
        <v>0</v>
      </c>
      <c r="BG60" s="53"/>
      <c r="BH60" s="53">
        <v>0</v>
      </c>
      <c r="BI60" s="53"/>
      <c r="BJ60" s="53">
        <v>0</v>
      </c>
      <c r="BK60" s="53"/>
      <c r="BL60" s="53">
        <f>177729+10000+18036</f>
        <v>205765</v>
      </c>
      <c r="BM60" s="53"/>
      <c r="BN60" s="53">
        <f>SUM(BF60:BL60)</f>
        <v>205765</v>
      </c>
      <c r="BO60" s="54"/>
      <c r="BS60" s="55"/>
      <c r="BT60" s="55"/>
      <c r="BU60" s="84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</row>
    <row r="61" spans="1:95" s="35" customFormat="1" ht="12.75" customHeight="1">
      <c r="A61" s="35" t="s">
        <v>78</v>
      </c>
      <c r="B61" s="51"/>
      <c r="C61" s="35" t="s">
        <v>19</v>
      </c>
      <c r="D61" s="44"/>
      <c r="E61" s="53">
        <f t="shared" si="7"/>
        <v>1128670</v>
      </c>
      <c r="F61" s="53"/>
      <c r="G61" s="53">
        <v>7830100</v>
      </c>
      <c r="H61" s="53"/>
      <c r="I61" s="53">
        <v>8958770</v>
      </c>
      <c r="J61" s="53"/>
      <c r="K61" s="53">
        <f t="shared" si="8"/>
        <v>494416</v>
      </c>
      <c r="L61" s="53"/>
      <c r="M61" s="53">
        <v>2050562</v>
      </c>
      <c r="N61" s="53"/>
      <c r="O61" s="53">
        <v>2544978</v>
      </c>
      <c r="P61" s="53"/>
      <c r="Q61" s="53">
        <v>5531605</v>
      </c>
      <c r="R61" s="53"/>
      <c r="S61" s="53">
        <v>0</v>
      </c>
      <c r="T61" s="53"/>
      <c r="U61" s="53">
        <v>882187</v>
      </c>
      <c r="V61" s="53"/>
      <c r="W61" s="53">
        <f t="shared" si="2"/>
        <v>6413792</v>
      </c>
      <c r="Z61" s="35" t="s">
        <v>78</v>
      </c>
      <c r="AA61" s="53"/>
      <c r="AB61" s="35" t="s">
        <v>19</v>
      </c>
      <c r="AC61" s="51"/>
      <c r="AD61" s="53">
        <v>2119609</v>
      </c>
      <c r="AE61" s="53"/>
      <c r="AF61" s="53">
        <f>1500810-213678</f>
        <v>1287132</v>
      </c>
      <c r="AG61" s="53"/>
      <c r="AH61" s="53">
        <v>213678</v>
      </c>
      <c r="AI61" s="53"/>
      <c r="AJ61" s="45">
        <f t="shared" si="9"/>
        <v>618799</v>
      </c>
      <c r="AK61" s="45"/>
      <c r="AL61" s="53">
        <v>15978</v>
      </c>
      <c r="AM61" s="45"/>
      <c r="AN61" s="53">
        <v>0</v>
      </c>
      <c r="AO61" s="53"/>
      <c r="AP61" s="53">
        <v>0</v>
      </c>
      <c r="AQ61" s="53"/>
      <c r="AR61" s="53">
        <v>0</v>
      </c>
      <c r="AS61" s="53"/>
      <c r="AT61" s="45">
        <f t="shared" si="10"/>
        <v>634777</v>
      </c>
      <c r="AU61" s="45"/>
      <c r="AV61" s="53">
        <v>0</v>
      </c>
      <c r="AW61" s="53"/>
      <c r="AX61" s="53">
        <v>0</v>
      </c>
      <c r="AY61" s="53"/>
      <c r="AZ61" s="53">
        <f t="shared" si="12"/>
        <v>634254</v>
      </c>
      <c r="BA61" s="51"/>
      <c r="BB61" s="35" t="s">
        <v>78</v>
      </c>
      <c r="BD61" s="35" t="s">
        <v>19</v>
      </c>
      <c r="BE61" s="53"/>
      <c r="BF61" s="53">
        <f>460895+70000</f>
        <v>530895</v>
      </c>
      <c r="BG61" s="53"/>
      <c r="BH61" s="53">
        <v>0</v>
      </c>
      <c r="BI61" s="53"/>
      <c r="BJ61" s="53">
        <f>253966+196708+25174+31027+1055621+186328</f>
        <v>1748824</v>
      </c>
      <c r="BK61" s="53"/>
      <c r="BL61" s="53">
        <f>83372+25289</f>
        <v>108661</v>
      </c>
      <c r="BM61" s="53"/>
      <c r="BN61" s="53">
        <f t="shared" si="5"/>
        <v>2388380</v>
      </c>
      <c r="BO61" s="54"/>
      <c r="BS61" s="55"/>
      <c r="BT61" s="55"/>
      <c r="BU61" s="84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</row>
    <row r="62" spans="1:95" s="35" customFormat="1" ht="12.75" customHeight="1">
      <c r="A62" s="35" t="s">
        <v>79</v>
      </c>
      <c r="C62" s="35" t="s">
        <v>80</v>
      </c>
      <c r="D62" s="44"/>
      <c r="E62" s="53">
        <f t="shared" si="7"/>
        <v>518652</v>
      </c>
      <c r="F62" s="53"/>
      <c r="G62" s="53">
        <v>5276327</v>
      </c>
      <c r="H62" s="53"/>
      <c r="I62" s="53">
        <v>5794979</v>
      </c>
      <c r="J62" s="53"/>
      <c r="K62" s="53">
        <f t="shared" si="8"/>
        <v>140724</v>
      </c>
      <c r="L62" s="53"/>
      <c r="M62" s="53">
        <v>2348516</v>
      </c>
      <c r="N62" s="53"/>
      <c r="O62" s="53">
        <v>2489240</v>
      </c>
      <c r="P62" s="53"/>
      <c r="Q62" s="53">
        <v>2856006</v>
      </c>
      <c r="R62" s="53"/>
      <c r="S62" s="53">
        <v>0</v>
      </c>
      <c r="T62" s="53"/>
      <c r="U62" s="53">
        <v>449733</v>
      </c>
      <c r="V62" s="53"/>
      <c r="W62" s="53">
        <f t="shared" si="2"/>
        <v>3305739</v>
      </c>
      <c r="X62" s="51"/>
      <c r="Y62" s="51"/>
      <c r="Z62" s="35" t="s">
        <v>79</v>
      </c>
      <c r="AA62" s="53"/>
      <c r="AB62" s="35" t="s">
        <v>80</v>
      </c>
      <c r="AD62" s="53">
        <v>668961</v>
      </c>
      <c r="AE62" s="53"/>
      <c r="AF62" s="53">
        <f>675352-157395</f>
        <v>517957</v>
      </c>
      <c r="AG62" s="53"/>
      <c r="AH62" s="53">
        <v>157395</v>
      </c>
      <c r="AI62" s="53"/>
      <c r="AJ62" s="45">
        <f t="shared" si="9"/>
        <v>-6391</v>
      </c>
      <c r="AK62" s="45"/>
      <c r="AL62" s="53">
        <v>-70263</v>
      </c>
      <c r="AM62" s="45"/>
      <c r="AN62" s="53">
        <v>0</v>
      </c>
      <c r="AO62" s="53"/>
      <c r="AP62" s="53">
        <v>0</v>
      </c>
      <c r="AQ62" s="53"/>
      <c r="AR62" s="53">
        <v>0</v>
      </c>
      <c r="AS62" s="53"/>
      <c r="AT62" s="45">
        <f t="shared" si="10"/>
        <v>-76654</v>
      </c>
      <c r="AU62" s="45"/>
      <c r="AV62" s="53">
        <v>0</v>
      </c>
      <c r="AW62" s="53"/>
      <c r="AX62" s="53">
        <v>0</v>
      </c>
      <c r="AY62" s="53"/>
      <c r="AZ62" s="53">
        <f t="shared" si="12"/>
        <v>377928</v>
      </c>
      <c r="BA62" s="51"/>
      <c r="BB62" s="35" t="s">
        <v>79</v>
      </c>
      <c r="BD62" s="35" t="s">
        <v>80</v>
      </c>
      <c r="BE62" s="53"/>
      <c r="BF62" s="53">
        <v>0</v>
      </c>
      <c r="BG62" s="53"/>
      <c r="BH62" s="53">
        <v>0</v>
      </c>
      <c r="BI62" s="53"/>
      <c r="BJ62" s="53">
        <f>1629324+688878+102119</f>
        <v>2420321</v>
      </c>
      <c r="BK62" s="53"/>
      <c r="BL62" s="53">
        <f>30314+4304</f>
        <v>34618</v>
      </c>
      <c r="BM62" s="53"/>
      <c r="BN62" s="53">
        <f t="shared" si="5"/>
        <v>2454939</v>
      </c>
      <c r="BO62" s="54"/>
      <c r="BS62" s="55"/>
      <c r="BT62" s="55"/>
      <c r="BU62" s="84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</row>
    <row r="63" spans="1:95" s="35" customFormat="1" ht="12.75" customHeight="1">
      <c r="A63" s="35" t="s">
        <v>81</v>
      </c>
      <c r="C63" s="35" t="s">
        <v>81</v>
      </c>
      <c r="D63" s="44"/>
      <c r="E63" s="53">
        <f t="shared" si="7"/>
        <v>2472955</v>
      </c>
      <c r="F63" s="53"/>
      <c r="G63" s="53">
        <v>10871652</v>
      </c>
      <c r="H63" s="53"/>
      <c r="I63" s="53">
        <v>13344607</v>
      </c>
      <c r="J63" s="53"/>
      <c r="K63" s="53">
        <f t="shared" si="8"/>
        <v>1199701</v>
      </c>
      <c r="L63" s="53"/>
      <c r="M63" s="53">
        <v>7674356</v>
      </c>
      <c r="N63" s="53"/>
      <c r="O63" s="53">
        <v>8874057</v>
      </c>
      <c r="P63" s="53"/>
      <c r="Q63" s="53">
        <v>2321281</v>
      </c>
      <c r="R63" s="53"/>
      <c r="S63" s="53">
        <v>0</v>
      </c>
      <c r="T63" s="53"/>
      <c r="U63" s="53">
        <v>2149269</v>
      </c>
      <c r="V63" s="53"/>
      <c r="W63" s="53">
        <f t="shared" si="2"/>
        <v>4470550</v>
      </c>
      <c r="X63" s="51"/>
      <c r="Y63" s="51"/>
      <c r="Z63" s="35" t="s">
        <v>81</v>
      </c>
      <c r="AA63" s="53"/>
      <c r="AB63" s="35" t="s">
        <v>81</v>
      </c>
      <c r="AD63" s="53">
        <v>3548086</v>
      </c>
      <c r="AE63" s="53"/>
      <c r="AF63" s="53">
        <f>2943912-592346</f>
        <v>2351566</v>
      </c>
      <c r="AG63" s="53"/>
      <c r="AH63" s="53">
        <v>592346</v>
      </c>
      <c r="AI63" s="53"/>
      <c r="AJ63" s="45">
        <f t="shared" si="9"/>
        <v>604174</v>
      </c>
      <c r="AK63" s="45"/>
      <c r="AL63" s="53">
        <v>-624120</v>
      </c>
      <c r="AM63" s="45"/>
      <c r="AN63" s="53">
        <v>0</v>
      </c>
      <c r="AO63" s="53"/>
      <c r="AP63" s="53">
        <v>0</v>
      </c>
      <c r="AQ63" s="53"/>
      <c r="AR63" s="53">
        <v>0</v>
      </c>
      <c r="AS63" s="53"/>
      <c r="AT63" s="45">
        <f t="shared" si="10"/>
        <v>-19946</v>
      </c>
      <c r="AU63" s="45"/>
      <c r="AV63" s="53">
        <v>0</v>
      </c>
      <c r="AW63" s="53"/>
      <c r="AX63" s="53">
        <v>0</v>
      </c>
      <c r="AY63" s="53"/>
      <c r="AZ63" s="53">
        <f t="shared" si="12"/>
        <v>1273254</v>
      </c>
      <c r="BA63" s="51"/>
      <c r="BB63" s="35" t="s">
        <v>81</v>
      </c>
      <c r="BD63" s="35" t="s">
        <v>81</v>
      </c>
      <c r="BE63" s="53"/>
      <c r="BF63" s="53">
        <v>0</v>
      </c>
      <c r="BG63" s="53"/>
      <c r="BH63" s="53">
        <v>0</v>
      </c>
      <c r="BI63" s="53"/>
      <c r="BJ63" s="53">
        <f>7511766+388605</f>
        <v>7900371</v>
      </c>
      <c r="BK63" s="53"/>
      <c r="BL63" s="53">
        <f>162590+21576</f>
        <v>184166</v>
      </c>
      <c r="BM63" s="53"/>
      <c r="BN63" s="53">
        <f t="shared" si="5"/>
        <v>8084537</v>
      </c>
      <c r="BO63" s="54"/>
      <c r="BS63" s="55"/>
      <c r="BT63" s="55"/>
      <c r="BU63" s="84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</row>
    <row r="64" spans="1:95" s="126" customFormat="1" ht="12.75" hidden="1" customHeight="1">
      <c r="A64" s="122" t="s">
        <v>465</v>
      </c>
      <c r="B64" s="122"/>
      <c r="C64" s="122" t="s">
        <v>57</v>
      </c>
      <c r="D64" s="121"/>
      <c r="E64" s="137">
        <f t="shared" si="7"/>
        <v>0</v>
      </c>
      <c r="F64" s="137"/>
      <c r="G64" s="137">
        <v>0</v>
      </c>
      <c r="H64" s="137"/>
      <c r="I64" s="137">
        <v>0</v>
      </c>
      <c r="J64" s="137"/>
      <c r="K64" s="137">
        <f t="shared" si="8"/>
        <v>0</v>
      </c>
      <c r="L64" s="137"/>
      <c r="M64" s="137">
        <v>0</v>
      </c>
      <c r="N64" s="137"/>
      <c r="O64" s="137">
        <v>0</v>
      </c>
      <c r="P64" s="137"/>
      <c r="Q64" s="137">
        <v>0</v>
      </c>
      <c r="R64" s="137"/>
      <c r="S64" s="137">
        <v>0</v>
      </c>
      <c r="T64" s="137"/>
      <c r="U64" s="137">
        <v>0</v>
      </c>
      <c r="V64" s="137"/>
      <c r="W64" s="137">
        <f t="shared" si="2"/>
        <v>0</v>
      </c>
      <c r="X64" s="124"/>
      <c r="Y64" s="124"/>
      <c r="Z64" s="122" t="s">
        <v>465</v>
      </c>
      <c r="AA64" s="122"/>
      <c r="AB64" s="122" t="s">
        <v>57</v>
      </c>
      <c r="AC64" s="124"/>
      <c r="AD64" s="137">
        <v>0</v>
      </c>
      <c r="AE64" s="137"/>
      <c r="AF64" s="137">
        <v>0</v>
      </c>
      <c r="AG64" s="137"/>
      <c r="AH64" s="137">
        <v>0</v>
      </c>
      <c r="AI64" s="137"/>
      <c r="AJ64" s="127">
        <f t="shared" si="9"/>
        <v>0</v>
      </c>
      <c r="AK64" s="127"/>
      <c r="AL64" s="137">
        <v>0</v>
      </c>
      <c r="AM64" s="127"/>
      <c r="AN64" s="137">
        <v>0</v>
      </c>
      <c r="AO64" s="137"/>
      <c r="AP64" s="137">
        <v>0</v>
      </c>
      <c r="AQ64" s="137"/>
      <c r="AR64" s="137">
        <v>0</v>
      </c>
      <c r="AS64" s="137"/>
      <c r="AT64" s="127">
        <f t="shared" si="10"/>
        <v>0</v>
      </c>
      <c r="AU64" s="127"/>
      <c r="AV64" s="137">
        <v>0</v>
      </c>
      <c r="AW64" s="137"/>
      <c r="AX64" s="137">
        <v>0</v>
      </c>
      <c r="AY64" s="137"/>
      <c r="AZ64" s="137">
        <f t="shared" si="12"/>
        <v>0</v>
      </c>
      <c r="BA64" s="124"/>
      <c r="BB64" s="122" t="s">
        <v>465</v>
      </c>
      <c r="BC64" s="122"/>
      <c r="BD64" s="122" t="s">
        <v>57</v>
      </c>
      <c r="BE64" s="137"/>
      <c r="BF64" s="137">
        <v>0</v>
      </c>
      <c r="BG64" s="137"/>
      <c r="BH64" s="137">
        <v>0</v>
      </c>
      <c r="BI64" s="137"/>
      <c r="BJ64" s="137">
        <v>0</v>
      </c>
      <c r="BK64" s="137"/>
      <c r="BL64" s="137">
        <v>0</v>
      </c>
      <c r="BM64" s="137"/>
      <c r="BN64" s="137">
        <f t="shared" si="5"/>
        <v>0</v>
      </c>
      <c r="BO64" s="139"/>
      <c r="BS64" s="140"/>
      <c r="BT64" s="140"/>
      <c r="BU64" s="141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</row>
    <row r="65" spans="1:95" s="35" customFormat="1" ht="12.75" customHeight="1">
      <c r="A65" s="35" t="s">
        <v>82</v>
      </c>
      <c r="B65" s="51"/>
      <c r="C65" s="35" t="s">
        <v>13</v>
      </c>
      <c r="D65" s="44"/>
      <c r="E65" s="53">
        <f t="shared" si="7"/>
        <v>2666479</v>
      </c>
      <c r="F65" s="53"/>
      <c r="G65" s="53">
        <v>19310845</v>
      </c>
      <c r="H65" s="53"/>
      <c r="I65" s="53">
        <v>21977324</v>
      </c>
      <c r="J65" s="53"/>
      <c r="K65" s="53">
        <f t="shared" si="8"/>
        <v>1512275</v>
      </c>
      <c r="L65" s="53"/>
      <c r="M65" s="53">
        <v>9365288</v>
      </c>
      <c r="N65" s="53"/>
      <c r="O65" s="53">
        <v>10877563</v>
      </c>
      <c r="P65" s="53"/>
      <c r="Q65" s="53">
        <v>9474197</v>
      </c>
      <c r="R65" s="53"/>
      <c r="S65" s="53">
        <v>0</v>
      </c>
      <c r="T65" s="53"/>
      <c r="U65" s="53">
        <v>1625564</v>
      </c>
      <c r="V65" s="53"/>
      <c r="W65" s="53">
        <f t="shared" si="2"/>
        <v>11099761</v>
      </c>
      <c r="X65" s="51"/>
      <c r="Y65" s="51"/>
      <c r="Z65" s="35" t="s">
        <v>82</v>
      </c>
      <c r="AA65" s="53"/>
      <c r="AB65" s="35" t="s">
        <v>13</v>
      </c>
      <c r="AC65" s="51"/>
      <c r="AD65" s="53">
        <v>5024010</v>
      </c>
      <c r="AE65" s="53"/>
      <c r="AF65" s="53">
        <f>4286337-992586</f>
        <v>3293751</v>
      </c>
      <c r="AG65" s="53"/>
      <c r="AH65" s="53">
        <v>992586</v>
      </c>
      <c r="AI65" s="53"/>
      <c r="AJ65" s="45">
        <f t="shared" si="9"/>
        <v>737673</v>
      </c>
      <c r="AK65" s="45"/>
      <c r="AL65" s="53">
        <v>-411159</v>
      </c>
      <c r="AM65" s="45"/>
      <c r="AN65" s="53">
        <v>0</v>
      </c>
      <c r="AO65" s="53"/>
      <c r="AP65" s="53">
        <v>0</v>
      </c>
      <c r="AQ65" s="53"/>
      <c r="AR65" s="53">
        <v>0</v>
      </c>
      <c r="AS65" s="53"/>
      <c r="AT65" s="45">
        <f t="shared" si="10"/>
        <v>326514</v>
      </c>
      <c r="AU65" s="45"/>
      <c r="AV65" s="53">
        <v>0</v>
      </c>
      <c r="AW65" s="53"/>
      <c r="AX65" s="53">
        <v>0</v>
      </c>
      <c r="AY65" s="53"/>
      <c r="AZ65" s="53">
        <f t="shared" si="12"/>
        <v>1154204</v>
      </c>
      <c r="BA65" s="51"/>
      <c r="BB65" s="35" t="s">
        <v>82</v>
      </c>
      <c r="BD65" s="35" t="s">
        <v>13</v>
      </c>
      <c r="BE65" s="53"/>
      <c r="BF65" s="53">
        <f>6036998+634000</f>
        <v>6670998</v>
      </c>
      <c r="BG65" s="53"/>
      <c r="BH65" s="53">
        <v>0</v>
      </c>
      <c r="BI65" s="53"/>
      <c r="BJ65" s="53">
        <v>0</v>
      </c>
      <c r="BK65" s="53"/>
      <c r="BL65" s="53">
        <f>298758+2862367+167165+293872+56639</f>
        <v>3678801</v>
      </c>
      <c r="BM65" s="53"/>
      <c r="BN65" s="53">
        <f t="shared" si="5"/>
        <v>10349799</v>
      </c>
      <c r="BO65" s="54"/>
      <c r="BS65" s="55"/>
      <c r="BT65" s="55"/>
      <c r="BU65" s="84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</row>
    <row r="66" spans="1:95" s="35" customFormat="1" ht="12.75" customHeight="1">
      <c r="A66" s="35" t="s">
        <v>83</v>
      </c>
      <c r="B66" s="51"/>
      <c r="C66" s="35" t="s">
        <v>66</v>
      </c>
      <c r="D66" s="44"/>
      <c r="E66" s="53">
        <f t="shared" si="7"/>
        <v>57407459</v>
      </c>
      <c r="F66" s="53"/>
      <c r="G66" s="53">
        <v>114885208</v>
      </c>
      <c r="H66" s="53"/>
      <c r="I66" s="53">
        <v>172292667</v>
      </c>
      <c r="J66" s="53"/>
      <c r="K66" s="53">
        <f t="shared" si="8"/>
        <v>4460750</v>
      </c>
      <c r="L66" s="53"/>
      <c r="M66" s="53">
        <v>638174</v>
      </c>
      <c r="N66" s="53"/>
      <c r="O66" s="53">
        <v>5098924</v>
      </c>
      <c r="P66" s="53"/>
      <c r="Q66" s="53">
        <v>102529691</v>
      </c>
      <c r="R66" s="53"/>
      <c r="S66" s="53">
        <v>0</v>
      </c>
      <c r="T66" s="53"/>
      <c r="U66" s="53">
        <v>64664052</v>
      </c>
      <c r="V66" s="53"/>
      <c r="W66" s="53">
        <f t="shared" si="2"/>
        <v>167193743</v>
      </c>
      <c r="Z66" s="35" t="s">
        <v>83</v>
      </c>
      <c r="AA66" s="53"/>
      <c r="AB66" s="35" t="s">
        <v>66</v>
      </c>
      <c r="AC66" s="51"/>
      <c r="AD66" s="53">
        <v>49318157</v>
      </c>
      <c r="AE66" s="53"/>
      <c r="AF66" s="53">
        <f>46837075-6387001</f>
        <v>40450074</v>
      </c>
      <c r="AG66" s="53"/>
      <c r="AH66" s="53">
        <v>6387001</v>
      </c>
      <c r="AI66" s="53"/>
      <c r="AJ66" s="45">
        <f t="shared" si="9"/>
        <v>2481082</v>
      </c>
      <c r="AK66" s="45"/>
      <c r="AL66" s="53">
        <v>51314</v>
      </c>
      <c r="AM66" s="45"/>
      <c r="AN66" s="53">
        <v>0</v>
      </c>
      <c r="AO66" s="53"/>
      <c r="AP66" s="53">
        <v>0</v>
      </c>
      <c r="AQ66" s="53"/>
      <c r="AR66" s="53">
        <v>125807</v>
      </c>
      <c r="AS66" s="53"/>
      <c r="AT66" s="45">
        <f t="shared" si="10"/>
        <v>2658203</v>
      </c>
      <c r="AU66" s="45"/>
      <c r="AV66" s="53">
        <v>0</v>
      </c>
      <c r="AW66" s="53"/>
      <c r="AX66" s="53">
        <v>0</v>
      </c>
      <c r="AY66" s="53"/>
      <c r="AZ66" s="53">
        <f t="shared" si="12"/>
        <v>52946709</v>
      </c>
      <c r="BA66" s="51"/>
      <c r="BB66" s="35" t="s">
        <v>83</v>
      </c>
      <c r="BD66" s="35" t="s">
        <v>66</v>
      </c>
      <c r="BE66" s="53"/>
      <c r="BF66" s="53">
        <v>0</v>
      </c>
      <c r="BG66" s="53"/>
      <c r="BH66" s="53">
        <v>0</v>
      </c>
      <c r="BI66" s="53"/>
      <c r="BJ66" s="53">
        <v>0</v>
      </c>
      <c r="BK66" s="53"/>
      <c r="BL66" s="53">
        <f>638174+834056</f>
        <v>1472230</v>
      </c>
      <c r="BM66" s="53"/>
      <c r="BN66" s="53">
        <f t="shared" si="5"/>
        <v>1472230</v>
      </c>
      <c r="BO66" s="54"/>
      <c r="BS66" s="55"/>
      <c r="BT66" s="55"/>
      <c r="BU66" s="84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s="126" customFormat="1" ht="12.75" hidden="1" customHeight="1">
      <c r="A67" s="126" t="s">
        <v>84</v>
      </c>
      <c r="B67" s="124"/>
      <c r="C67" s="126" t="s">
        <v>45</v>
      </c>
      <c r="D67" s="121"/>
      <c r="E67" s="53">
        <f t="shared" si="7"/>
        <v>0</v>
      </c>
      <c r="F67" s="53"/>
      <c r="G67" s="53">
        <v>0</v>
      </c>
      <c r="H67" s="53"/>
      <c r="I67" s="53">
        <v>0</v>
      </c>
      <c r="J67" s="53"/>
      <c r="K67" s="53">
        <f t="shared" si="8"/>
        <v>0</v>
      </c>
      <c r="L67" s="53"/>
      <c r="M67" s="53">
        <v>0</v>
      </c>
      <c r="N67" s="53"/>
      <c r="O67" s="53">
        <v>0</v>
      </c>
      <c r="P67" s="53"/>
      <c r="Q67" s="53">
        <v>0</v>
      </c>
      <c r="R67" s="53"/>
      <c r="S67" s="53">
        <v>0</v>
      </c>
      <c r="T67" s="53"/>
      <c r="U67" s="53">
        <v>0</v>
      </c>
      <c r="V67" s="53"/>
      <c r="W67" s="137">
        <f t="shared" si="2"/>
        <v>0</v>
      </c>
      <c r="X67" s="124"/>
      <c r="Y67" s="124"/>
      <c r="Z67" s="126" t="s">
        <v>84</v>
      </c>
      <c r="AA67" s="137"/>
      <c r="AB67" s="126" t="s">
        <v>45</v>
      </c>
      <c r="AC67" s="124"/>
      <c r="AD67" s="53">
        <v>0</v>
      </c>
      <c r="AE67" s="53"/>
      <c r="AF67" s="53">
        <v>0</v>
      </c>
      <c r="AG67" s="53"/>
      <c r="AH67" s="53">
        <v>0</v>
      </c>
      <c r="AI67" s="53"/>
      <c r="AJ67" s="45">
        <f t="shared" si="9"/>
        <v>0</v>
      </c>
      <c r="AK67" s="45"/>
      <c r="AL67" s="53">
        <v>0</v>
      </c>
      <c r="AM67" s="45"/>
      <c r="AN67" s="53">
        <v>0</v>
      </c>
      <c r="AO67" s="53"/>
      <c r="AP67" s="53">
        <v>0</v>
      </c>
      <c r="AQ67" s="53"/>
      <c r="AR67" s="53">
        <v>0</v>
      </c>
      <c r="AS67" s="53"/>
      <c r="AT67" s="45">
        <f t="shared" si="10"/>
        <v>0</v>
      </c>
      <c r="AU67" s="127"/>
      <c r="AV67" s="137">
        <v>0</v>
      </c>
      <c r="AW67" s="137"/>
      <c r="AX67" s="137">
        <v>0</v>
      </c>
      <c r="AY67" s="137"/>
      <c r="AZ67" s="137">
        <f t="shared" si="12"/>
        <v>0</v>
      </c>
      <c r="BA67" s="124"/>
      <c r="BB67" s="126" t="s">
        <v>84</v>
      </c>
      <c r="BD67" s="126" t="s">
        <v>45</v>
      </c>
      <c r="BE67" s="137"/>
      <c r="BF67" s="53">
        <v>0</v>
      </c>
      <c r="BG67" s="53"/>
      <c r="BH67" s="53">
        <v>0</v>
      </c>
      <c r="BI67" s="53"/>
      <c r="BJ67" s="53">
        <v>0</v>
      </c>
      <c r="BK67" s="53"/>
      <c r="BL67" s="53">
        <v>0</v>
      </c>
      <c r="BM67" s="137"/>
      <c r="BN67" s="137">
        <f t="shared" si="5"/>
        <v>0</v>
      </c>
      <c r="BO67" s="139"/>
      <c r="BS67" s="140"/>
      <c r="BT67" s="140"/>
      <c r="BU67" s="141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</row>
    <row r="68" spans="1:95" s="35" customFormat="1" ht="12.75" customHeight="1">
      <c r="A68" s="35" t="s">
        <v>85</v>
      </c>
      <c r="B68" s="51"/>
      <c r="C68" s="35" t="s">
        <v>85</v>
      </c>
      <c r="D68" s="44"/>
      <c r="E68" s="53">
        <f t="shared" si="7"/>
        <v>1216530</v>
      </c>
      <c r="F68" s="53"/>
      <c r="G68" s="53">
        <v>23948251</v>
      </c>
      <c r="H68" s="53"/>
      <c r="I68" s="53">
        <v>25164781</v>
      </c>
      <c r="J68" s="53"/>
      <c r="K68" s="53">
        <f t="shared" si="8"/>
        <v>944535</v>
      </c>
      <c r="L68" s="53"/>
      <c r="M68" s="53">
        <v>15616258</v>
      </c>
      <c r="N68" s="53"/>
      <c r="O68" s="53">
        <v>16560793</v>
      </c>
      <c r="P68" s="53"/>
      <c r="Q68" s="53">
        <v>7512923</v>
      </c>
      <c r="R68" s="53"/>
      <c r="S68" s="53">
        <v>0</v>
      </c>
      <c r="T68" s="53"/>
      <c r="U68" s="53">
        <v>1091065</v>
      </c>
      <c r="V68" s="53"/>
      <c r="W68" s="53">
        <f t="shared" si="2"/>
        <v>8603988</v>
      </c>
      <c r="X68" s="51"/>
      <c r="Y68" s="51"/>
      <c r="Z68" s="35" t="s">
        <v>85</v>
      </c>
      <c r="AA68" s="53"/>
      <c r="AB68" s="35" t="s">
        <v>85</v>
      </c>
      <c r="AC68" s="51"/>
      <c r="AD68" s="53">
        <v>4861895</v>
      </c>
      <c r="AE68" s="53"/>
      <c r="AF68" s="53">
        <f>3476642-783780</f>
        <v>2692862</v>
      </c>
      <c r="AG68" s="53"/>
      <c r="AH68" s="53">
        <v>783780</v>
      </c>
      <c r="AI68" s="53"/>
      <c r="AJ68" s="45">
        <f t="shared" si="9"/>
        <v>1385253</v>
      </c>
      <c r="AK68" s="45"/>
      <c r="AL68" s="53">
        <v>-733717</v>
      </c>
      <c r="AM68" s="45"/>
      <c r="AN68" s="53">
        <v>0</v>
      </c>
      <c r="AO68" s="53"/>
      <c r="AP68" s="53">
        <v>0</v>
      </c>
      <c r="AQ68" s="53"/>
      <c r="AR68" s="53">
        <v>0</v>
      </c>
      <c r="AS68" s="53"/>
      <c r="AT68" s="45">
        <f t="shared" si="10"/>
        <v>651536</v>
      </c>
      <c r="AU68" s="45"/>
      <c r="AV68" s="53">
        <v>0</v>
      </c>
      <c r="AW68" s="53"/>
      <c r="AX68" s="53">
        <v>0</v>
      </c>
      <c r="AY68" s="53"/>
      <c r="AZ68" s="53">
        <f t="shared" si="12"/>
        <v>271995</v>
      </c>
      <c r="BA68" s="51"/>
      <c r="BB68" s="35" t="s">
        <v>85</v>
      </c>
      <c r="BD68" s="35" t="s">
        <v>85</v>
      </c>
      <c r="BE68" s="53"/>
      <c r="BF68" s="53">
        <f>8174244+575000</f>
        <v>8749244</v>
      </c>
      <c r="BG68" s="53"/>
      <c r="BH68" s="53">
        <v>0</v>
      </c>
      <c r="BI68" s="53"/>
      <c r="BJ68" s="53">
        <f>360960+7047844+68035</f>
        <v>7476839</v>
      </c>
      <c r="BK68" s="53"/>
      <c r="BL68" s="53">
        <f>33210+47088</f>
        <v>80298</v>
      </c>
      <c r="BM68" s="53"/>
      <c r="BN68" s="53">
        <f t="shared" si="5"/>
        <v>16306381</v>
      </c>
      <c r="BO68" s="54"/>
      <c r="BS68" s="55"/>
      <c r="BT68" s="55"/>
      <c r="BU68" s="84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</row>
    <row r="69" spans="1:95" s="35" customFormat="1" ht="12.75" customHeight="1">
      <c r="A69" s="35" t="s">
        <v>86</v>
      </c>
      <c r="B69" s="51"/>
      <c r="C69" s="35" t="s">
        <v>86</v>
      </c>
      <c r="D69" s="44"/>
      <c r="E69" s="53">
        <f t="shared" si="7"/>
        <v>5794177</v>
      </c>
      <c r="F69" s="53"/>
      <c r="G69" s="53">
        <v>29772216</v>
      </c>
      <c r="H69" s="53"/>
      <c r="I69" s="53">
        <v>35566393</v>
      </c>
      <c r="J69" s="53"/>
      <c r="K69" s="53">
        <f t="shared" si="8"/>
        <v>269117</v>
      </c>
      <c r="L69" s="53"/>
      <c r="M69" s="53">
        <v>3658358</v>
      </c>
      <c r="N69" s="53"/>
      <c r="O69" s="53">
        <v>3927475</v>
      </c>
      <c r="P69" s="53"/>
      <c r="Q69" s="53">
        <v>26328438</v>
      </c>
      <c r="R69" s="53"/>
      <c r="S69" s="53">
        <v>0</v>
      </c>
      <c r="T69" s="53"/>
      <c r="U69" s="53">
        <v>5310480</v>
      </c>
      <c r="V69" s="53"/>
      <c r="W69" s="53">
        <f t="shared" si="2"/>
        <v>31638918</v>
      </c>
      <c r="X69" s="51"/>
      <c r="Y69" s="51"/>
      <c r="Z69" s="35" t="s">
        <v>86</v>
      </c>
      <c r="AA69" s="53"/>
      <c r="AB69" s="35" t="s">
        <v>86</v>
      </c>
      <c r="AC69" s="51"/>
      <c r="AD69" s="53">
        <v>4581044</v>
      </c>
      <c r="AE69" s="53"/>
      <c r="AF69" s="53">
        <f>3787359-699454</f>
        <v>3087905</v>
      </c>
      <c r="AG69" s="53"/>
      <c r="AH69" s="53">
        <v>699454</v>
      </c>
      <c r="AI69" s="53"/>
      <c r="AJ69" s="45">
        <f t="shared" si="9"/>
        <v>793685</v>
      </c>
      <c r="AK69" s="45"/>
      <c r="AL69" s="53">
        <v>-138216</v>
      </c>
      <c r="AM69" s="45"/>
      <c r="AN69" s="53">
        <v>0</v>
      </c>
      <c r="AO69" s="53"/>
      <c r="AP69" s="53">
        <v>0</v>
      </c>
      <c r="AQ69" s="53"/>
      <c r="AR69" s="53">
        <v>182588</v>
      </c>
      <c r="AS69" s="53"/>
      <c r="AT69" s="45">
        <f t="shared" si="10"/>
        <v>838057</v>
      </c>
      <c r="AU69" s="45"/>
      <c r="AV69" s="53">
        <v>0</v>
      </c>
      <c r="AW69" s="53"/>
      <c r="AX69" s="53">
        <v>0</v>
      </c>
      <c r="AY69" s="53"/>
      <c r="AZ69" s="53">
        <f t="shared" si="12"/>
        <v>5525060</v>
      </c>
      <c r="BA69" s="51"/>
      <c r="BB69" s="35" t="s">
        <v>86</v>
      </c>
      <c r="BD69" s="35" t="s">
        <v>86</v>
      </c>
      <c r="BE69" s="53"/>
      <c r="BF69" s="53">
        <f>3101586+100000</f>
        <v>3201586</v>
      </c>
      <c r="BG69" s="53"/>
      <c r="BH69" s="53">
        <v>0</v>
      </c>
      <c r="BI69" s="53"/>
      <c r="BJ69" s="53">
        <v>7821</v>
      </c>
      <c r="BK69" s="53"/>
      <c r="BL69" s="53">
        <f>169752+65119+314080+78170</f>
        <v>627121</v>
      </c>
      <c r="BM69" s="53"/>
      <c r="BN69" s="53">
        <f t="shared" si="5"/>
        <v>3836528</v>
      </c>
      <c r="BO69" s="54"/>
      <c r="BS69" s="55"/>
      <c r="BT69" s="55"/>
      <c r="BU69" s="84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</row>
    <row r="70" spans="1:95" s="35" customFormat="1" ht="12.75" customHeight="1">
      <c r="A70" s="64" t="s">
        <v>87</v>
      </c>
      <c r="B70" s="64"/>
      <c r="C70" s="64" t="s">
        <v>88</v>
      </c>
      <c r="D70" s="46"/>
      <c r="E70" s="53">
        <f t="shared" si="7"/>
        <v>1127275</v>
      </c>
      <c r="F70" s="53"/>
      <c r="G70" s="53">
        <v>22389816</v>
      </c>
      <c r="H70" s="53"/>
      <c r="I70" s="53">
        <v>23517091</v>
      </c>
      <c r="J70" s="53"/>
      <c r="K70" s="53">
        <f t="shared" si="8"/>
        <v>948467</v>
      </c>
      <c r="L70" s="53"/>
      <c r="M70" s="53">
        <v>16301771</v>
      </c>
      <c r="N70" s="53"/>
      <c r="O70" s="53">
        <v>17250238</v>
      </c>
      <c r="P70" s="53"/>
      <c r="Q70" s="53">
        <v>5310803</v>
      </c>
      <c r="R70" s="53"/>
      <c r="S70" s="53">
        <v>0</v>
      </c>
      <c r="T70" s="53"/>
      <c r="U70" s="53">
        <v>956050</v>
      </c>
      <c r="V70" s="53"/>
      <c r="W70" s="53">
        <f t="shared" si="2"/>
        <v>6266853</v>
      </c>
      <c r="X70" s="51"/>
      <c r="Y70" s="51"/>
      <c r="Z70" s="64" t="s">
        <v>87</v>
      </c>
      <c r="AA70" s="79"/>
      <c r="AB70" s="64" t="s">
        <v>88</v>
      </c>
      <c r="AC70" s="64"/>
      <c r="AD70" s="53">
        <v>2341212</v>
      </c>
      <c r="AE70" s="53"/>
      <c r="AF70" s="53">
        <f>1525138-579713</f>
        <v>945425</v>
      </c>
      <c r="AG70" s="53"/>
      <c r="AH70" s="53">
        <v>579713</v>
      </c>
      <c r="AI70" s="53"/>
      <c r="AJ70" s="45">
        <f t="shared" si="9"/>
        <v>816074</v>
      </c>
      <c r="AK70" s="45"/>
      <c r="AL70" s="53">
        <v>-279432</v>
      </c>
      <c r="AM70" s="45"/>
      <c r="AN70" s="53">
        <v>0</v>
      </c>
      <c r="AO70" s="53"/>
      <c r="AP70" s="53">
        <v>0</v>
      </c>
      <c r="AQ70" s="53"/>
      <c r="AR70" s="53">
        <v>0</v>
      </c>
      <c r="AS70" s="53"/>
      <c r="AT70" s="45">
        <f t="shared" si="10"/>
        <v>536642</v>
      </c>
      <c r="AU70" s="45"/>
      <c r="AV70" s="53">
        <v>0</v>
      </c>
      <c r="AW70" s="53"/>
      <c r="AX70" s="53">
        <v>0</v>
      </c>
      <c r="AY70" s="53"/>
      <c r="AZ70" s="53">
        <f t="shared" si="12"/>
        <v>178808</v>
      </c>
      <c r="BA70" s="51"/>
      <c r="BB70" s="64" t="s">
        <v>87</v>
      </c>
      <c r="BC70" s="64"/>
      <c r="BD70" s="64" t="s">
        <v>88</v>
      </c>
      <c r="BE70" s="79"/>
      <c r="BF70" s="53">
        <f>1856987+91317</f>
        <v>1948304</v>
      </c>
      <c r="BG70" s="53"/>
      <c r="BH70" s="53">
        <v>0</v>
      </c>
      <c r="BI70" s="53"/>
      <c r="BJ70" s="53">
        <f>220131+14167640+21640+721298</f>
        <v>15130709</v>
      </c>
      <c r="BK70" s="53"/>
      <c r="BL70" s="53">
        <f>57013+32099</f>
        <v>89112</v>
      </c>
      <c r="BM70" s="53"/>
      <c r="BN70" s="53">
        <f t="shared" si="5"/>
        <v>17168125</v>
      </c>
      <c r="BO70" s="54"/>
      <c r="BS70" s="55"/>
      <c r="BT70" s="55"/>
      <c r="BU70" s="84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</row>
    <row r="71" spans="1:95" s="35" customFormat="1" ht="12.75" customHeight="1">
      <c r="A71" s="35" t="s">
        <v>395</v>
      </c>
      <c r="C71" s="35" t="s">
        <v>89</v>
      </c>
      <c r="D71" s="44"/>
      <c r="E71" s="53">
        <f t="shared" si="7"/>
        <v>1279798</v>
      </c>
      <c r="F71" s="53"/>
      <c r="G71" s="53">
        <v>10081595</v>
      </c>
      <c r="H71" s="53"/>
      <c r="I71" s="53">
        <v>11361393</v>
      </c>
      <c r="J71" s="53"/>
      <c r="K71" s="53">
        <f t="shared" si="8"/>
        <v>554370</v>
      </c>
      <c r="L71" s="53"/>
      <c r="M71" s="53">
        <v>4526276</v>
      </c>
      <c r="N71" s="53"/>
      <c r="O71" s="53">
        <v>5080646</v>
      </c>
      <c r="P71" s="53"/>
      <c r="Q71" s="53">
        <v>4763118</v>
      </c>
      <c r="R71" s="53"/>
      <c r="S71" s="53">
        <f>536663+380796</f>
        <v>917459</v>
      </c>
      <c r="T71" s="53"/>
      <c r="U71" s="53">
        <v>600170</v>
      </c>
      <c r="V71" s="53"/>
      <c r="W71" s="53">
        <f t="shared" si="2"/>
        <v>6280747</v>
      </c>
      <c r="X71" s="51"/>
      <c r="Y71" s="51"/>
      <c r="Z71" s="35" t="s">
        <v>395</v>
      </c>
      <c r="AA71" s="53"/>
      <c r="AB71" s="35" t="s">
        <v>89</v>
      </c>
      <c r="AD71" s="53">
        <v>2042856</v>
      </c>
      <c r="AE71" s="53"/>
      <c r="AF71" s="53">
        <f>1840374-510890</f>
        <v>1329484</v>
      </c>
      <c r="AG71" s="53"/>
      <c r="AH71" s="53">
        <v>510890</v>
      </c>
      <c r="AI71" s="53"/>
      <c r="AJ71" s="45">
        <f t="shared" si="9"/>
        <v>202482</v>
      </c>
      <c r="AK71" s="45"/>
      <c r="AL71" s="53">
        <v>-205043</v>
      </c>
      <c r="AM71" s="45"/>
      <c r="AN71" s="53">
        <v>0</v>
      </c>
      <c r="AO71" s="53"/>
      <c r="AP71" s="53">
        <v>0</v>
      </c>
      <c r="AQ71" s="53"/>
      <c r="AR71" s="53">
        <v>0</v>
      </c>
      <c r="AS71" s="53"/>
      <c r="AT71" s="45">
        <f t="shared" si="10"/>
        <v>-2561</v>
      </c>
      <c r="AU71" s="45"/>
      <c r="AV71" s="53">
        <v>0</v>
      </c>
      <c r="AW71" s="53"/>
      <c r="AX71" s="53">
        <v>0</v>
      </c>
      <c r="AY71" s="53"/>
      <c r="AZ71" s="53">
        <f t="shared" si="12"/>
        <v>725428</v>
      </c>
      <c r="BA71" s="51"/>
      <c r="BB71" s="35" t="s">
        <v>394</v>
      </c>
      <c r="BD71" s="35" t="s">
        <v>89</v>
      </c>
      <c r="BE71" s="53"/>
      <c r="BF71" s="53">
        <v>0</v>
      </c>
      <c r="BG71" s="53"/>
      <c r="BH71" s="53">
        <f>4354810+310000</f>
        <v>4664810</v>
      </c>
      <c r="BI71" s="53"/>
      <c r="BJ71" s="53">
        <v>0</v>
      </c>
      <c r="BK71" s="53"/>
      <c r="BL71" s="53">
        <f>171466+72163</f>
        <v>243629</v>
      </c>
      <c r="BM71" s="53"/>
      <c r="BN71" s="53">
        <f t="shared" si="5"/>
        <v>4908439</v>
      </c>
      <c r="BO71" s="54"/>
      <c r="BS71" s="55"/>
      <c r="BT71" s="55"/>
      <c r="BU71" s="84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</row>
    <row r="72" spans="1:95" s="35" customFormat="1" ht="12.75" customHeight="1">
      <c r="A72" s="35" t="s">
        <v>90</v>
      </c>
      <c r="B72" s="96"/>
      <c r="C72" s="35" t="s">
        <v>43</v>
      </c>
      <c r="D72" s="44"/>
      <c r="E72" s="53">
        <f t="shared" si="7"/>
        <v>16843343</v>
      </c>
      <c r="F72" s="53"/>
      <c r="G72" s="53">
        <v>34684155</v>
      </c>
      <c r="H72" s="53"/>
      <c r="I72" s="53">
        <v>51527498</v>
      </c>
      <c r="J72" s="53"/>
      <c r="K72" s="53">
        <f t="shared" si="8"/>
        <v>496262</v>
      </c>
      <c r="L72" s="53"/>
      <c r="M72" s="53">
        <v>2827133</v>
      </c>
      <c r="N72" s="53"/>
      <c r="O72" s="53">
        <v>3323395</v>
      </c>
      <c r="P72" s="53"/>
      <c r="Q72" s="53">
        <v>31514795</v>
      </c>
      <c r="R72" s="53"/>
      <c r="S72" s="53">
        <v>0</v>
      </c>
      <c r="T72" s="53"/>
      <c r="U72" s="53">
        <v>16689308</v>
      </c>
      <c r="V72" s="53"/>
      <c r="W72" s="53">
        <f>SUM(Q72:U72)</f>
        <v>48204103</v>
      </c>
      <c r="X72" s="96"/>
      <c r="Y72" s="96"/>
      <c r="Z72" s="35" t="s">
        <v>90</v>
      </c>
      <c r="AA72" s="53"/>
      <c r="AB72" s="35" t="s">
        <v>43</v>
      </c>
      <c r="AC72" s="96"/>
      <c r="AD72" s="53">
        <v>1171722</v>
      </c>
      <c r="AE72" s="53"/>
      <c r="AF72" s="53">
        <f>1371970-1038701</f>
        <v>333269</v>
      </c>
      <c r="AG72" s="53"/>
      <c r="AH72" s="53">
        <v>1038701</v>
      </c>
      <c r="AI72" s="53"/>
      <c r="AJ72" s="45">
        <f t="shared" si="9"/>
        <v>-200248</v>
      </c>
      <c r="AK72" s="45"/>
      <c r="AL72" s="53">
        <v>50655</v>
      </c>
      <c r="AM72" s="45"/>
      <c r="AN72" s="53">
        <v>0</v>
      </c>
      <c r="AO72" s="53"/>
      <c r="AP72" s="53">
        <v>0</v>
      </c>
      <c r="AQ72" s="53"/>
      <c r="AR72" s="53">
        <v>81537</v>
      </c>
      <c r="AS72" s="53"/>
      <c r="AT72" s="45">
        <f t="shared" si="10"/>
        <v>-68056</v>
      </c>
      <c r="AU72" s="45"/>
      <c r="AV72" s="53">
        <v>0</v>
      </c>
      <c r="AW72" s="53"/>
      <c r="AX72" s="53">
        <v>0</v>
      </c>
      <c r="AY72" s="53"/>
      <c r="AZ72" s="53">
        <f t="shared" si="12"/>
        <v>16347081</v>
      </c>
      <c r="BA72" s="96"/>
      <c r="BB72" s="35" t="s">
        <v>90</v>
      </c>
      <c r="BD72" s="35" t="s">
        <v>43</v>
      </c>
      <c r="BE72" s="53"/>
      <c r="BF72" s="53">
        <f>2809360+360000</f>
        <v>3169360</v>
      </c>
      <c r="BG72" s="53"/>
      <c r="BH72" s="53">
        <v>0</v>
      </c>
      <c r="BI72" s="53"/>
      <c r="BJ72" s="53">
        <v>0</v>
      </c>
      <c r="BK72" s="53"/>
      <c r="BL72" s="53">
        <f>17773+3130</f>
        <v>20903</v>
      </c>
      <c r="BM72" s="53"/>
      <c r="BN72" s="53">
        <f t="shared" si="5"/>
        <v>3190263</v>
      </c>
      <c r="BO72" s="54"/>
      <c r="BS72" s="55"/>
      <c r="BT72" s="55"/>
      <c r="BU72" s="84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</row>
    <row r="73" spans="1:95" s="126" customFormat="1" ht="12.75" hidden="1" customHeight="1">
      <c r="A73" s="122" t="s">
        <v>488</v>
      </c>
      <c r="B73" s="122"/>
      <c r="C73" s="122" t="s">
        <v>27</v>
      </c>
      <c r="D73" s="121"/>
      <c r="E73" s="137">
        <f t="shared" si="7"/>
        <v>0</v>
      </c>
      <c r="F73" s="137"/>
      <c r="G73" s="137">
        <v>0</v>
      </c>
      <c r="H73" s="137"/>
      <c r="I73" s="137">
        <v>0</v>
      </c>
      <c r="J73" s="137"/>
      <c r="K73" s="137">
        <f t="shared" si="8"/>
        <v>0</v>
      </c>
      <c r="L73" s="137"/>
      <c r="M73" s="137">
        <v>0</v>
      </c>
      <c r="N73" s="137"/>
      <c r="O73" s="137">
        <v>0</v>
      </c>
      <c r="P73" s="137"/>
      <c r="Q73" s="137">
        <v>0</v>
      </c>
      <c r="R73" s="137"/>
      <c r="S73" s="137">
        <v>0</v>
      </c>
      <c r="T73" s="137"/>
      <c r="U73" s="137">
        <v>0</v>
      </c>
      <c r="V73" s="137"/>
      <c r="W73" s="137">
        <f t="shared" si="2"/>
        <v>0</v>
      </c>
      <c r="X73" s="124"/>
      <c r="Y73" s="124"/>
      <c r="Z73" s="122" t="s">
        <v>488</v>
      </c>
      <c r="AA73" s="122"/>
      <c r="AB73" s="122" t="s">
        <v>27</v>
      </c>
      <c r="AC73" s="124"/>
      <c r="AD73" s="137">
        <v>0</v>
      </c>
      <c r="AE73" s="137"/>
      <c r="AF73" s="137">
        <v>0</v>
      </c>
      <c r="AG73" s="137"/>
      <c r="AH73" s="137">
        <v>0</v>
      </c>
      <c r="AI73" s="137"/>
      <c r="AJ73" s="127">
        <f t="shared" si="9"/>
        <v>0</v>
      </c>
      <c r="AK73" s="127"/>
      <c r="AL73" s="137">
        <v>0</v>
      </c>
      <c r="AM73" s="127"/>
      <c r="AN73" s="137">
        <v>0</v>
      </c>
      <c r="AO73" s="137"/>
      <c r="AP73" s="137">
        <v>0</v>
      </c>
      <c r="AQ73" s="137"/>
      <c r="AR73" s="137">
        <v>0</v>
      </c>
      <c r="AS73" s="137"/>
      <c r="AT73" s="127">
        <f t="shared" si="10"/>
        <v>0</v>
      </c>
      <c r="AU73" s="127"/>
      <c r="AV73" s="137">
        <v>0</v>
      </c>
      <c r="AW73" s="137"/>
      <c r="AX73" s="137">
        <v>0</v>
      </c>
      <c r="AY73" s="137"/>
      <c r="AZ73" s="137">
        <f t="shared" si="12"/>
        <v>0</v>
      </c>
      <c r="BA73" s="124"/>
      <c r="BB73" s="122" t="s">
        <v>488</v>
      </c>
      <c r="BC73" s="122"/>
      <c r="BD73" s="122" t="s">
        <v>27</v>
      </c>
      <c r="BE73" s="137"/>
      <c r="BF73" s="137">
        <v>0</v>
      </c>
      <c r="BG73" s="137"/>
      <c r="BH73" s="137">
        <v>0</v>
      </c>
      <c r="BI73" s="137"/>
      <c r="BJ73" s="137">
        <v>0</v>
      </c>
      <c r="BK73" s="137"/>
      <c r="BL73" s="137">
        <v>0</v>
      </c>
      <c r="BM73" s="137"/>
      <c r="BN73" s="137">
        <f t="shared" si="5"/>
        <v>0</v>
      </c>
      <c r="BO73" s="139"/>
      <c r="BS73" s="140"/>
      <c r="BT73" s="140"/>
      <c r="BU73" s="141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</row>
    <row r="74" spans="1:95" s="35" customFormat="1" ht="12.75" customHeight="1">
      <c r="A74" s="44" t="s">
        <v>93</v>
      </c>
      <c r="B74" s="47"/>
      <c r="C74" s="44" t="s">
        <v>94</v>
      </c>
      <c r="D74" s="44"/>
      <c r="E74" s="53">
        <f t="shared" si="7"/>
        <v>3022505</v>
      </c>
      <c r="F74" s="53"/>
      <c r="G74" s="53">
        <v>7849408</v>
      </c>
      <c r="H74" s="53"/>
      <c r="I74" s="53">
        <v>10871913</v>
      </c>
      <c r="J74" s="53"/>
      <c r="K74" s="53">
        <f t="shared" si="8"/>
        <v>639404</v>
      </c>
      <c r="L74" s="53"/>
      <c r="M74" s="53">
        <v>3556816</v>
      </c>
      <c r="N74" s="53"/>
      <c r="O74" s="53">
        <v>4196220</v>
      </c>
      <c r="P74" s="53"/>
      <c r="Q74" s="53">
        <v>3916759</v>
      </c>
      <c r="R74" s="53"/>
      <c r="S74" s="53">
        <v>0</v>
      </c>
      <c r="T74" s="53"/>
      <c r="U74" s="53">
        <v>2758934</v>
      </c>
      <c r="V74" s="53"/>
      <c r="W74" s="53">
        <f>SUM(Q74:U74)</f>
        <v>6675693</v>
      </c>
      <c r="X74" s="51"/>
      <c r="Y74" s="51"/>
      <c r="Z74" s="44" t="s">
        <v>93</v>
      </c>
      <c r="AA74" s="47"/>
      <c r="AB74" s="44" t="s">
        <v>94</v>
      </c>
      <c r="AC74" s="51"/>
      <c r="AD74" s="53">
        <v>2302724</v>
      </c>
      <c r="AE74" s="53"/>
      <c r="AF74" s="53">
        <f>2291177-293765</f>
        <v>1997412</v>
      </c>
      <c r="AG74" s="53"/>
      <c r="AH74" s="53">
        <v>293765</v>
      </c>
      <c r="AI74" s="53"/>
      <c r="AJ74" s="45">
        <f t="shared" si="9"/>
        <v>11547</v>
      </c>
      <c r="AK74" s="45"/>
      <c r="AL74" s="53">
        <v>-114371</v>
      </c>
      <c r="AM74" s="45"/>
      <c r="AN74" s="53">
        <v>181917</v>
      </c>
      <c r="AO74" s="53"/>
      <c r="AP74" s="53">
        <v>0</v>
      </c>
      <c r="AQ74" s="53"/>
      <c r="AR74" s="53">
        <v>0</v>
      </c>
      <c r="AS74" s="53"/>
      <c r="AT74" s="45">
        <f t="shared" si="10"/>
        <v>79093</v>
      </c>
      <c r="AU74" s="45"/>
      <c r="AV74" s="53">
        <v>0</v>
      </c>
      <c r="AW74" s="53"/>
      <c r="AX74" s="53">
        <v>0</v>
      </c>
      <c r="AY74" s="53"/>
      <c r="AZ74" s="53">
        <f>E74-K74</f>
        <v>2383101</v>
      </c>
      <c r="BA74" s="51"/>
      <c r="BB74" s="44" t="s">
        <v>93</v>
      </c>
      <c r="BC74" s="47"/>
      <c r="BD74" s="44" t="s">
        <v>94</v>
      </c>
      <c r="BE74" s="53"/>
      <c r="BF74" s="53">
        <v>0</v>
      </c>
      <c r="BG74" s="53"/>
      <c r="BH74" s="53">
        <v>0</v>
      </c>
      <c r="BI74" s="53"/>
      <c r="BJ74" s="53">
        <f>283717+70870+3161522+16451+17263+382826</f>
        <v>3932649</v>
      </c>
      <c r="BK74" s="53"/>
      <c r="BL74" s="53">
        <v>40707</v>
      </c>
      <c r="BM74" s="53"/>
      <c r="BN74" s="53">
        <f>SUM(BF74:BL74)</f>
        <v>3973356</v>
      </c>
      <c r="BO74" s="54"/>
      <c r="BS74" s="55"/>
      <c r="BT74" s="55"/>
      <c r="BU74" s="84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</row>
    <row r="75" spans="1:95" s="35" customFormat="1" ht="12.75" customHeight="1">
      <c r="A75" s="35" t="s">
        <v>95</v>
      </c>
      <c r="B75" s="51"/>
      <c r="C75" s="35" t="s">
        <v>94</v>
      </c>
      <c r="D75" s="44"/>
      <c r="E75" s="53">
        <f t="shared" si="7"/>
        <v>257890</v>
      </c>
      <c r="F75" s="53"/>
      <c r="G75" s="53">
        <v>1853910</v>
      </c>
      <c r="H75" s="53"/>
      <c r="I75" s="53">
        <v>2111800</v>
      </c>
      <c r="J75" s="53"/>
      <c r="K75" s="53">
        <f t="shared" si="8"/>
        <v>82201</v>
      </c>
      <c r="L75" s="53"/>
      <c r="M75" s="53">
        <v>410702</v>
      </c>
      <c r="N75" s="53"/>
      <c r="O75" s="53">
        <v>492903</v>
      </c>
      <c r="P75" s="53"/>
      <c r="Q75" s="53">
        <v>1445220</v>
      </c>
      <c r="R75" s="53"/>
      <c r="S75" s="53">
        <v>0</v>
      </c>
      <c r="T75" s="53"/>
      <c r="U75" s="53">
        <v>173677</v>
      </c>
      <c r="V75" s="53"/>
      <c r="W75" s="53">
        <f>SUM(Q75:U75)</f>
        <v>1618897</v>
      </c>
      <c r="X75" s="51"/>
      <c r="Y75" s="51"/>
      <c r="Z75" s="35" t="s">
        <v>95</v>
      </c>
      <c r="AA75" s="53"/>
      <c r="AB75" s="35" t="s">
        <v>94</v>
      </c>
      <c r="AC75" s="51"/>
      <c r="AD75" s="53">
        <v>576027</v>
      </c>
      <c r="AE75" s="53"/>
      <c r="AF75" s="53">
        <f>413214-78460</f>
        <v>334754</v>
      </c>
      <c r="AG75" s="53"/>
      <c r="AH75" s="53">
        <v>78460</v>
      </c>
      <c r="AI75" s="53"/>
      <c r="AJ75" s="45">
        <f t="shared" si="9"/>
        <v>162813</v>
      </c>
      <c r="AK75" s="45"/>
      <c r="AL75" s="53">
        <v>20425</v>
      </c>
      <c r="AM75" s="45"/>
      <c r="AN75" s="53">
        <v>0</v>
      </c>
      <c r="AO75" s="53"/>
      <c r="AP75" s="53">
        <v>16747</v>
      </c>
      <c r="AQ75" s="53"/>
      <c r="AR75" s="53">
        <v>59071</v>
      </c>
      <c r="AS75" s="53"/>
      <c r="AT75" s="45">
        <f t="shared" si="10"/>
        <v>225562</v>
      </c>
      <c r="AU75" s="45"/>
      <c r="AV75" s="53">
        <v>0</v>
      </c>
      <c r="AW75" s="53"/>
      <c r="AX75" s="53">
        <v>0</v>
      </c>
      <c r="AY75" s="53"/>
      <c r="AZ75" s="53">
        <f>E75-K75</f>
        <v>175689</v>
      </c>
      <c r="BA75" s="51"/>
      <c r="BB75" s="35" t="s">
        <v>95</v>
      </c>
      <c r="BD75" s="35" t="s">
        <v>94</v>
      </c>
      <c r="BE75" s="53"/>
      <c r="BF75" s="53">
        <f>68625+8190</f>
        <v>76815</v>
      </c>
      <c r="BG75" s="53"/>
      <c r="BH75" s="53">
        <v>0</v>
      </c>
      <c r="BI75" s="53"/>
      <c r="BJ75" s="53">
        <f>187930+97163+10000+43248+3534</f>
        <v>341875</v>
      </c>
      <c r="BK75" s="53"/>
      <c r="BL75" s="53">
        <f>46984+5946</f>
        <v>52930</v>
      </c>
      <c r="BM75" s="53"/>
      <c r="BN75" s="53">
        <f>SUM(BF75:BL75)</f>
        <v>471620</v>
      </c>
      <c r="BO75" s="54"/>
      <c r="BS75" s="55"/>
      <c r="BT75" s="55"/>
      <c r="BU75" s="84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</row>
    <row r="76" spans="1:95" s="126" customFormat="1" ht="12.75" hidden="1" customHeight="1">
      <c r="A76" s="126" t="s">
        <v>91</v>
      </c>
      <c r="B76" s="124"/>
      <c r="C76" s="126" t="s">
        <v>92</v>
      </c>
      <c r="D76" s="121"/>
      <c r="E76" s="53">
        <f t="shared" si="7"/>
        <v>0</v>
      </c>
      <c r="F76" s="53"/>
      <c r="G76" s="53">
        <v>0</v>
      </c>
      <c r="H76" s="53"/>
      <c r="I76" s="53">
        <v>0</v>
      </c>
      <c r="J76" s="53"/>
      <c r="K76" s="53">
        <f t="shared" si="8"/>
        <v>0</v>
      </c>
      <c r="L76" s="53"/>
      <c r="M76" s="53">
        <v>0</v>
      </c>
      <c r="N76" s="53"/>
      <c r="O76" s="53">
        <v>0</v>
      </c>
      <c r="P76" s="53"/>
      <c r="Q76" s="53">
        <v>0</v>
      </c>
      <c r="R76" s="53"/>
      <c r="S76" s="53">
        <v>0</v>
      </c>
      <c r="T76" s="53"/>
      <c r="U76" s="53">
        <v>0</v>
      </c>
      <c r="V76" s="53"/>
      <c r="W76" s="137">
        <f t="shared" si="2"/>
        <v>0</v>
      </c>
      <c r="X76" s="124"/>
      <c r="Y76" s="124"/>
      <c r="Z76" s="126" t="s">
        <v>91</v>
      </c>
      <c r="AA76" s="137"/>
      <c r="AB76" s="126" t="s">
        <v>92</v>
      </c>
      <c r="AC76" s="124"/>
      <c r="AD76" s="53">
        <v>0</v>
      </c>
      <c r="AE76" s="53"/>
      <c r="AF76" s="53">
        <v>0</v>
      </c>
      <c r="AG76" s="53"/>
      <c r="AH76" s="53">
        <v>0</v>
      </c>
      <c r="AI76" s="53"/>
      <c r="AJ76" s="45">
        <f t="shared" si="9"/>
        <v>0</v>
      </c>
      <c r="AK76" s="45"/>
      <c r="AL76" s="53">
        <v>0</v>
      </c>
      <c r="AM76" s="45"/>
      <c r="AN76" s="53">
        <v>0</v>
      </c>
      <c r="AO76" s="53"/>
      <c r="AP76" s="53">
        <v>0</v>
      </c>
      <c r="AQ76" s="53"/>
      <c r="AR76" s="53">
        <v>0</v>
      </c>
      <c r="AS76" s="53"/>
      <c r="AT76" s="45">
        <f t="shared" si="10"/>
        <v>0</v>
      </c>
      <c r="AU76" s="127"/>
      <c r="AV76" s="137">
        <v>0</v>
      </c>
      <c r="AW76" s="137"/>
      <c r="AX76" s="137">
        <v>0</v>
      </c>
      <c r="AY76" s="137"/>
      <c r="AZ76" s="137">
        <f t="shared" si="12"/>
        <v>0</v>
      </c>
      <c r="BA76" s="124"/>
      <c r="BB76" s="126" t="s">
        <v>91</v>
      </c>
      <c r="BD76" s="126" t="s">
        <v>92</v>
      </c>
      <c r="BE76" s="137"/>
      <c r="BF76" s="53">
        <v>0</v>
      </c>
      <c r="BG76" s="53"/>
      <c r="BH76" s="53">
        <v>0</v>
      </c>
      <c r="BI76" s="53"/>
      <c r="BJ76" s="53">
        <v>0</v>
      </c>
      <c r="BK76" s="53"/>
      <c r="BL76" s="53">
        <v>0</v>
      </c>
      <c r="BM76" s="137"/>
      <c r="BN76" s="137">
        <f t="shared" si="5"/>
        <v>0</v>
      </c>
      <c r="BO76" s="139"/>
      <c r="BS76" s="140"/>
      <c r="BT76" s="140"/>
      <c r="BU76" s="141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</row>
    <row r="77" spans="1:95" s="35" customFormat="1" ht="12.75" customHeight="1">
      <c r="A77" s="35" t="s">
        <v>96</v>
      </c>
      <c r="B77" s="51"/>
      <c r="C77" s="35" t="s">
        <v>97</v>
      </c>
      <c r="D77" s="44"/>
      <c r="E77" s="53">
        <f t="shared" si="7"/>
        <v>1431226</v>
      </c>
      <c r="F77" s="53"/>
      <c r="G77" s="53">
        <v>6550948</v>
      </c>
      <c r="H77" s="53"/>
      <c r="I77" s="53">
        <v>7982174</v>
      </c>
      <c r="J77" s="53"/>
      <c r="K77" s="53">
        <f t="shared" si="8"/>
        <v>331471</v>
      </c>
      <c r="L77" s="53"/>
      <c r="M77" s="53">
        <v>3806058</v>
      </c>
      <c r="N77" s="53"/>
      <c r="O77" s="53">
        <v>4137529</v>
      </c>
      <c r="P77" s="53"/>
      <c r="Q77" s="53">
        <v>2608139</v>
      </c>
      <c r="R77" s="53"/>
      <c r="S77" s="53">
        <v>0</v>
      </c>
      <c r="T77" s="53"/>
      <c r="U77" s="53">
        <v>1236506</v>
      </c>
      <c r="V77" s="53"/>
      <c r="W77" s="53">
        <f t="shared" si="2"/>
        <v>3844645</v>
      </c>
      <c r="X77" s="51"/>
      <c r="Y77" s="51"/>
      <c r="Z77" s="35" t="s">
        <v>96</v>
      </c>
      <c r="AA77" s="53"/>
      <c r="AB77" s="35" t="s">
        <v>97</v>
      </c>
      <c r="AC77" s="51"/>
      <c r="AD77" s="53">
        <v>1322995</v>
      </c>
      <c r="AE77" s="53"/>
      <c r="AF77" s="53">
        <f>1188255-294155</f>
        <v>894100</v>
      </c>
      <c r="AG77" s="53"/>
      <c r="AH77" s="53">
        <v>294155</v>
      </c>
      <c r="AI77" s="53"/>
      <c r="AJ77" s="45">
        <f t="shared" si="9"/>
        <v>134740</v>
      </c>
      <c r="AK77" s="45"/>
      <c r="AL77" s="53">
        <v>-168362</v>
      </c>
      <c r="AM77" s="45"/>
      <c r="AN77" s="53">
        <v>0</v>
      </c>
      <c r="AO77" s="53"/>
      <c r="AP77" s="53">
        <v>0</v>
      </c>
      <c r="AQ77" s="53"/>
      <c r="AR77" s="53">
        <v>0</v>
      </c>
      <c r="AS77" s="53"/>
      <c r="AT77" s="45">
        <f t="shared" si="10"/>
        <v>-33622</v>
      </c>
      <c r="AU77" s="45"/>
      <c r="AV77" s="53">
        <v>0</v>
      </c>
      <c r="AW77" s="53"/>
      <c r="AX77" s="53">
        <v>0</v>
      </c>
      <c r="AY77" s="53"/>
      <c r="AZ77" s="53">
        <f t="shared" si="12"/>
        <v>1099755</v>
      </c>
      <c r="BA77" s="51"/>
      <c r="BB77" s="35" t="s">
        <v>96</v>
      </c>
      <c r="BD77" s="35" t="s">
        <v>97</v>
      </c>
      <c r="BE77" s="53"/>
      <c r="BF77" s="53">
        <v>0</v>
      </c>
      <c r="BG77" s="53"/>
      <c r="BH77" s="53">
        <v>0</v>
      </c>
      <c r="BI77" s="53"/>
      <c r="BJ77" s="53">
        <f>3764655+178154</f>
        <v>3942809</v>
      </c>
      <c r="BK77" s="53"/>
      <c r="BL77" s="53">
        <f>41403+16181</f>
        <v>57584</v>
      </c>
      <c r="BM77" s="53"/>
      <c r="BN77" s="53">
        <f t="shared" si="5"/>
        <v>4000393</v>
      </c>
      <c r="BO77" s="54"/>
      <c r="BS77" s="55"/>
      <c r="BT77" s="55"/>
      <c r="BU77" s="84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</row>
    <row r="78" spans="1:95" s="35" customFormat="1" ht="12.75" customHeight="1">
      <c r="A78" s="35" t="s">
        <v>98</v>
      </c>
      <c r="B78" s="51"/>
      <c r="C78" s="35" t="s">
        <v>17</v>
      </c>
      <c r="D78" s="44"/>
      <c r="E78" s="53">
        <f t="shared" ref="E78:E89" si="13">I78-G78</f>
        <v>1413531</v>
      </c>
      <c r="F78" s="53"/>
      <c r="G78" s="53">
        <v>17969019</v>
      </c>
      <c r="H78" s="53"/>
      <c r="I78" s="53">
        <v>19382550</v>
      </c>
      <c r="J78" s="53"/>
      <c r="K78" s="53">
        <f t="shared" ref="K78:K89" si="14">O78-M78</f>
        <v>837203</v>
      </c>
      <c r="L78" s="53"/>
      <c r="M78" s="53">
        <v>12867132</v>
      </c>
      <c r="N78" s="53"/>
      <c r="O78" s="53">
        <v>13704335</v>
      </c>
      <c r="P78" s="53"/>
      <c r="Q78" s="53">
        <v>5172975</v>
      </c>
      <c r="R78" s="53"/>
      <c r="S78" s="53">
        <v>0</v>
      </c>
      <c r="T78" s="53"/>
      <c r="U78" s="53">
        <v>505240</v>
      </c>
      <c r="V78" s="53"/>
      <c r="W78" s="53">
        <f t="shared" si="2"/>
        <v>5678215</v>
      </c>
      <c r="X78" s="51"/>
      <c r="Y78" s="51"/>
      <c r="Z78" s="35" t="s">
        <v>98</v>
      </c>
      <c r="AA78" s="53"/>
      <c r="AB78" s="35" t="s">
        <v>17</v>
      </c>
      <c r="AC78" s="51"/>
      <c r="AD78" s="53">
        <v>7859538</v>
      </c>
      <c r="AE78" s="53"/>
      <c r="AF78" s="53">
        <f>6786423-952725</f>
        <v>5833698</v>
      </c>
      <c r="AG78" s="53"/>
      <c r="AH78" s="53">
        <v>952725</v>
      </c>
      <c r="AI78" s="53"/>
      <c r="AJ78" s="45">
        <f t="shared" ref="AJ78:AJ89" si="15">+AD78-AF78-AH78</f>
        <v>1073115</v>
      </c>
      <c r="AK78" s="45"/>
      <c r="AL78" s="53">
        <v>-458595</v>
      </c>
      <c r="AM78" s="45"/>
      <c r="AN78" s="53">
        <v>0</v>
      </c>
      <c r="AO78" s="53"/>
      <c r="AP78" s="53">
        <v>0</v>
      </c>
      <c r="AQ78" s="53"/>
      <c r="AR78" s="53">
        <v>21579</v>
      </c>
      <c r="AS78" s="53"/>
      <c r="AT78" s="45">
        <f t="shared" ref="AT78:AT89" si="16">+AJ78+AL78+AN78-AP78+AR78</f>
        <v>636099</v>
      </c>
      <c r="AU78" s="45"/>
      <c r="AV78" s="53">
        <v>0</v>
      </c>
      <c r="AW78" s="53"/>
      <c r="AX78" s="53">
        <v>0</v>
      </c>
      <c r="AY78" s="53"/>
      <c r="AZ78" s="53">
        <f t="shared" si="12"/>
        <v>576328</v>
      </c>
      <c r="BA78" s="51"/>
      <c r="BB78" s="35" t="s">
        <v>98</v>
      </c>
      <c r="BD78" s="35" t="s">
        <v>17</v>
      </c>
      <c r="BE78" s="53"/>
      <c r="BF78" s="53">
        <f>7433867+324813</f>
        <v>7758680</v>
      </c>
      <c r="BG78" s="53"/>
      <c r="BH78" s="53">
        <v>0</v>
      </c>
      <c r="BI78" s="53"/>
      <c r="BJ78" s="53">
        <f>4873040+45644</f>
        <v>4918684</v>
      </c>
      <c r="BK78" s="53"/>
      <c r="BL78" s="53">
        <v>560225</v>
      </c>
      <c r="BM78" s="53"/>
      <c r="BN78" s="53">
        <f t="shared" si="5"/>
        <v>13237589</v>
      </c>
      <c r="BO78" s="54"/>
      <c r="BS78" s="55"/>
      <c r="BT78" s="55"/>
      <c r="BU78" s="84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</row>
    <row r="79" spans="1:95" s="35" customFormat="1" ht="12.75" customHeight="1">
      <c r="A79" s="35" t="s">
        <v>99</v>
      </c>
      <c r="B79" s="51"/>
      <c r="C79" s="35" t="s">
        <v>66</v>
      </c>
      <c r="D79" s="44"/>
      <c r="E79" s="53">
        <f t="shared" si="13"/>
        <v>2896340</v>
      </c>
      <c r="F79" s="53"/>
      <c r="G79" s="53">
        <v>9898197</v>
      </c>
      <c r="H79" s="53"/>
      <c r="I79" s="53">
        <v>12794537</v>
      </c>
      <c r="J79" s="53"/>
      <c r="K79" s="53">
        <f t="shared" si="14"/>
        <v>102841</v>
      </c>
      <c r="L79" s="53"/>
      <c r="M79" s="53">
        <v>120741</v>
      </c>
      <c r="N79" s="53"/>
      <c r="O79" s="53">
        <v>223582</v>
      </c>
      <c r="P79" s="53"/>
      <c r="Q79" s="53">
        <v>9813234</v>
      </c>
      <c r="R79" s="53"/>
      <c r="S79" s="53">
        <v>0</v>
      </c>
      <c r="T79" s="53"/>
      <c r="U79" s="53">
        <v>2757721</v>
      </c>
      <c r="V79" s="53"/>
      <c r="W79" s="53">
        <f t="shared" si="2"/>
        <v>12570955</v>
      </c>
      <c r="Z79" s="35" t="s">
        <v>99</v>
      </c>
      <c r="AA79" s="53"/>
      <c r="AB79" s="35" t="s">
        <v>66</v>
      </c>
      <c r="AC79" s="51"/>
      <c r="AD79" s="53">
        <v>1177636</v>
      </c>
      <c r="AE79" s="53"/>
      <c r="AF79" s="53">
        <f>1306556-439158</f>
        <v>867398</v>
      </c>
      <c r="AG79" s="53"/>
      <c r="AH79" s="53">
        <v>439158</v>
      </c>
      <c r="AI79" s="53"/>
      <c r="AJ79" s="45">
        <f t="shared" si="15"/>
        <v>-128920</v>
      </c>
      <c r="AK79" s="45"/>
      <c r="AL79" s="53">
        <v>956</v>
      </c>
      <c r="AM79" s="45"/>
      <c r="AN79" s="53">
        <v>0</v>
      </c>
      <c r="AO79" s="53"/>
      <c r="AP79" s="53">
        <v>0</v>
      </c>
      <c r="AQ79" s="53"/>
      <c r="AR79" s="53">
        <v>210000</v>
      </c>
      <c r="AS79" s="53"/>
      <c r="AT79" s="45">
        <f t="shared" si="16"/>
        <v>82036</v>
      </c>
      <c r="AU79" s="45"/>
      <c r="AV79" s="53">
        <v>0</v>
      </c>
      <c r="AW79" s="53"/>
      <c r="AX79" s="53">
        <v>0</v>
      </c>
      <c r="AY79" s="53"/>
      <c r="AZ79" s="53">
        <f t="shared" si="12"/>
        <v>2793499</v>
      </c>
      <c r="BA79" s="51"/>
      <c r="BB79" s="35" t="s">
        <v>99</v>
      </c>
      <c r="BD79" s="35" t="s">
        <v>66</v>
      </c>
      <c r="BE79" s="53"/>
      <c r="BF79" s="53">
        <v>0</v>
      </c>
      <c r="BG79" s="53"/>
      <c r="BH79" s="53">
        <v>0</v>
      </c>
      <c r="BI79" s="53"/>
      <c r="BJ79" s="53">
        <f>70803+14160</f>
        <v>84963</v>
      </c>
      <c r="BK79" s="53"/>
      <c r="BL79" s="53">
        <f>49938+21600</f>
        <v>71538</v>
      </c>
      <c r="BM79" s="53"/>
      <c r="BN79" s="53">
        <f t="shared" si="5"/>
        <v>156501</v>
      </c>
      <c r="BO79" s="54"/>
      <c r="BS79" s="55"/>
      <c r="BT79" s="55"/>
      <c r="BU79" s="84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</row>
    <row r="80" spans="1:95" s="35" customFormat="1" ht="12.75" customHeight="1">
      <c r="A80" s="35" t="s">
        <v>100</v>
      </c>
      <c r="B80" s="51"/>
      <c r="C80" s="35" t="s">
        <v>27</v>
      </c>
      <c r="D80" s="44"/>
      <c r="E80" s="53">
        <f t="shared" si="13"/>
        <v>3773054</v>
      </c>
      <c r="F80" s="53"/>
      <c r="G80" s="53">
        <v>25636425</v>
      </c>
      <c r="H80" s="53"/>
      <c r="I80" s="53">
        <v>29409479</v>
      </c>
      <c r="J80" s="53"/>
      <c r="K80" s="53">
        <f t="shared" si="14"/>
        <v>7506942</v>
      </c>
      <c r="L80" s="53"/>
      <c r="M80" s="53">
        <v>5848706</v>
      </c>
      <c r="N80" s="53"/>
      <c r="O80" s="53">
        <v>13355648</v>
      </c>
      <c r="P80" s="53"/>
      <c r="Q80" s="53">
        <v>12866062</v>
      </c>
      <c r="R80" s="53"/>
      <c r="S80" s="53">
        <v>0</v>
      </c>
      <c r="T80" s="53"/>
      <c r="U80" s="53">
        <v>3187769</v>
      </c>
      <c r="V80" s="53"/>
      <c r="W80" s="53">
        <f>SUM(Q80:U80)</f>
        <v>16053831</v>
      </c>
      <c r="X80" s="51"/>
      <c r="Y80" s="51"/>
      <c r="Z80" s="35" t="s">
        <v>100</v>
      </c>
      <c r="AA80" s="53"/>
      <c r="AB80" s="35" t="s">
        <v>27</v>
      </c>
      <c r="AC80" s="51"/>
      <c r="AD80" s="53">
        <v>2059155</v>
      </c>
      <c r="AE80" s="53"/>
      <c r="AF80" s="53">
        <f>1319143-467503</f>
        <v>851640</v>
      </c>
      <c r="AG80" s="53"/>
      <c r="AH80" s="53">
        <v>467503</v>
      </c>
      <c r="AI80" s="53"/>
      <c r="AJ80" s="45">
        <f t="shared" si="15"/>
        <v>740012</v>
      </c>
      <c r="AK80" s="45"/>
      <c r="AL80" s="53">
        <v>-240572</v>
      </c>
      <c r="AM80" s="45"/>
      <c r="AN80" s="53">
        <v>0</v>
      </c>
      <c r="AO80" s="53"/>
      <c r="AP80" s="53">
        <v>310152</v>
      </c>
      <c r="AQ80" s="53"/>
      <c r="AR80" s="53">
        <v>0</v>
      </c>
      <c r="AS80" s="53"/>
      <c r="AT80" s="45">
        <f t="shared" si="16"/>
        <v>189288</v>
      </c>
      <c r="AU80" s="45"/>
      <c r="AV80" s="53">
        <v>0</v>
      </c>
      <c r="AW80" s="53"/>
      <c r="AX80" s="53">
        <v>0</v>
      </c>
      <c r="AY80" s="53"/>
      <c r="AZ80" s="53">
        <f t="shared" si="12"/>
        <v>-3733888</v>
      </c>
      <c r="BA80" s="51"/>
      <c r="BB80" s="35" t="s">
        <v>100</v>
      </c>
      <c r="BD80" s="35" t="s">
        <v>27</v>
      </c>
      <c r="BE80" s="53"/>
      <c r="BF80" s="53">
        <f>3396706+330000</f>
        <v>3726706</v>
      </c>
      <c r="BG80" s="53"/>
      <c r="BH80" s="53">
        <v>0</v>
      </c>
      <c r="BI80" s="53"/>
      <c r="BJ80" s="53">
        <f>2452000+171379</f>
        <v>2623379</v>
      </c>
      <c r="BK80" s="53"/>
      <c r="BL80" s="53">
        <v>0</v>
      </c>
      <c r="BM80" s="53"/>
      <c r="BN80" s="53">
        <f>SUM(BF80:BL80)</f>
        <v>6350085</v>
      </c>
      <c r="BO80" s="54"/>
      <c r="BS80" s="55"/>
      <c r="BT80" s="55"/>
      <c r="BU80" s="84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</row>
    <row r="81" spans="1:95" s="35" customFormat="1" ht="12.75" customHeight="1">
      <c r="A81" s="35" t="s">
        <v>101</v>
      </c>
      <c r="B81" s="51"/>
      <c r="C81" s="35" t="s">
        <v>30</v>
      </c>
      <c r="D81" s="44"/>
      <c r="E81" s="53">
        <f t="shared" si="13"/>
        <v>4591130</v>
      </c>
      <c r="F81" s="53"/>
      <c r="G81" s="53">
        <v>7310746</v>
      </c>
      <c r="H81" s="53"/>
      <c r="I81" s="53">
        <v>11901876</v>
      </c>
      <c r="J81" s="53"/>
      <c r="K81" s="53">
        <f t="shared" si="14"/>
        <v>659166</v>
      </c>
      <c r="L81" s="53"/>
      <c r="M81" s="53">
        <v>5042685</v>
      </c>
      <c r="N81" s="53"/>
      <c r="O81" s="53">
        <v>5701851</v>
      </c>
      <c r="P81" s="53"/>
      <c r="Q81" s="53">
        <v>3753912</v>
      </c>
      <c r="R81" s="53"/>
      <c r="S81" s="53">
        <v>0</v>
      </c>
      <c r="T81" s="53"/>
      <c r="U81" s="53">
        <v>2446113</v>
      </c>
      <c r="V81" s="53"/>
      <c r="W81" s="53">
        <f>SUM(Q81:U81)</f>
        <v>6200025</v>
      </c>
      <c r="X81" s="51"/>
      <c r="Y81" s="51"/>
      <c r="Z81" s="35" t="s">
        <v>101</v>
      </c>
      <c r="AA81" s="53"/>
      <c r="AB81" s="35" t="s">
        <v>30</v>
      </c>
      <c r="AC81" s="65"/>
      <c r="AD81" s="53">
        <v>3751611</v>
      </c>
      <c r="AE81" s="53"/>
      <c r="AF81" s="53">
        <f>3342893-754649</f>
        <v>2588244</v>
      </c>
      <c r="AG81" s="53"/>
      <c r="AH81" s="53">
        <v>754649</v>
      </c>
      <c r="AI81" s="53"/>
      <c r="AJ81" s="45">
        <f t="shared" si="15"/>
        <v>408718</v>
      </c>
      <c r="AK81" s="45"/>
      <c r="AL81" s="53">
        <v>-82766</v>
      </c>
      <c r="AM81" s="45"/>
      <c r="AN81" s="53">
        <v>0</v>
      </c>
      <c r="AO81" s="53"/>
      <c r="AP81" s="53">
        <v>0</v>
      </c>
      <c r="AQ81" s="53"/>
      <c r="AR81" s="53">
        <v>27700</v>
      </c>
      <c r="AS81" s="53"/>
      <c r="AT81" s="45">
        <f t="shared" si="16"/>
        <v>353652</v>
      </c>
      <c r="AU81" s="45"/>
      <c r="AV81" s="53">
        <v>0</v>
      </c>
      <c r="AW81" s="53"/>
      <c r="AX81" s="53">
        <v>0</v>
      </c>
      <c r="AY81" s="53"/>
      <c r="AZ81" s="53">
        <f t="shared" si="12"/>
        <v>3931964</v>
      </c>
      <c r="BA81" s="51"/>
      <c r="BB81" s="35" t="s">
        <v>101</v>
      </c>
      <c r="BD81" s="35" t="s">
        <v>30</v>
      </c>
      <c r="BE81" s="53"/>
      <c r="BF81" s="53">
        <f>883381+380150</f>
        <v>1263531</v>
      </c>
      <c r="BG81" s="53"/>
      <c r="BH81" s="53">
        <v>0</v>
      </c>
      <c r="BI81" s="53"/>
      <c r="BJ81" s="53">
        <f>75086+16686</f>
        <v>91772</v>
      </c>
      <c r="BK81" s="53"/>
      <c r="BL81" s="53">
        <f>4057000+3770+23448+507+44623</f>
        <v>4129348</v>
      </c>
      <c r="BM81" s="53"/>
      <c r="BN81" s="53">
        <f>SUM(BF81:BL81)</f>
        <v>5484651</v>
      </c>
      <c r="BO81" s="54"/>
      <c r="BS81" s="55"/>
      <c r="BT81" s="55"/>
      <c r="BU81" s="84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</row>
    <row r="82" spans="1:95" s="35" customFormat="1" ht="12.75" customHeight="1">
      <c r="D82" s="44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 t="s">
        <v>484</v>
      </c>
      <c r="X82" s="51"/>
      <c r="Y82" s="51"/>
      <c r="AA82" s="53"/>
      <c r="AD82" s="53"/>
      <c r="AE82" s="53"/>
      <c r="AF82" s="53"/>
      <c r="AG82" s="53"/>
      <c r="AH82" s="53"/>
      <c r="AI82" s="53"/>
      <c r="AJ82" s="45"/>
      <c r="AK82" s="45"/>
      <c r="AL82" s="53"/>
      <c r="AM82" s="45"/>
      <c r="AN82" s="53"/>
      <c r="AO82" s="53"/>
      <c r="AP82" s="53"/>
      <c r="AQ82" s="53"/>
      <c r="AR82" s="53"/>
      <c r="AS82" s="53"/>
      <c r="AT82" s="45"/>
      <c r="AU82" s="45"/>
      <c r="AV82" s="53"/>
      <c r="AW82" s="53"/>
      <c r="AX82" s="53"/>
      <c r="AY82" s="53"/>
      <c r="AZ82" s="53" t="s">
        <v>484</v>
      </c>
      <c r="BA82" s="51"/>
      <c r="BE82" s="53"/>
      <c r="BF82" s="53"/>
      <c r="BG82" s="53"/>
      <c r="BH82" s="53"/>
      <c r="BI82" s="53"/>
      <c r="BJ82" s="53"/>
      <c r="BK82" s="53"/>
      <c r="BL82" s="53"/>
      <c r="BM82" s="53"/>
      <c r="BN82" s="53" t="s">
        <v>484</v>
      </c>
      <c r="BO82" s="54"/>
      <c r="BP82" s="55"/>
      <c r="BS82" s="55"/>
      <c r="BT82" s="55"/>
      <c r="BU82" s="84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</row>
    <row r="83" spans="1:95" s="64" customFormat="1" ht="12.75" customHeight="1">
      <c r="A83" s="64" t="s">
        <v>102</v>
      </c>
      <c r="B83" s="66"/>
      <c r="C83" s="64" t="s">
        <v>103</v>
      </c>
      <c r="D83" s="46"/>
      <c r="E83" s="79">
        <f t="shared" si="13"/>
        <v>7897547</v>
      </c>
      <c r="F83" s="79"/>
      <c r="G83" s="79">
        <v>17447239</v>
      </c>
      <c r="H83" s="79"/>
      <c r="I83" s="79">
        <v>25344786</v>
      </c>
      <c r="J83" s="79"/>
      <c r="K83" s="79">
        <f t="shared" si="14"/>
        <v>760173</v>
      </c>
      <c r="L83" s="79"/>
      <c r="M83" s="79">
        <v>1930940</v>
      </c>
      <c r="N83" s="79"/>
      <c r="O83" s="79">
        <v>2691113</v>
      </c>
      <c r="P83" s="79"/>
      <c r="Q83" s="79">
        <v>15446559</v>
      </c>
      <c r="R83" s="79"/>
      <c r="S83" s="79">
        <v>1018149</v>
      </c>
      <c r="T83" s="79"/>
      <c r="U83" s="79">
        <v>6188965</v>
      </c>
      <c r="V83" s="79"/>
      <c r="W83" s="79">
        <f t="shared" ref="W83:W97" si="17">SUM(Q83:U83)</f>
        <v>22653673</v>
      </c>
      <c r="X83" s="66"/>
      <c r="Y83" s="66"/>
      <c r="Z83" s="64" t="s">
        <v>102</v>
      </c>
      <c r="AA83" s="79"/>
      <c r="AB83" s="64" t="s">
        <v>103</v>
      </c>
      <c r="AC83" s="66"/>
      <c r="AD83" s="79">
        <v>3882291</v>
      </c>
      <c r="AE83" s="79"/>
      <c r="AF83" s="79">
        <f>4389098-705420</f>
        <v>3683678</v>
      </c>
      <c r="AG83" s="79"/>
      <c r="AH83" s="79">
        <v>705420</v>
      </c>
      <c r="AI83" s="79"/>
      <c r="AJ83" s="94">
        <f t="shared" si="15"/>
        <v>-506807</v>
      </c>
      <c r="AK83" s="94"/>
      <c r="AL83" s="79">
        <v>22285</v>
      </c>
      <c r="AM83" s="94"/>
      <c r="AN83" s="79">
        <v>0</v>
      </c>
      <c r="AO83" s="79"/>
      <c r="AP83" s="79">
        <v>0</v>
      </c>
      <c r="AQ83" s="79"/>
      <c r="AR83" s="79">
        <v>0</v>
      </c>
      <c r="AS83" s="79"/>
      <c r="AT83" s="94">
        <f t="shared" si="16"/>
        <v>-484522</v>
      </c>
      <c r="AU83" s="94"/>
      <c r="AV83" s="79">
        <v>0</v>
      </c>
      <c r="AW83" s="79"/>
      <c r="AX83" s="79">
        <v>0</v>
      </c>
      <c r="AY83" s="79"/>
      <c r="AZ83" s="79">
        <f t="shared" ref="AZ83:AZ90" si="18">E83-K83</f>
        <v>7137374</v>
      </c>
      <c r="BA83" s="66"/>
      <c r="BB83" s="64" t="s">
        <v>102</v>
      </c>
      <c r="BD83" s="64" t="s">
        <v>103</v>
      </c>
      <c r="BE83" s="79"/>
      <c r="BF83" s="79">
        <f>1723678+260000</f>
        <v>1983678</v>
      </c>
      <c r="BG83" s="79"/>
      <c r="BH83" s="79">
        <v>0</v>
      </c>
      <c r="BI83" s="79"/>
      <c r="BJ83" s="79">
        <v>0</v>
      </c>
      <c r="BK83" s="79"/>
      <c r="BL83" s="79">
        <f>13183+207262</f>
        <v>220445</v>
      </c>
      <c r="BM83" s="79"/>
      <c r="BN83" s="79">
        <f t="shared" ref="BN83:BN146" si="19">SUM(BF83:BL83)</f>
        <v>2204123</v>
      </c>
      <c r="BO83" s="91"/>
      <c r="BS83" s="90"/>
      <c r="BT83" s="90"/>
      <c r="BU83" s="95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</row>
    <row r="84" spans="1:95" s="126" customFormat="1" ht="12.75" hidden="1" customHeight="1">
      <c r="A84" s="126" t="s">
        <v>104</v>
      </c>
      <c r="B84" s="124"/>
      <c r="C84" s="126" t="s">
        <v>13</v>
      </c>
      <c r="D84" s="121"/>
      <c r="E84" s="53">
        <f t="shared" si="13"/>
        <v>0</v>
      </c>
      <c r="F84" s="53"/>
      <c r="G84" s="53">
        <v>0</v>
      </c>
      <c r="H84" s="53"/>
      <c r="I84" s="53">
        <v>0</v>
      </c>
      <c r="J84" s="53"/>
      <c r="K84" s="53">
        <f t="shared" si="14"/>
        <v>0</v>
      </c>
      <c r="L84" s="53"/>
      <c r="M84" s="53">
        <v>0</v>
      </c>
      <c r="N84" s="53"/>
      <c r="O84" s="53">
        <v>0</v>
      </c>
      <c r="P84" s="53"/>
      <c r="Q84" s="53">
        <v>0</v>
      </c>
      <c r="R84" s="53"/>
      <c r="S84" s="53">
        <v>0</v>
      </c>
      <c r="T84" s="53"/>
      <c r="U84" s="53">
        <v>0</v>
      </c>
      <c r="V84" s="53"/>
      <c r="W84" s="137">
        <f t="shared" si="17"/>
        <v>0</v>
      </c>
      <c r="X84" s="124"/>
      <c r="Y84" s="124"/>
      <c r="Z84" s="126" t="s">
        <v>104</v>
      </c>
      <c r="AA84" s="137"/>
      <c r="AB84" s="126" t="s">
        <v>13</v>
      </c>
      <c r="AC84" s="124"/>
      <c r="AD84" s="53">
        <v>0</v>
      </c>
      <c r="AE84" s="53"/>
      <c r="AF84" s="53">
        <v>0</v>
      </c>
      <c r="AG84" s="53"/>
      <c r="AH84" s="53">
        <v>0</v>
      </c>
      <c r="AI84" s="53"/>
      <c r="AJ84" s="45">
        <f t="shared" si="15"/>
        <v>0</v>
      </c>
      <c r="AK84" s="45"/>
      <c r="AL84" s="53">
        <v>0</v>
      </c>
      <c r="AM84" s="45"/>
      <c r="AN84" s="53">
        <v>0</v>
      </c>
      <c r="AO84" s="53"/>
      <c r="AP84" s="53">
        <v>0</v>
      </c>
      <c r="AQ84" s="53"/>
      <c r="AR84" s="53">
        <v>0</v>
      </c>
      <c r="AS84" s="53"/>
      <c r="AT84" s="45">
        <f t="shared" si="16"/>
        <v>0</v>
      </c>
      <c r="AU84" s="127"/>
      <c r="AV84" s="137">
        <v>0</v>
      </c>
      <c r="AW84" s="137"/>
      <c r="AX84" s="137">
        <v>0</v>
      </c>
      <c r="AY84" s="137"/>
      <c r="AZ84" s="137">
        <f t="shared" si="18"/>
        <v>0</v>
      </c>
      <c r="BA84" s="124"/>
      <c r="BB84" s="126" t="s">
        <v>104</v>
      </c>
      <c r="BD84" s="126" t="s">
        <v>13</v>
      </c>
      <c r="BE84" s="137"/>
      <c r="BF84" s="53">
        <v>0</v>
      </c>
      <c r="BG84" s="53"/>
      <c r="BH84" s="53">
        <v>0</v>
      </c>
      <c r="BI84" s="53"/>
      <c r="BJ84" s="53">
        <v>0</v>
      </c>
      <c r="BK84" s="53"/>
      <c r="BL84" s="53">
        <v>0</v>
      </c>
      <c r="BM84" s="137"/>
      <c r="BN84" s="53">
        <f t="shared" si="19"/>
        <v>0</v>
      </c>
      <c r="BO84" s="139"/>
      <c r="BP84" s="140"/>
      <c r="BS84" s="140"/>
      <c r="BT84" s="140"/>
      <c r="BU84" s="141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</row>
    <row r="85" spans="1:95" s="126" customFormat="1" ht="12.75" hidden="1" customHeight="1">
      <c r="A85" s="126" t="s">
        <v>105</v>
      </c>
      <c r="B85" s="124"/>
      <c r="C85" s="126" t="s">
        <v>27</v>
      </c>
      <c r="D85" s="121"/>
      <c r="E85" s="53">
        <f t="shared" si="13"/>
        <v>0</v>
      </c>
      <c r="F85" s="53"/>
      <c r="G85" s="53">
        <v>0</v>
      </c>
      <c r="H85" s="53"/>
      <c r="I85" s="53">
        <v>0</v>
      </c>
      <c r="J85" s="53"/>
      <c r="K85" s="53">
        <f t="shared" si="14"/>
        <v>0</v>
      </c>
      <c r="L85" s="53"/>
      <c r="M85" s="53">
        <v>0</v>
      </c>
      <c r="N85" s="53"/>
      <c r="O85" s="53">
        <v>0</v>
      </c>
      <c r="P85" s="53"/>
      <c r="Q85" s="53">
        <v>0</v>
      </c>
      <c r="R85" s="53"/>
      <c r="S85" s="53">
        <v>0</v>
      </c>
      <c r="T85" s="53"/>
      <c r="U85" s="53">
        <v>0</v>
      </c>
      <c r="V85" s="53"/>
      <c r="W85" s="137">
        <f t="shared" si="17"/>
        <v>0</v>
      </c>
      <c r="X85" s="124"/>
      <c r="Y85" s="124"/>
      <c r="Z85" s="126" t="s">
        <v>105</v>
      </c>
      <c r="AA85" s="137"/>
      <c r="AB85" s="126" t="s">
        <v>27</v>
      </c>
      <c r="AC85" s="124"/>
      <c r="AD85" s="53">
        <v>0</v>
      </c>
      <c r="AE85" s="53"/>
      <c r="AF85" s="53">
        <v>0</v>
      </c>
      <c r="AG85" s="53"/>
      <c r="AH85" s="53">
        <v>0</v>
      </c>
      <c r="AI85" s="53"/>
      <c r="AJ85" s="45">
        <f t="shared" si="15"/>
        <v>0</v>
      </c>
      <c r="AK85" s="45"/>
      <c r="AL85" s="53">
        <v>0</v>
      </c>
      <c r="AM85" s="45"/>
      <c r="AN85" s="53">
        <v>0</v>
      </c>
      <c r="AO85" s="53"/>
      <c r="AP85" s="53">
        <v>0</v>
      </c>
      <c r="AQ85" s="53"/>
      <c r="AR85" s="53">
        <v>0</v>
      </c>
      <c r="AS85" s="53"/>
      <c r="AT85" s="45">
        <f t="shared" si="16"/>
        <v>0</v>
      </c>
      <c r="AU85" s="127"/>
      <c r="AV85" s="137">
        <v>0</v>
      </c>
      <c r="AW85" s="137"/>
      <c r="AX85" s="137">
        <v>0</v>
      </c>
      <c r="AY85" s="137"/>
      <c r="AZ85" s="137">
        <f t="shared" si="18"/>
        <v>0</v>
      </c>
      <c r="BA85" s="124"/>
      <c r="BB85" s="126" t="s">
        <v>105</v>
      </c>
      <c r="BD85" s="126" t="s">
        <v>27</v>
      </c>
      <c r="BE85" s="137"/>
      <c r="BF85" s="53">
        <v>0</v>
      </c>
      <c r="BG85" s="53"/>
      <c r="BH85" s="53">
        <v>0</v>
      </c>
      <c r="BI85" s="53"/>
      <c r="BJ85" s="53">
        <v>0</v>
      </c>
      <c r="BK85" s="53"/>
      <c r="BL85" s="53">
        <v>0</v>
      </c>
      <c r="BM85" s="137"/>
      <c r="BN85" s="53">
        <f t="shared" si="19"/>
        <v>0</v>
      </c>
      <c r="BO85" s="139"/>
      <c r="BS85" s="140"/>
      <c r="BT85" s="140"/>
      <c r="BU85" s="141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</row>
    <row r="86" spans="1:95" s="35" customFormat="1" ht="12.75" customHeight="1">
      <c r="A86" s="35" t="s">
        <v>106</v>
      </c>
      <c r="B86" s="51"/>
      <c r="C86" s="35" t="s">
        <v>107</v>
      </c>
      <c r="D86" s="44"/>
      <c r="E86" s="53">
        <f t="shared" si="13"/>
        <v>6031278</v>
      </c>
      <c r="F86" s="53"/>
      <c r="G86" s="53">
        <v>53642419</v>
      </c>
      <c r="H86" s="53"/>
      <c r="I86" s="53">
        <v>59673697</v>
      </c>
      <c r="J86" s="53"/>
      <c r="K86" s="53">
        <f t="shared" si="14"/>
        <v>2349495</v>
      </c>
      <c r="L86" s="53"/>
      <c r="M86" s="53">
        <v>8488592</v>
      </c>
      <c r="N86" s="53"/>
      <c r="O86" s="53">
        <v>10838087</v>
      </c>
      <c r="P86" s="53"/>
      <c r="Q86" s="53">
        <v>43357054</v>
      </c>
      <c r="R86" s="53"/>
      <c r="S86" s="53">
        <f>717301+385558</f>
        <v>1102859</v>
      </c>
      <c r="T86" s="53"/>
      <c r="U86" s="53">
        <v>4375697</v>
      </c>
      <c r="V86" s="53"/>
      <c r="W86" s="53">
        <f t="shared" si="17"/>
        <v>48835610</v>
      </c>
      <c r="Z86" s="35" t="s">
        <v>106</v>
      </c>
      <c r="AA86" s="53"/>
      <c r="AB86" s="35" t="s">
        <v>107</v>
      </c>
      <c r="AC86" s="51"/>
      <c r="AD86" s="53">
        <v>7359341</v>
      </c>
      <c r="AE86" s="53"/>
      <c r="AF86" s="53">
        <f>6460762-1203201</f>
        <v>5257561</v>
      </c>
      <c r="AG86" s="53"/>
      <c r="AH86" s="53">
        <v>1203201</v>
      </c>
      <c r="AI86" s="53"/>
      <c r="AJ86" s="45">
        <f t="shared" si="15"/>
        <v>898579</v>
      </c>
      <c r="AK86" s="45"/>
      <c r="AL86" s="53">
        <v>-840659</v>
      </c>
      <c r="AM86" s="45"/>
      <c r="AN86" s="53">
        <v>0</v>
      </c>
      <c r="AO86" s="53"/>
      <c r="AP86" s="53">
        <v>127234</v>
      </c>
      <c r="AQ86" s="53"/>
      <c r="AR86" s="53">
        <v>425318</v>
      </c>
      <c r="AS86" s="53"/>
      <c r="AT86" s="45">
        <f t="shared" si="16"/>
        <v>356004</v>
      </c>
      <c r="AU86" s="45"/>
      <c r="AV86" s="53">
        <v>0</v>
      </c>
      <c r="AW86" s="53"/>
      <c r="AX86" s="53">
        <v>0</v>
      </c>
      <c r="AY86" s="53"/>
      <c r="AZ86" s="53">
        <f t="shared" si="18"/>
        <v>3681783</v>
      </c>
      <c r="BA86" s="65"/>
      <c r="BB86" s="35" t="s">
        <v>106</v>
      </c>
      <c r="BD86" s="35" t="s">
        <v>107</v>
      </c>
      <c r="BE86" s="53"/>
      <c r="BF86" s="53">
        <f>4316779+570000</f>
        <v>4886779</v>
      </c>
      <c r="BG86" s="53"/>
      <c r="BH86" s="53">
        <v>0</v>
      </c>
      <c r="BI86" s="53"/>
      <c r="BJ86" s="53">
        <f>4011116+231734</f>
        <v>4242850</v>
      </c>
      <c r="BK86" s="53"/>
      <c r="BL86" s="53">
        <f>160697+235280</f>
        <v>395977</v>
      </c>
      <c r="BM86" s="53"/>
      <c r="BN86" s="53">
        <f t="shared" si="19"/>
        <v>9525606</v>
      </c>
      <c r="BO86" s="54"/>
      <c r="BS86" s="55"/>
      <c r="BT86" s="55"/>
      <c r="BU86" s="84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</row>
    <row r="87" spans="1:95" s="126" customFormat="1" ht="12.75" hidden="1" customHeight="1">
      <c r="A87" s="126" t="s">
        <v>108</v>
      </c>
      <c r="B87" s="124"/>
      <c r="C87" s="126" t="s">
        <v>45</v>
      </c>
      <c r="D87" s="121"/>
      <c r="E87" s="53">
        <f t="shared" si="13"/>
        <v>0</v>
      </c>
      <c r="F87" s="53"/>
      <c r="G87" s="53">
        <v>0</v>
      </c>
      <c r="H87" s="53"/>
      <c r="I87" s="53">
        <v>0</v>
      </c>
      <c r="J87" s="53"/>
      <c r="K87" s="53">
        <f t="shared" si="14"/>
        <v>0</v>
      </c>
      <c r="L87" s="53"/>
      <c r="M87" s="53">
        <v>0</v>
      </c>
      <c r="N87" s="53"/>
      <c r="O87" s="53">
        <v>0</v>
      </c>
      <c r="P87" s="53"/>
      <c r="Q87" s="53">
        <v>0</v>
      </c>
      <c r="R87" s="53"/>
      <c r="S87" s="53">
        <v>0</v>
      </c>
      <c r="T87" s="53"/>
      <c r="U87" s="53">
        <v>0</v>
      </c>
      <c r="V87" s="53"/>
      <c r="W87" s="137">
        <f t="shared" si="17"/>
        <v>0</v>
      </c>
      <c r="X87" s="124"/>
      <c r="Y87" s="124"/>
      <c r="Z87" s="126" t="s">
        <v>108</v>
      </c>
      <c r="AA87" s="137"/>
      <c r="AB87" s="126" t="s">
        <v>45</v>
      </c>
      <c r="AC87" s="124"/>
      <c r="AD87" s="53">
        <v>0</v>
      </c>
      <c r="AE87" s="53"/>
      <c r="AF87" s="53">
        <v>0</v>
      </c>
      <c r="AG87" s="53"/>
      <c r="AH87" s="53">
        <v>0</v>
      </c>
      <c r="AI87" s="53"/>
      <c r="AJ87" s="45">
        <f t="shared" si="15"/>
        <v>0</v>
      </c>
      <c r="AK87" s="45"/>
      <c r="AL87" s="53">
        <v>0</v>
      </c>
      <c r="AM87" s="45"/>
      <c r="AN87" s="53">
        <v>0</v>
      </c>
      <c r="AO87" s="53"/>
      <c r="AP87" s="53">
        <v>0</v>
      </c>
      <c r="AQ87" s="53"/>
      <c r="AR87" s="53">
        <v>0</v>
      </c>
      <c r="AS87" s="53"/>
      <c r="AT87" s="45">
        <f t="shared" si="16"/>
        <v>0</v>
      </c>
      <c r="AU87" s="127"/>
      <c r="AV87" s="137">
        <v>0</v>
      </c>
      <c r="AW87" s="137"/>
      <c r="AX87" s="137">
        <v>0</v>
      </c>
      <c r="AY87" s="137"/>
      <c r="AZ87" s="137">
        <f t="shared" si="18"/>
        <v>0</v>
      </c>
      <c r="BA87" s="124"/>
      <c r="BB87" s="126" t="s">
        <v>108</v>
      </c>
      <c r="BD87" s="126" t="s">
        <v>45</v>
      </c>
      <c r="BE87" s="137"/>
      <c r="BF87" s="53">
        <v>0</v>
      </c>
      <c r="BG87" s="53"/>
      <c r="BH87" s="53">
        <v>0</v>
      </c>
      <c r="BI87" s="53"/>
      <c r="BJ87" s="53">
        <v>0</v>
      </c>
      <c r="BK87" s="53"/>
      <c r="BL87" s="53">
        <v>0</v>
      </c>
      <c r="BM87" s="137"/>
      <c r="BN87" s="53">
        <f t="shared" si="19"/>
        <v>0</v>
      </c>
      <c r="BO87" s="139"/>
      <c r="BS87" s="140"/>
      <c r="BT87" s="140"/>
      <c r="BU87" s="141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</row>
    <row r="88" spans="1:95" s="35" customFormat="1" ht="12.75" customHeight="1">
      <c r="A88" s="35" t="s">
        <v>109</v>
      </c>
      <c r="C88" s="35" t="s">
        <v>110</v>
      </c>
      <c r="D88" s="44"/>
      <c r="E88" s="53">
        <f t="shared" si="13"/>
        <v>583285</v>
      </c>
      <c r="F88" s="53"/>
      <c r="G88" s="53">
        <v>18218708</v>
      </c>
      <c r="H88" s="53"/>
      <c r="I88" s="53">
        <v>18801993</v>
      </c>
      <c r="J88" s="53"/>
      <c r="K88" s="53">
        <f t="shared" si="14"/>
        <v>316405</v>
      </c>
      <c r="L88" s="53"/>
      <c r="M88" s="53">
        <v>1475194</v>
      </c>
      <c r="N88" s="53"/>
      <c r="O88" s="53">
        <v>1791599</v>
      </c>
      <c r="P88" s="53"/>
      <c r="Q88" s="53">
        <v>16777124</v>
      </c>
      <c r="R88" s="53"/>
      <c r="S88" s="53">
        <v>0</v>
      </c>
      <c r="T88" s="53"/>
      <c r="U88" s="53">
        <v>223270</v>
      </c>
      <c r="V88" s="53"/>
      <c r="W88" s="53">
        <f t="shared" si="17"/>
        <v>17000394</v>
      </c>
      <c r="X88" s="65"/>
      <c r="Y88" s="65"/>
      <c r="Z88" s="35" t="s">
        <v>109</v>
      </c>
      <c r="AA88" s="53"/>
      <c r="AB88" s="35" t="s">
        <v>110</v>
      </c>
      <c r="AD88" s="53">
        <v>2797358</v>
      </c>
      <c r="AE88" s="53"/>
      <c r="AF88" s="53">
        <f>2986345-352526</f>
        <v>2633819</v>
      </c>
      <c r="AG88" s="53"/>
      <c r="AH88" s="53">
        <v>352526</v>
      </c>
      <c r="AI88" s="53"/>
      <c r="AJ88" s="45">
        <f t="shared" si="15"/>
        <v>-188987</v>
      </c>
      <c r="AK88" s="45"/>
      <c r="AL88" s="53">
        <v>21838</v>
      </c>
      <c r="AM88" s="45"/>
      <c r="AN88" s="53">
        <v>0</v>
      </c>
      <c r="AO88" s="53"/>
      <c r="AP88" s="53">
        <v>0</v>
      </c>
      <c r="AQ88" s="53"/>
      <c r="AR88" s="53">
        <v>800000</v>
      </c>
      <c r="AS88" s="53"/>
      <c r="AT88" s="45">
        <f t="shared" si="16"/>
        <v>632851</v>
      </c>
      <c r="AU88" s="45"/>
      <c r="AV88" s="53">
        <v>0</v>
      </c>
      <c r="AW88" s="53"/>
      <c r="AX88" s="53">
        <v>0</v>
      </c>
      <c r="AY88" s="53"/>
      <c r="AZ88" s="53">
        <f t="shared" si="18"/>
        <v>266880</v>
      </c>
      <c r="BA88" s="65"/>
      <c r="BB88" s="35" t="s">
        <v>109</v>
      </c>
      <c r="BD88" s="35" t="s">
        <v>110</v>
      </c>
      <c r="BE88" s="53"/>
      <c r="BF88" s="53">
        <v>0</v>
      </c>
      <c r="BG88" s="53"/>
      <c r="BH88" s="53">
        <v>0</v>
      </c>
      <c r="BI88" s="53"/>
      <c r="BJ88" s="53">
        <f>1349910+30832+53991+6851</f>
        <v>1441584</v>
      </c>
      <c r="BK88" s="53"/>
      <c r="BL88" s="53">
        <f>94452+66167</f>
        <v>160619</v>
      </c>
      <c r="BM88" s="53"/>
      <c r="BN88" s="53">
        <f t="shared" si="19"/>
        <v>1602203</v>
      </c>
      <c r="BO88" s="54"/>
      <c r="BS88" s="55"/>
      <c r="BT88" s="55"/>
      <c r="BU88" s="84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</row>
    <row r="89" spans="1:95" s="35" customFormat="1" ht="12.75" customHeight="1">
      <c r="A89" s="35" t="s">
        <v>43</v>
      </c>
      <c r="B89" s="51"/>
      <c r="C89" s="35" t="s">
        <v>111</v>
      </c>
      <c r="D89" s="44"/>
      <c r="E89" s="53">
        <f t="shared" si="13"/>
        <v>1582628</v>
      </c>
      <c r="F89" s="53"/>
      <c r="G89" s="53">
        <v>10731628</v>
      </c>
      <c r="H89" s="53"/>
      <c r="I89" s="53">
        <v>12314256</v>
      </c>
      <c r="J89" s="53"/>
      <c r="K89" s="53">
        <f t="shared" si="14"/>
        <v>914586</v>
      </c>
      <c r="L89" s="53"/>
      <c r="M89" s="53">
        <v>7218931</v>
      </c>
      <c r="N89" s="53"/>
      <c r="O89" s="53">
        <v>8133517</v>
      </c>
      <c r="P89" s="53"/>
      <c r="Q89" s="53">
        <v>2465285</v>
      </c>
      <c r="R89" s="53"/>
      <c r="S89" s="53">
        <f>566309+247630</f>
        <v>813939</v>
      </c>
      <c r="T89" s="53"/>
      <c r="U89" s="53">
        <v>901515</v>
      </c>
      <c r="V89" s="53"/>
      <c r="W89" s="53">
        <f t="shared" si="17"/>
        <v>4180739</v>
      </c>
      <c r="Z89" s="35" t="s">
        <v>43</v>
      </c>
      <c r="AA89" s="53"/>
      <c r="AB89" s="35" t="s">
        <v>111</v>
      </c>
      <c r="AC89" s="51"/>
      <c r="AD89" s="53">
        <v>2485178</v>
      </c>
      <c r="AE89" s="53"/>
      <c r="AF89" s="53">
        <f>1615469-194321</f>
        <v>1421148</v>
      </c>
      <c r="AG89" s="53"/>
      <c r="AH89" s="53">
        <v>194321</v>
      </c>
      <c r="AI89" s="53"/>
      <c r="AJ89" s="45">
        <f t="shared" si="15"/>
        <v>869709</v>
      </c>
      <c r="AK89" s="45"/>
      <c r="AL89" s="53">
        <v>-382812</v>
      </c>
      <c r="AM89" s="45"/>
      <c r="AN89" s="53">
        <v>0</v>
      </c>
      <c r="AO89" s="53"/>
      <c r="AP89" s="53">
        <v>60142</v>
      </c>
      <c r="AQ89" s="53"/>
      <c r="AR89" s="53">
        <v>0</v>
      </c>
      <c r="AS89" s="53"/>
      <c r="AT89" s="45">
        <f t="shared" si="16"/>
        <v>426755</v>
      </c>
      <c r="AU89" s="45"/>
      <c r="AV89" s="53">
        <v>0</v>
      </c>
      <c r="AW89" s="53"/>
      <c r="AX89" s="53">
        <v>0</v>
      </c>
      <c r="AY89" s="53"/>
      <c r="AZ89" s="53">
        <f t="shared" si="18"/>
        <v>668042</v>
      </c>
      <c r="BA89" s="65"/>
      <c r="BB89" s="35" t="s">
        <v>43</v>
      </c>
      <c r="BD89" s="35" t="s">
        <v>111</v>
      </c>
      <c r="BE89" s="53"/>
      <c r="BF89" s="53">
        <v>0</v>
      </c>
      <c r="BG89" s="53"/>
      <c r="BH89" s="53">
        <f>4341907+395000</f>
        <v>4736907</v>
      </c>
      <c r="BI89" s="53"/>
      <c r="BJ89" s="53">
        <f>2783537+139751</f>
        <v>2923288</v>
      </c>
      <c r="BK89" s="53"/>
      <c r="BL89" s="53">
        <f>28393+65094+139751</f>
        <v>233238</v>
      </c>
      <c r="BM89" s="53"/>
      <c r="BN89" s="53">
        <f t="shared" si="19"/>
        <v>7893433</v>
      </c>
      <c r="BO89" s="54"/>
      <c r="BS89" s="55"/>
      <c r="BT89" s="55"/>
      <c r="BU89" s="84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</row>
    <row r="90" spans="1:95" s="35" customFormat="1" ht="12.75" customHeight="1">
      <c r="A90" s="35" t="s">
        <v>112</v>
      </c>
      <c r="B90" s="65"/>
      <c r="C90" s="35" t="s">
        <v>76</v>
      </c>
      <c r="D90" s="44"/>
      <c r="E90" s="53">
        <f t="shared" ref="E90:E146" si="20">I90-G90</f>
        <v>4409948</v>
      </c>
      <c r="F90" s="53"/>
      <c r="G90" s="53">
        <v>45504041</v>
      </c>
      <c r="H90" s="53"/>
      <c r="I90" s="53">
        <v>49913989</v>
      </c>
      <c r="J90" s="53"/>
      <c r="K90" s="53">
        <f t="shared" ref="K90:K146" si="21">O90-M90</f>
        <v>1084489</v>
      </c>
      <c r="L90" s="53"/>
      <c r="M90" s="53">
        <v>9418668</v>
      </c>
      <c r="N90" s="53"/>
      <c r="O90" s="53">
        <v>10503157</v>
      </c>
      <c r="P90" s="53"/>
      <c r="Q90" s="53">
        <v>35771498</v>
      </c>
      <c r="R90" s="53"/>
      <c r="S90" s="53">
        <v>0</v>
      </c>
      <c r="T90" s="53"/>
      <c r="U90" s="53">
        <v>3639334</v>
      </c>
      <c r="V90" s="53"/>
      <c r="W90" s="53">
        <f t="shared" si="17"/>
        <v>39410832</v>
      </c>
      <c r="X90" s="65"/>
      <c r="Y90" s="65"/>
      <c r="Z90" s="35" t="s">
        <v>112</v>
      </c>
      <c r="AA90" s="53"/>
      <c r="AB90" s="35" t="s">
        <v>76</v>
      </c>
      <c r="AC90" s="65"/>
      <c r="AD90" s="53">
        <v>4630336</v>
      </c>
      <c r="AE90" s="53"/>
      <c r="AF90" s="53">
        <f>4950009-1389888</f>
        <v>3560121</v>
      </c>
      <c r="AG90" s="53"/>
      <c r="AH90" s="53">
        <v>1389888</v>
      </c>
      <c r="AI90" s="53"/>
      <c r="AJ90" s="45">
        <f t="shared" ref="AJ90:AJ141" si="22">+AD90-AF90-AH90</f>
        <v>-319673</v>
      </c>
      <c r="AK90" s="45"/>
      <c r="AL90" s="53">
        <v>-390095</v>
      </c>
      <c r="AM90" s="45"/>
      <c r="AN90" s="53">
        <v>500000</v>
      </c>
      <c r="AO90" s="53"/>
      <c r="AP90" s="53">
        <v>2479</v>
      </c>
      <c r="AQ90" s="53"/>
      <c r="AR90" s="53">
        <v>4949663</v>
      </c>
      <c r="AS90" s="53"/>
      <c r="AT90" s="45">
        <f t="shared" ref="AT90:AT145" si="23">+AJ90+AL90+AN90-AP90+AR90</f>
        <v>4737416</v>
      </c>
      <c r="AU90" s="45"/>
      <c r="AV90" s="53">
        <v>0</v>
      </c>
      <c r="AW90" s="53"/>
      <c r="AX90" s="53">
        <v>0</v>
      </c>
      <c r="AY90" s="53"/>
      <c r="AZ90" s="53">
        <f t="shared" si="18"/>
        <v>3325459</v>
      </c>
      <c r="BA90" s="65"/>
      <c r="BB90" s="35" t="s">
        <v>112</v>
      </c>
      <c r="BD90" s="35" t="s">
        <v>76</v>
      </c>
      <c r="BE90" s="53"/>
      <c r="BF90" s="53">
        <f>7490000+435000</f>
        <v>7925000</v>
      </c>
      <c r="BG90" s="53"/>
      <c r="BH90" s="53">
        <v>0</v>
      </c>
      <c r="BI90" s="53"/>
      <c r="BJ90" s="53">
        <v>1807543</v>
      </c>
      <c r="BK90" s="53"/>
      <c r="BL90" s="53">
        <f>121125+32500</f>
        <v>153625</v>
      </c>
      <c r="BM90" s="53"/>
      <c r="BN90" s="53">
        <f t="shared" si="19"/>
        <v>9886168</v>
      </c>
      <c r="BO90" s="54"/>
      <c r="BS90" s="55"/>
      <c r="BT90" s="55"/>
      <c r="BU90" s="84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</row>
    <row r="91" spans="1:95" s="35" customFormat="1" ht="12.75" customHeight="1">
      <c r="A91" s="35" t="s">
        <v>113</v>
      </c>
      <c r="B91" s="51"/>
      <c r="C91" s="35" t="s">
        <v>43</v>
      </c>
      <c r="D91" s="44"/>
      <c r="E91" s="53">
        <f t="shared" si="20"/>
        <v>5534791</v>
      </c>
      <c r="F91" s="53"/>
      <c r="G91" s="53">
        <v>25693020</v>
      </c>
      <c r="H91" s="53"/>
      <c r="I91" s="53">
        <v>31227811</v>
      </c>
      <c r="J91" s="53"/>
      <c r="K91" s="53">
        <f t="shared" si="21"/>
        <v>238613</v>
      </c>
      <c r="L91" s="53"/>
      <c r="M91" s="53">
        <v>303685</v>
      </c>
      <c r="N91" s="53"/>
      <c r="O91" s="53">
        <v>542298</v>
      </c>
      <c r="P91" s="53"/>
      <c r="Q91" s="53">
        <v>25373439</v>
      </c>
      <c r="R91" s="53"/>
      <c r="S91" s="53">
        <v>0</v>
      </c>
      <c r="T91" s="53"/>
      <c r="U91" s="53">
        <v>5312074</v>
      </c>
      <c r="V91" s="53"/>
      <c r="W91" s="53">
        <f t="shared" si="17"/>
        <v>30685513</v>
      </c>
      <c r="X91" s="66"/>
      <c r="Y91" s="66"/>
      <c r="Z91" s="35" t="s">
        <v>113</v>
      </c>
      <c r="AA91" s="53"/>
      <c r="AB91" s="35" t="s">
        <v>43</v>
      </c>
      <c r="AC91" s="51"/>
      <c r="AD91" s="53">
        <v>5683731</v>
      </c>
      <c r="AE91" s="53"/>
      <c r="AF91" s="53">
        <f>5418027-722052</f>
        <v>4695975</v>
      </c>
      <c r="AG91" s="53"/>
      <c r="AH91" s="53">
        <v>722052</v>
      </c>
      <c r="AI91" s="53"/>
      <c r="AJ91" s="45">
        <f t="shared" si="22"/>
        <v>265704</v>
      </c>
      <c r="AK91" s="45"/>
      <c r="AL91" s="53">
        <v>-14956</v>
      </c>
      <c r="AM91" s="45"/>
      <c r="AN91" s="53">
        <v>0</v>
      </c>
      <c r="AO91" s="53"/>
      <c r="AP91" s="53">
        <v>0</v>
      </c>
      <c r="AQ91" s="53"/>
      <c r="AR91" s="53">
        <v>0</v>
      </c>
      <c r="AS91" s="53"/>
      <c r="AT91" s="45">
        <f t="shared" si="23"/>
        <v>250748</v>
      </c>
      <c r="AU91" s="45"/>
      <c r="AV91" s="53">
        <v>0</v>
      </c>
      <c r="AW91" s="53"/>
      <c r="AX91" s="53">
        <v>0</v>
      </c>
      <c r="AY91" s="53"/>
      <c r="AZ91" s="53">
        <f t="shared" ref="AZ91:AZ153" si="24">E91-K91</f>
        <v>5296178</v>
      </c>
      <c r="BA91" s="66"/>
      <c r="BB91" s="35" t="s">
        <v>113</v>
      </c>
      <c r="BD91" s="35" t="s">
        <v>43</v>
      </c>
      <c r="BE91" s="53"/>
      <c r="BF91" s="53">
        <f>303685+12802</f>
        <v>316487</v>
      </c>
      <c r="BG91" s="53"/>
      <c r="BH91" s="53">
        <v>0</v>
      </c>
      <c r="BI91" s="53"/>
      <c r="BJ91" s="53">
        <v>0</v>
      </c>
      <c r="BK91" s="53"/>
      <c r="BL91" s="53">
        <v>0</v>
      </c>
      <c r="BM91" s="53"/>
      <c r="BN91" s="53">
        <f t="shared" si="19"/>
        <v>316487</v>
      </c>
      <c r="BO91" s="54"/>
      <c r="BS91" s="55"/>
      <c r="BT91" s="55"/>
      <c r="BU91" s="84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</row>
    <row r="92" spans="1:95" s="35" customFormat="1" ht="12.75" customHeight="1">
      <c r="A92" s="35" t="s">
        <v>489</v>
      </c>
      <c r="B92" s="51"/>
      <c r="C92" s="35" t="s">
        <v>57</v>
      </c>
      <c r="D92" s="44"/>
      <c r="E92" s="53">
        <f t="shared" si="20"/>
        <v>2791943</v>
      </c>
      <c r="F92" s="53"/>
      <c r="G92" s="53">
        <v>8390189</v>
      </c>
      <c r="H92" s="53"/>
      <c r="I92" s="53">
        <v>11182132</v>
      </c>
      <c r="J92" s="53"/>
      <c r="K92" s="53">
        <f t="shared" si="21"/>
        <v>396731</v>
      </c>
      <c r="L92" s="53"/>
      <c r="M92" s="53">
        <v>6842584</v>
      </c>
      <c r="N92" s="53"/>
      <c r="O92" s="53">
        <v>7239315</v>
      </c>
      <c r="P92" s="53"/>
      <c r="Q92" s="53">
        <v>1383392</v>
      </c>
      <c r="R92" s="53"/>
      <c r="S92" s="53">
        <v>0</v>
      </c>
      <c r="T92" s="53"/>
      <c r="U92" s="53">
        <v>2559425</v>
      </c>
      <c r="V92" s="53"/>
      <c r="W92" s="53">
        <f>SUM(Q92:U92)</f>
        <v>3942817</v>
      </c>
      <c r="X92" s="51"/>
      <c r="Y92" s="66"/>
      <c r="Z92" s="35" t="s">
        <v>489</v>
      </c>
      <c r="AA92" s="53"/>
      <c r="AB92" s="35" t="s">
        <v>57</v>
      </c>
      <c r="AC92" s="51"/>
      <c r="AD92" s="53">
        <v>1947540</v>
      </c>
      <c r="AE92" s="53"/>
      <c r="AF92" s="53">
        <f>1493206-104961</f>
        <v>1388245</v>
      </c>
      <c r="AG92" s="53"/>
      <c r="AH92" s="53">
        <v>104961</v>
      </c>
      <c r="AI92" s="53"/>
      <c r="AJ92" s="45">
        <f t="shared" si="22"/>
        <v>454334</v>
      </c>
      <c r="AK92" s="45"/>
      <c r="AL92" s="53">
        <v>-216450</v>
      </c>
      <c r="AM92" s="45"/>
      <c r="AN92" s="53">
        <v>27285</v>
      </c>
      <c r="AO92" s="53"/>
      <c r="AP92" s="53">
        <v>27285</v>
      </c>
      <c r="AQ92" s="53"/>
      <c r="AR92" s="53">
        <v>0</v>
      </c>
      <c r="AS92" s="53"/>
      <c r="AT92" s="45">
        <f t="shared" si="23"/>
        <v>237884</v>
      </c>
      <c r="AU92" s="45"/>
      <c r="AV92" s="53">
        <v>0</v>
      </c>
      <c r="AW92" s="53"/>
      <c r="AX92" s="53">
        <v>0</v>
      </c>
      <c r="AY92" s="53"/>
      <c r="AZ92" s="53">
        <f>E92-K92</f>
        <v>2395212</v>
      </c>
      <c r="BA92" s="51"/>
      <c r="BB92" s="35" t="s">
        <v>489</v>
      </c>
      <c r="BD92" s="35" t="s">
        <v>57</v>
      </c>
      <c r="BE92" s="53"/>
      <c r="BF92" s="53">
        <v>0</v>
      </c>
      <c r="BG92" s="53"/>
      <c r="BH92" s="53">
        <v>0</v>
      </c>
      <c r="BI92" s="53"/>
      <c r="BJ92" s="53">
        <f>128330+6510224+10555+207297</f>
        <v>6856406</v>
      </c>
      <c r="BK92" s="53"/>
      <c r="BL92" s="53">
        <f>75359+128671+17323</f>
        <v>221353</v>
      </c>
      <c r="BM92" s="53"/>
      <c r="BN92" s="53">
        <f>SUM(BF92:BL92)</f>
        <v>7077759</v>
      </c>
      <c r="BO92" s="54"/>
      <c r="BS92" s="55"/>
      <c r="BT92" s="55"/>
      <c r="BU92" s="84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</row>
    <row r="93" spans="1:95" s="126" customFormat="1" ht="12.75" hidden="1" customHeight="1">
      <c r="A93" s="126" t="s">
        <v>114</v>
      </c>
      <c r="B93" s="124"/>
      <c r="C93" s="126" t="s">
        <v>27</v>
      </c>
      <c r="D93" s="121"/>
      <c r="E93" s="53">
        <f t="shared" si="20"/>
        <v>0</v>
      </c>
      <c r="F93" s="53"/>
      <c r="G93" s="53">
        <v>0</v>
      </c>
      <c r="H93" s="53"/>
      <c r="I93" s="53">
        <v>0</v>
      </c>
      <c r="J93" s="53"/>
      <c r="K93" s="53">
        <f t="shared" si="21"/>
        <v>0</v>
      </c>
      <c r="L93" s="53"/>
      <c r="M93" s="53">
        <v>0</v>
      </c>
      <c r="N93" s="53"/>
      <c r="O93" s="53">
        <v>0</v>
      </c>
      <c r="P93" s="53"/>
      <c r="Q93" s="53">
        <v>0</v>
      </c>
      <c r="R93" s="53"/>
      <c r="S93" s="53">
        <v>0</v>
      </c>
      <c r="T93" s="53"/>
      <c r="U93" s="53">
        <v>0</v>
      </c>
      <c r="V93" s="53"/>
      <c r="W93" s="137">
        <f t="shared" si="17"/>
        <v>0</v>
      </c>
      <c r="X93" s="124"/>
      <c r="Y93" s="124"/>
      <c r="Z93" s="126" t="s">
        <v>114</v>
      </c>
      <c r="AA93" s="137"/>
      <c r="AB93" s="126" t="s">
        <v>27</v>
      </c>
      <c r="AC93" s="124"/>
      <c r="AD93" s="53">
        <v>0</v>
      </c>
      <c r="AE93" s="53"/>
      <c r="AF93" s="53">
        <v>0</v>
      </c>
      <c r="AG93" s="53"/>
      <c r="AH93" s="53">
        <v>0</v>
      </c>
      <c r="AI93" s="53"/>
      <c r="AJ93" s="45">
        <f t="shared" si="22"/>
        <v>0</v>
      </c>
      <c r="AK93" s="45"/>
      <c r="AL93" s="53">
        <v>0</v>
      </c>
      <c r="AM93" s="45"/>
      <c r="AN93" s="53">
        <v>0</v>
      </c>
      <c r="AO93" s="53"/>
      <c r="AP93" s="53">
        <v>0</v>
      </c>
      <c r="AQ93" s="53"/>
      <c r="AR93" s="53">
        <v>0</v>
      </c>
      <c r="AS93" s="53"/>
      <c r="AT93" s="45">
        <f t="shared" si="23"/>
        <v>0</v>
      </c>
      <c r="AU93" s="127"/>
      <c r="AV93" s="137">
        <v>0</v>
      </c>
      <c r="AW93" s="137"/>
      <c r="AX93" s="137">
        <v>0</v>
      </c>
      <c r="AY93" s="137"/>
      <c r="AZ93" s="137">
        <f t="shared" si="24"/>
        <v>0</v>
      </c>
      <c r="BA93" s="124"/>
      <c r="BB93" s="126" t="s">
        <v>114</v>
      </c>
      <c r="BD93" s="126" t="s">
        <v>27</v>
      </c>
      <c r="BE93" s="137"/>
      <c r="BF93" s="53">
        <v>0</v>
      </c>
      <c r="BG93" s="53"/>
      <c r="BH93" s="53">
        <v>0</v>
      </c>
      <c r="BI93" s="53"/>
      <c r="BJ93" s="53">
        <v>0</v>
      </c>
      <c r="BK93" s="53"/>
      <c r="BL93" s="53">
        <v>0</v>
      </c>
      <c r="BM93" s="137"/>
      <c r="BN93" s="137">
        <f t="shared" si="19"/>
        <v>0</v>
      </c>
      <c r="BO93" s="139"/>
      <c r="BS93" s="140"/>
      <c r="BT93" s="140"/>
      <c r="BU93" s="141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</row>
    <row r="94" spans="1:95" s="35" customFormat="1" ht="12.75" customHeight="1">
      <c r="A94" s="35" t="s">
        <v>115</v>
      </c>
      <c r="C94" s="35" t="s">
        <v>19</v>
      </c>
      <c r="D94" s="44"/>
      <c r="E94" s="53">
        <f t="shared" si="20"/>
        <v>626309</v>
      </c>
      <c r="F94" s="53"/>
      <c r="G94" s="53">
        <v>6519395</v>
      </c>
      <c r="H94" s="53"/>
      <c r="I94" s="53">
        <v>7145704</v>
      </c>
      <c r="J94" s="53"/>
      <c r="K94" s="53">
        <f t="shared" si="21"/>
        <v>239596</v>
      </c>
      <c r="L94" s="53"/>
      <c r="M94" s="53">
        <v>5605322</v>
      </c>
      <c r="N94" s="53"/>
      <c r="O94" s="53">
        <v>5844918</v>
      </c>
      <c r="P94" s="53"/>
      <c r="Q94" s="53">
        <v>712842</v>
      </c>
      <c r="R94" s="53"/>
      <c r="S94" s="53">
        <v>0</v>
      </c>
      <c r="T94" s="53"/>
      <c r="U94" s="53">
        <v>587944</v>
      </c>
      <c r="V94" s="53"/>
      <c r="W94" s="53">
        <f t="shared" si="17"/>
        <v>1300786</v>
      </c>
      <c r="X94" s="51"/>
      <c r="Y94" s="51"/>
      <c r="Z94" s="35" t="s">
        <v>115</v>
      </c>
      <c r="AA94" s="53"/>
      <c r="AB94" s="35" t="s">
        <v>19</v>
      </c>
      <c r="AD94" s="53">
        <v>1374966</v>
      </c>
      <c r="AE94" s="53"/>
      <c r="AF94" s="53">
        <f>917451-143026</f>
        <v>774425</v>
      </c>
      <c r="AG94" s="53"/>
      <c r="AH94" s="53">
        <v>143026</v>
      </c>
      <c r="AI94" s="53"/>
      <c r="AJ94" s="45">
        <f t="shared" si="22"/>
        <v>457515</v>
      </c>
      <c r="AK94" s="45"/>
      <c r="AL94" s="53">
        <v>-266882</v>
      </c>
      <c r="AM94" s="45"/>
      <c r="AN94" s="53">
        <v>5000</v>
      </c>
      <c r="AO94" s="53"/>
      <c r="AP94" s="53">
        <v>0</v>
      </c>
      <c r="AQ94" s="53"/>
      <c r="AR94" s="53">
        <v>0</v>
      </c>
      <c r="AS94" s="53"/>
      <c r="AT94" s="45">
        <f t="shared" si="23"/>
        <v>195633</v>
      </c>
      <c r="AU94" s="45"/>
      <c r="AV94" s="53">
        <v>0</v>
      </c>
      <c r="AW94" s="53"/>
      <c r="AX94" s="53">
        <v>0</v>
      </c>
      <c r="AY94" s="53"/>
      <c r="AZ94" s="53">
        <f t="shared" si="24"/>
        <v>386713</v>
      </c>
      <c r="BA94" s="51"/>
      <c r="BB94" s="35" t="s">
        <v>115</v>
      </c>
      <c r="BD94" s="35" t="s">
        <v>19</v>
      </c>
      <c r="BE94" s="53"/>
      <c r="BF94" s="53">
        <v>0</v>
      </c>
      <c r="BG94" s="53"/>
      <c r="BH94" s="53">
        <v>0</v>
      </c>
      <c r="BI94" s="53"/>
      <c r="BJ94" s="53">
        <f>5605322+196231+5000</f>
        <v>5806553</v>
      </c>
      <c r="BK94" s="53"/>
      <c r="BL94" s="53">
        <v>0</v>
      </c>
      <c r="BM94" s="53"/>
      <c r="BN94" s="53">
        <f t="shared" si="19"/>
        <v>5806553</v>
      </c>
      <c r="BO94" s="54"/>
      <c r="BP94" s="55"/>
      <c r="BS94" s="55"/>
      <c r="BT94" s="55"/>
      <c r="BU94" s="84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</row>
    <row r="95" spans="1:95" s="35" customFormat="1" ht="12.75" customHeight="1">
      <c r="A95" s="35" t="s">
        <v>116</v>
      </c>
      <c r="B95" s="65"/>
      <c r="C95" s="35" t="s">
        <v>80</v>
      </c>
      <c r="D95" s="44"/>
      <c r="E95" s="53">
        <f t="shared" si="20"/>
        <v>827246</v>
      </c>
      <c r="F95" s="53"/>
      <c r="G95" s="53">
        <v>3646950</v>
      </c>
      <c r="H95" s="53"/>
      <c r="I95" s="53">
        <v>4474196</v>
      </c>
      <c r="J95" s="53"/>
      <c r="K95" s="53">
        <f t="shared" si="21"/>
        <v>297809</v>
      </c>
      <c r="L95" s="53"/>
      <c r="M95" s="53">
        <v>1180522</v>
      </c>
      <c r="N95" s="53"/>
      <c r="O95" s="53">
        <v>1478331</v>
      </c>
      <c r="P95" s="53"/>
      <c r="Q95" s="53">
        <v>2316817</v>
      </c>
      <c r="R95" s="53"/>
      <c r="S95" s="53">
        <v>0</v>
      </c>
      <c r="T95" s="53"/>
      <c r="U95" s="53">
        <v>679048</v>
      </c>
      <c r="V95" s="53"/>
      <c r="W95" s="53">
        <f t="shared" si="17"/>
        <v>2995865</v>
      </c>
      <c r="X95" s="65"/>
      <c r="Y95" s="65"/>
      <c r="Z95" s="35" t="s">
        <v>116</v>
      </c>
      <c r="AA95" s="53"/>
      <c r="AB95" s="35" t="s">
        <v>80</v>
      </c>
      <c r="AC95" s="65"/>
      <c r="AD95" s="53">
        <v>3028755</v>
      </c>
      <c r="AE95" s="53"/>
      <c r="AF95" s="53">
        <f>2256224-36146</f>
        <v>2220078</v>
      </c>
      <c r="AG95" s="53"/>
      <c r="AH95" s="53">
        <v>36146</v>
      </c>
      <c r="AI95" s="53"/>
      <c r="AJ95" s="45">
        <f t="shared" si="22"/>
        <v>772531</v>
      </c>
      <c r="AK95" s="45"/>
      <c r="AL95" s="53">
        <v>-385843</v>
      </c>
      <c r="AM95" s="45"/>
      <c r="AN95" s="53">
        <v>0</v>
      </c>
      <c r="AO95" s="53"/>
      <c r="AP95" s="53">
        <v>0</v>
      </c>
      <c r="AQ95" s="53"/>
      <c r="AR95" s="53">
        <v>0</v>
      </c>
      <c r="AS95" s="53"/>
      <c r="AT95" s="45">
        <f t="shared" si="23"/>
        <v>386688</v>
      </c>
      <c r="AU95" s="45"/>
      <c r="AV95" s="53">
        <v>0</v>
      </c>
      <c r="AW95" s="53"/>
      <c r="AX95" s="53">
        <v>0</v>
      </c>
      <c r="AY95" s="53"/>
      <c r="AZ95" s="53">
        <f t="shared" si="24"/>
        <v>529437</v>
      </c>
      <c r="BA95" s="65"/>
      <c r="BB95" s="35" t="s">
        <v>116</v>
      </c>
      <c r="BD95" s="35" t="s">
        <v>80</v>
      </c>
      <c r="BE95" s="53"/>
      <c r="BF95" s="53">
        <v>0</v>
      </c>
      <c r="BG95" s="53"/>
      <c r="BH95" s="53">
        <v>0</v>
      </c>
      <c r="BI95" s="53"/>
      <c r="BJ95" s="53">
        <f>1116840+213293</f>
        <v>1330133</v>
      </c>
      <c r="BK95" s="53"/>
      <c r="BL95" s="53">
        <f>63682+4800</f>
        <v>68482</v>
      </c>
      <c r="BM95" s="53"/>
      <c r="BN95" s="53">
        <f t="shared" si="19"/>
        <v>1398615</v>
      </c>
      <c r="BO95" s="54"/>
      <c r="BS95" s="55"/>
      <c r="BT95" s="55"/>
      <c r="BU95" s="84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</row>
    <row r="96" spans="1:95" s="126" customFormat="1" ht="12.75" hidden="1" customHeight="1">
      <c r="A96" s="121" t="s">
        <v>117</v>
      </c>
      <c r="B96" s="124"/>
      <c r="C96" s="126" t="s">
        <v>43</v>
      </c>
      <c r="D96" s="121"/>
      <c r="E96" s="53">
        <f t="shared" si="20"/>
        <v>0</v>
      </c>
      <c r="F96" s="53"/>
      <c r="G96" s="53">
        <v>0</v>
      </c>
      <c r="H96" s="53"/>
      <c r="I96" s="53">
        <v>0</v>
      </c>
      <c r="J96" s="53"/>
      <c r="K96" s="53">
        <f t="shared" si="21"/>
        <v>0</v>
      </c>
      <c r="L96" s="53"/>
      <c r="M96" s="53">
        <v>0</v>
      </c>
      <c r="N96" s="53"/>
      <c r="O96" s="53">
        <v>0</v>
      </c>
      <c r="P96" s="53"/>
      <c r="Q96" s="53">
        <v>0</v>
      </c>
      <c r="R96" s="53"/>
      <c r="S96" s="53">
        <v>0</v>
      </c>
      <c r="T96" s="53"/>
      <c r="U96" s="53">
        <v>0</v>
      </c>
      <c r="V96" s="53"/>
      <c r="W96" s="137">
        <f t="shared" si="17"/>
        <v>0</v>
      </c>
      <c r="X96" s="124"/>
      <c r="Y96" s="124"/>
      <c r="Z96" s="121" t="s">
        <v>117</v>
      </c>
      <c r="AA96" s="137"/>
      <c r="AB96" s="126" t="s">
        <v>43</v>
      </c>
      <c r="AC96" s="124"/>
      <c r="AD96" s="53">
        <v>0</v>
      </c>
      <c r="AE96" s="53"/>
      <c r="AF96" s="53">
        <v>0</v>
      </c>
      <c r="AG96" s="53"/>
      <c r="AH96" s="53">
        <v>0</v>
      </c>
      <c r="AI96" s="53"/>
      <c r="AJ96" s="45">
        <f t="shared" si="22"/>
        <v>0</v>
      </c>
      <c r="AK96" s="45"/>
      <c r="AL96" s="53">
        <v>0</v>
      </c>
      <c r="AM96" s="45"/>
      <c r="AN96" s="53">
        <v>0</v>
      </c>
      <c r="AO96" s="53"/>
      <c r="AP96" s="53">
        <v>0</v>
      </c>
      <c r="AQ96" s="53"/>
      <c r="AR96" s="53">
        <v>0</v>
      </c>
      <c r="AS96" s="53"/>
      <c r="AT96" s="45">
        <f t="shared" si="23"/>
        <v>0</v>
      </c>
      <c r="AU96" s="127"/>
      <c r="AV96" s="137">
        <v>0</v>
      </c>
      <c r="AW96" s="137"/>
      <c r="AX96" s="137">
        <v>0</v>
      </c>
      <c r="AY96" s="137"/>
      <c r="AZ96" s="137">
        <f t="shared" si="24"/>
        <v>0</v>
      </c>
      <c r="BA96" s="124"/>
      <c r="BB96" s="121" t="s">
        <v>117</v>
      </c>
      <c r="BD96" s="126" t="s">
        <v>43</v>
      </c>
      <c r="BE96" s="137"/>
      <c r="BF96" s="53">
        <v>0</v>
      </c>
      <c r="BG96" s="53"/>
      <c r="BH96" s="53">
        <v>0</v>
      </c>
      <c r="BI96" s="53"/>
      <c r="BJ96" s="53">
        <v>0</v>
      </c>
      <c r="BK96" s="53"/>
      <c r="BL96" s="53">
        <v>0</v>
      </c>
      <c r="BM96" s="137"/>
      <c r="BN96" s="137">
        <f t="shared" si="19"/>
        <v>0</v>
      </c>
      <c r="BO96" s="139"/>
      <c r="BS96" s="140"/>
      <c r="BT96" s="140"/>
      <c r="BU96" s="141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</row>
    <row r="97" spans="1:95" s="126" customFormat="1" ht="12.75" hidden="1" customHeight="1">
      <c r="A97" s="126" t="s">
        <v>118</v>
      </c>
      <c r="B97" s="124"/>
      <c r="C97" s="126" t="s">
        <v>13</v>
      </c>
      <c r="D97" s="121"/>
      <c r="E97" s="53">
        <f t="shared" si="20"/>
        <v>0</v>
      </c>
      <c r="F97" s="53"/>
      <c r="G97" s="53">
        <v>0</v>
      </c>
      <c r="H97" s="53"/>
      <c r="I97" s="53">
        <v>0</v>
      </c>
      <c r="J97" s="53"/>
      <c r="K97" s="53">
        <f t="shared" si="21"/>
        <v>0</v>
      </c>
      <c r="L97" s="53"/>
      <c r="M97" s="53">
        <v>0</v>
      </c>
      <c r="N97" s="53"/>
      <c r="O97" s="53">
        <v>0</v>
      </c>
      <c r="P97" s="53"/>
      <c r="Q97" s="53">
        <v>0</v>
      </c>
      <c r="R97" s="53"/>
      <c r="S97" s="53">
        <v>0</v>
      </c>
      <c r="T97" s="53"/>
      <c r="U97" s="53">
        <v>0</v>
      </c>
      <c r="V97" s="53"/>
      <c r="W97" s="137">
        <f t="shared" si="17"/>
        <v>0</v>
      </c>
      <c r="X97" s="124"/>
      <c r="Y97" s="124"/>
      <c r="Z97" s="126" t="s">
        <v>118</v>
      </c>
      <c r="AA97" s="137"/>
      <c r="AB97" s="126" t="s">
        <v>13</v>
      </c>
      <c r="AC97" s="124"/>
      <c r="AD97" s="53">
        <v>0</v>
      </c>
      <c r="AE97" s="53"/>
      <c r="AF97" s="53">
        <v>0</v>
      </c>
      <c r="AG97" s="53"/>
      <c r="AH97" s="53">
        <v>0</v>
      </c>
      <c r="AI97" s="53"/>
      <c r="AJ97" s="45">
        <f t="shared" si="22"/>
        <v>0</v>
      </c>
      <c r="AK97" s="45"/>
      <c r="AL97" s="53">
        <v>0</v>
      </c>
      <c r="AM97" s="45"/>
      <c r="AN97" s="53">
        <v>0</v>
      </c>
      <c r="AO97" s="53"/>
      <c r="AP97" s="53">
        <v>0</v>
      </c>
      <c r="AQ97" s="53"/>
      <c r="AR97" s="53">
        <v>0</v>
      </c>
      <c r="AS97" s="53"/>
      <c r="AT97" s="45">
        <f t="shared" si="23"/>
        <v>0</v>
      </c>
      <c r="AU97" s="127"/>
      <c r="AV97" s="137">
        <v>0</v>
      </c>
      <c r="AW97" s="137"/>
      <c r="AX97" s="137">
        <v>0</v>
      </c>
      <c r="AY97" s="137"/>
      <c r="AZ97" s="137">
        <f t="shared" si="24"/>
        <v>0</v>
      </c>
      <c r="BA97" s="124"/>
      <c r="BB97" s="126" t="s">
        <v>118</v>
      </c>
      <c r="BD97" s="126" t="s">
        <v>13</v>
      </c>
      <c r="BE97" s="137"/>
      <c r="BF97" s="53">
        <v>0</v>
      </c>
      <c r="BG97" s="53"/>
      <c r="BH97" s="53">
        <v>0</v>
      </c>
      <c r="BI97" s="53"/>
      <c r="BJ97" s="53">
        <v>0</v>
      </c>
      <c r="BK97" s="53"/>
      <c r="BL97" s="53">
        <v>0</v>
      </c>
      <c r="BM97" s="137"/>
      <c r="BN97" s="137">
        <f t="shared" si="19"/>
        <v>0</v>
      </c>
      <c r="BO97" s="139"/>
      <c r="BS97" s="140"/>
      <c r="BT97" s="140"/>
      <c r="BU97" s="141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</row>
    <row r="98" spans="1:95" s="35" customFormat="1" ht="12.75" customHeight="1">
      <c r="A98" s="35" t="s">
        <v>120</v>
      </c>
      <c r="B98" s="51"/>
      <c r="C98" s="35" t="s">
        <v>121</v>
      </c>
      <c r="D98" s="44"/>
      <c r="E98" s="53">
        <f t="shared" si="20"/>
        <v>2678992</v>
      </c>
      <c r="F98" s="53"/>
      <c r="G98" s="53">
        <v>7737288</v>
      </c>
      <c r="H98" s="53"/>
      <c r="I98" s="53">
        <v>10416280</v>
      </c>
      <c r="J98" s="53"/>
      <c r="K98" s="53">
        <f t="shared" si="21"/>
        <v>104753</v>
      </c>
      <c r="L98" s="53"/>
      <c r="M98" s="53">
        <v>48866</v>
      </c>
      <c r="N98" s="53"/>
      <c r="O98" s="53">
        <v>153619</v>
      </c>
      <c r="P98" s="53"/>
      <c r="Q98" s="53">
        <v>7737288</v>
      </c>
      <c r="R98" s="53"/>
      <c r="S98" s="53">
        <v>0</v>
      </c>
      <c r="T98" s="53"/>
      <c r="U98" s="53">
        <v>2525373</v>
      </c>
      <c r="V98" s="53"/>
      <c r="W98" s="53">
        <f t="shared" ref="W98:W161" si="25">SUM(Q98:U98)</f>
        <v>10262661</v>
      </c>
      <c r="X98" s="51"/>
      <c r="Y98" s="51"/>
      <c r="Z98" s="35" t="s">
        <v>120</v>
      </c>
      <c r="AA98" s="53"/>
      <c r="AB98" s="35" t="s">
        <v>121</v>
      </c>
      <c r="AC98" s="51"/>
      <c r="AD98" s="53">
        <v>1651917</v>
      </c>
      <c r="AE98" s="53"/>
      <c r="AF98" s="53">
        <f>1596344-452839</f>
        <v>1143505</v>
      </c>
      <c r="AG98" s="53"/>
      <c r="AH98" s="53">
        <v>452839</v>
      </c>
      <c r="AI98" s="53"/>
      <c r="AJ98" s="45">
        <f t="shared" si="22"/>
        <v>55573</v>
      </c>
      <c r="AK98" s="45"/>
      <c r="AL98" s="53">
        <v>-55347</v>
      </c>
      <c r="AM98" s="45"/>
      <c r="AN98" s="53">
        <v>0</v>
      </c>
      <c r="AO98" s="53"/>
      <c r="AP98" s="53">
        <v>0</v>
      </c>
      <c r="AQ98" s="53"/>
      <c r="AR98" s="53">
        <v>0</v>
      </c>
      <c r="AS98" s="53"/>
      <c r="AT98" s="45">
        <f t="shared" si="23"/>
        <v>226</v>
      </c>
      <c r="AU98" s="45"/>
      <c r="AV98" s="53">
        <v>0</v>
      </c>
      <c r="AW98" s="53"/>
      <c r="AX98" s="53">
        <v>0</v>
      </c>
      <c r="AY98" s="53"/>
      <c r="AZ98" s="53">
        <f t="shared" si="24"/>
        <v>2574239</v>
      </c>
      <c r="BA98" s="51"/>
      <c r="BB98" s="35" t="s">
        <v>120</v>
      </c>
      <c r="BD98" s="35" t="s">
        <v>121</v>
      </c>
      <c r="BE98" s="53"/>
      <c r="BF98" s="53">
        <v>0</v>
      </c>
      <c r="BG98" s="53"/>
      <c r="BH98" s="53">
        <v>0</v>
      </c>
      <c r="BI98" s="53"/>
      <c r="BJ98" s="53">
        <v>0</v>
      </c>
      <c r="BK98" s="53"/>
      <c r="BL98" s="53">
        <f>48866+5465</f>
        <v>54331</v>
      </c>
      <c r="BM98" s="53"/>
      <c r="BN98" s="53">
        <f t="shared" si="19"/>
        <v>54331</v>
      </c>
      <c r="BO98" s="54"/>
      <c r="BS98" s="55"/>
      <c r="BT98" s="55"/>
      <c r="BU98" s="84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</row>
    <row r="99" spans="1:95" s="35" customFormat="1" ht="12.75" customHeight="1">
      <c r="A99" s="35" t="s">
        <v>122</v>
      </c>
      <c r="B99" s="51"/>
      <c r="C99" s="35" t="s">
        <v>43</v>
      </c>
      <c r="D99" s="44"/>
      <c r="E99" s="53">
        <f t="shared" si="20"/>
        <v>2960848</v>
      </c>
      <c r="F99" s="53"/>
      <c r="G99" s="53">
        <v>22105694</v>
      </c>
      <c r="H99" s="53"/>
      <c r="I99" s="53">
        <v>25066542</v>
      </c>
      <c r="J99" s="53"/>
      <c r="K99" s="53">
        <f t="shared" si="21"/>
        <v>132693</v>
      </c>
      <c r="L99" s="53"/>
      <c r="M99" s="53">
        <v>242755</v>
      </c>
      <c r="N99" s="53"/>
      <c r="O99" s="53">
        <v>375448</v>
      </c>
      <c r="P99" s="53"/>
      <c r="Q99" s="53">
        <v>21842756</v>
      </c>
      <c r="R99" s="53"/>
      <c r="S99" s="53">
        <v>0</v>
      </c>
      <c r="T99" s="53"/>
      <c r="U99" s="53">
        <v>2848338</v>
      </c>
      <c r="V99" s="53"/>
      <c r="W99" s="53">
        <f t="shared" si="25"/>
        <v>24691094</v>
      </c>
      <c r="X99" s="51"/>
      <c r="Y99" s="51"/>
      <c r="Z99" s="35" t="s">
        <v>122</v>
      </c>
      <c r="AA99" s="53"/>
      <c r="AB99" s="35" t="s">
        <v>43</v>
      </c>
      <c r="AC99" s="51"/>
      <c r="AD99" s="53">
        <v>568152</v>
      </c>
      <c r="AE99" s="53"/>
      <c r="AF99" s="53">
        <v>85054</v>
      </c>
      <c r="AG99" s="53"/>
      <c r="AH99" s="53">
        <v>597022</v>
      </c>
      <c r="AI99" s="53"/>
      <c r="AJ99" s="45">
        <f t="shared" si="22"/>
        <v>-113924</v>
      </c>
      <c r="AK99" s="45"/>
      <c r="AL99" s="53">
        <v>-3790</v>
      </c>
      <c r="AM99" s="45"/>
      <c r="AN99" s="53">
        <v>0</v>
      </c>
      <c r="AO99" s="53"/>
      <c r="AP99" s="53">
        <v>0</v>
      </c>
      <c r="AQ99" s="53"/>
      <c r="AR99" s="53">
        <v>108781</v>
      </c>
      <c r="AS99" s="53"/>
      <c r="AT99" s="45">
        <f t="shared" si="23"/>
        <v>-8933</v>
      </c>
      <c r="AU99" s="45"/>
      <c r="AV99" s="53">
        <v>0</v>
      </c>
      <c r="AW99" s="53"/>
      <c r="AX99" s="53">
        <v>0</v>
      </c>
      <c r="AY99" s="53"/>
      <c r="AZ99" s="53">
        <f t="shared" si="24"/>
        <v>2828155</v>
      </c>
      <c r="BA99" s="51"/>
      <c r="BB99" s="35" t="s">
        <v>122</v>
      </c>
      <c r="BD99" s="35" t="s">
        <v>43</v>
      </c>
      <c r="BE99" s="53"/>
      <c r="BF99" s="53">
        <v>0</v>
      </c>
      <c r="BG99" s="53"/>
      <c r="BH99" s="53">
        <v>0</v>
      </c>
      <c r="BI99" s="53"/>
      <c r="BJ99" s="53">
        <f>242755+20183</f>
        <v>262938</v>
      </c>
      <c r="BK99" s="53"/>
      <c r="BL99" s="53">
        <v>0</v>
      </c>
      <c r="BM99" s="53"/>
      <c r="BN99" s="53">
        <f t="shared" si="19"/>
        <v>262938</v>
      </c>
      <c r="BO99" s="54"/>
      <c r="BS99" s="55"/>
      <c r="BT99" s="55"/>
      <c r="BU99" s="84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</row>
    <row r="100" spans="1:95" s="35" customFormat="1" ht="12.75" customHeight="1">
      <c r="A100" s="44" t="s">
        <v>45</v>
      </c>
      <c r="B100" s="51"/>
      <c r="C100" s="35" t="s">
        <v>103</v>
      </c>
      <c r="D100" s="44"/>
      <c r="E100" s="53">
        <f t="shared" si="20"/>
        <v>14480669</v>
      </c>
      <c r="F100" s="53"/>
      <c r="G100" s="53">
        <v>96379592</v>
      </c>
      <c r="H100" s="53"/>
      <c r="I100" s="53">
        <v>110860261</v>
      </c>
      <c r="J100" s="53"/>
      <c r="K100" s="53">
        <f t="shared" si="21"/>
        <v>12988838</v>
      </c>
      <c r="L100" s="53"/>
      <c r="M100" s="53">
        <v>25095500</v>
      </c>
      <c r="N100" s="53"/>
      <c r="O100" s="53">
        <v>38084338</v>
      </c>
      <c r="P100" s="53"/>
      <c r="Q100" s="53">
        <v>78860855</v>
      </c>
      <c r="R100" s="53"/>
      <c r="S100" s="53">
        <f>657789+1000000</f>
        <v>1657789</v>
      </c>
      <c r="T100" s="53"/>
      <c r="U100" s="53">
        <v>2257279</v>
      </c>
      <c r="V100" s="53"/>
      <c r="W100" s="53">
        <f t="shared" si="25"/>
        <v>82775923</v>
      </c>
      <c r="X100" s="51"/>
      <c r="Y100" s="51"/>
      <c r="Z100" s="44" t="s">
        <v>45</v>
      </c>
      <c r="AA100" s="53"/>
      <c r="AB100" s="35" t="s">
        <v>103</v>
      </c>
      <c r="AC100" s="51"/>
      <c r="AD100" s="53">
        <v>14815360</v>
      </c>
      <c r="AE100" s="53"/>
      <c r="AF100" s="53">
        <f>14220700-2622445</f>
        <v>11598255</v>
      </c>
      <c r="AG100" s="53"/>
      <c r="AH100" s="53">
        <v>2622445</v>
      </c>
      <c r="AI100" s="53"/>
      <c r="AJ100" s="45">
        <f t="shared" si="22"/>
        <v>594660</v>
      </c>
      <c r="AK100" s="45"/>
      <c r="AL100" s="53">
        <v>-1339856</v>
      </c>
      <c r="AM100" s="45"/>
      <c r="AN100" s="53">
        <v>0</v>
      </c>
      <c r="AO100" s="53"/>
      <c r="AP100" s="53">
        <v>0</v>
      </c>
      <c r="AQ100" s="53"/>
      <c r="AR100" s="53">
        <v>0</v>
      </c>
      <c r="AS100" s="53"/>
      <c r="AT100" s="45">
        <f t="shared" si="23"/>
        <v>-745196</v>
      </c>
      <c r="AU100" s="45"/>
      <c r="AV100" s="53">
        <v>0</v>
      </c>
      <c r="AW100" s="53"/>
      <c r="AX100" s="53">
        <v>0</v>
      </c>
      <c r="AY100" s="53"/>
      <c r="AZ100" s="53">
        <f t="shared" si="24"/>
        <v>1491831</v>
      </c>
      <c r="BA100" s="51"/>
      <c r="BB100" s="44" t="s">
        <v>45</v>
      </c>
      <c r="BD100" s="35" t="s">
        <v>103</v>
      </c>
      <c r="BE100" s="53"/>
      <c r="BF100" s="53">
        <v>0</v>
      </c>
      <c r="BG100" s="53"/>
      <c r="BH100" s="53">
        <f>24628614+995000</f>
        <v>25623614</v>
      </c>
      <c r="BI100" s="53"/>
      <c r="BJ100" s="53">
        <v>0</v>
      </c>
      <c r="BK100" s="53"/>
      <c r="BL100" s="53">
        <f>466866+135419</f>
        <v>602285</v>
      </c>
      <c r="BM100" s="53"/>
      <c r="BN100" s="53">
        <f t="shared" si="19"/>
        <v>26225899</v>
      </c>
      <c r="BO100" s="54"/>
      <c r="BS100" s="55"/>
      <c r="BT100" s="55"/>
      <c r="BU100" s="84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</row>
    <row r="101" spans="1:95" s="35" customFormat="1" ht="12.75" customHeight="1">
      <c r="A101" s="44" t="s">
        <v>123</v>
      </c>
      <c r="B101" s="51"/>
      <c r="C101" s="35" t="s">
        <v>45</v>
      </c>
      <c r="D101" s="44"/>
      <c r="E101" s="53">
        <f t="shared" si="20"/>
        <v>2000928</v>
      </c>
      <c r="F101" s="53"/>
      <c r="G101" s="53">
        <v>14936334</v>
      </c>
      <c r="H101" s="53"/>
      <c r="I101" s="53">
        <v>16937262</v>
      </c>
      <c r="J101" s="53"/>
      <c r="K101" s="53">
        <f t="shared" si="21"/>
        <v>510390</v>
      </c>
      <c r="L101" s="53"/>
      <c r="M101" s="53">
        <v>5658279</v>
      </c>
      <c r="N101" s="53"/>
      <c r="O101" s="53">
        <v>6168669</v>
      </c>
      <c r="P101" s="53"/>
      <c r="Q101" s="53">
        <v>8971838</v>
      </c>
      <c r="R101" s="53"/>
      <c r="S101" s="53">
        <v>0</v>
      </c>
      <c r="T101" s="53"/>
      <c r="U101" s="53">
        <v>1796755</v>
      </c>
      <c r="V101" s="53"/>
      <c r="W101" s="53">
        <f t="shared" si="25"/>
        <v>10768593</v>
      </c>
      <c r="X101" s="51"/>
      <c r="Y101" s="51"/>
      <c r="Z101" s="44" t="s">
        <v>123</v>
      </c>
      <c r="AA101" s="53"/>
      <c r="AB101" s="35" t="s">
        <v>45</v>
      </c>
      <c r="AC101" s="51"/>
      <c r="AD101" s="53">
        <v>136940</v>
      </c>
      <c r="AE101" s="53"/>
      <c r="AF101" s="53">
        <f>1159129-390532</f>
        <v>768597</v>
      </c>
      <c r="AG101" s="53"/>
      <c r="AH101" s="53">
        <v>390532</v>
      </c>
      <c r="AI101" s="53"/>
      <c r="AJ101" s="45">
        <f t="shared" si="22"/>
        <v>-1022189</v>
      </c>
      <c r="AK101" s="45"/>
      <c r="AL101" s="53">
        <v>-227845</v>
      </c>
      <c r="AM101" s="45"/>
      <c r="AN101" s="53">
        <v>0</v>
      </c>
      <c r="AO101" s="53"/>
      <c r="AP101" s="53">
        <v>0</v>
      </c>
      <c r="AQ101" s="53"/>
      <c r="AR101" s="53">
        <v>0</v>
      </c>
      <c r="AS101" s="53"/>
      <c r="AT101" s="45">
        <f t="shared" si="23"/>
        <v>-1250034</v>
      </c>
      <c r="AU101" s="45"/>
      <c r="AV101" s="53">
        <v>0</v>
      </c>
      <c r="AW101" s="53"/>
      <c r="AX101" s="53">
        <v>0</v>
      </c>
      <c r="AY101" s="53"/>
      <c r="AZ101" s="53">
        <f t="shared" si="24"/>
        <v>1490538</v>
      </c>
      <c r="BA101" s="51"/>
      <c r="BB101" s="44" t="s">
        <v>123</v>
      </c>
      <c r="BD101" s="35" t="s">
        <v>45</v>
      </c>
      <c r="BE101" s="53"/>
      <c r="BF101" s="53">
        <v>0</v>
      </c>
      <c r="BG101" s="53"/>
      <c r="BH101" s="53">
        <v>0</v>
      </c>
      <c r="BI101" s="53"/>
      <c r="BJ101" s="53">
        <f>5613284+343621</f>
        <v>5956905</v>
      </c>
      <c r="BK101" s="53"/>
      <c r="BL101" s="53">
        <f>44995+13008</f>
        <v>58003</v>
      </c>
      <c r="BM101" s="53"/>
      <c r="BN101" s="53">
        <f t="shared" si="19"/>
        <v>6014908</v>
      </c>
      <c r="BO101" s="54"/>
      <c r="BS101" s="55"/>
      <c r="BT101" s="55"/>
      <c r="BU101" s="84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</row>
    <row r="102" spans="1:95" s="35" customFormat="1" ht="12.75" customHeight="1">
      <c r="A102" s="35" t="s">
        <v>124</v>
      </c>
      <c r="B102" s="51"/>
      <c r="C102" s="35" t="s">
        <v>125</v>
      </c>
      <c r="D102" s="44"/>
      <c r="E102" s="53">
        <f t="shared" si="20"/>
        <v>1599360</v>
      </c>
      <c r="F102" s="53"/>
      <c r="G102" s="53">
        <v>9895172</v>
      </c>
      <c r="H102" s="53"/>
      <c r="I102" s="53">
        <v>11494532</v>
      </c>
      <c r="J102" s="53"/>
      <c r="K102" s="53">
        <f t="shared" si="21"/>
        <v>1380015</v>
      </c>
      <c r="L102" s="53"/>
      <c r="M102" s="53">
        <v>1542342</v>
      </c>
      <c r="N102" s="53"/>
      <c r="O102" s="53">
        <v>2922357</v>
      </c>
      <c r="P102" s="53"/>
      <c r="Q102" s="53">
        <v>7075172</v>
      </c>
      <c r="R102" s="53"/>
      <c r="S102" s="53">
        <v>0</v>
      </c>
      <c r="T102" s="53"/>
      <c r="U102" s="53">
        <v>1497003</v>
      </c>
      <c r="V102" s="53"/>
      <c r="W102" s="53">
        <f t="shared" si="25"/>
        <v>8572175</v>
      </c>
      <c r="X102" s="51"/>
      <c r="Y102" s="51"/>
      <c r="Z102" s="35" t="s">
        <v>124</v>
      </c>
      <c r="AA102" s="53"/>
      <c r="AB102" s="35" t="s">
        <v>125</v>
      </c>
      <c r="AC102" s="51"/>
      <c r="AD102" s="53">
        <v>1619913</v>
      </c>
      <c r="AE102" s="53"/>
      <c r="AF102" s="53">
        <f>1477278-355330</f>
        <v>1121948</v>
      </c>
      <c r="AG102" s="53"/>
      <c r="AH102" s="53">
        <v>355330</v>
      </c>
      <c r="AI102" s="53"/>
      <c r="AJ102" s="45">
        <f t="shared" si="22"/>
        <v>142635</v>
      </c>
      <c r="AK102" s="45"/>
      <c r="AL102" s="53">
        <v>-60492</v>
      </c>
      <c r="AM102" s="45"/>
      <c r="AN102" s="53">
        <v>0</v>
      </c>
      <c r="AO102" s="53"/>
      <c r="AP102" s="53">
        <v>0</v>
      </c>
      <c r="AQ102" s="53"/>
      <c r="AR102" s="53">
        <v>563705</v>
      </c>
      <c r="AS102" s="53"/>
      <c r="AT102" s="45">
        <f t="shared" si="23"/>
        <v>645848</v>
      </c>
      <c r="AU102" s="45"/>
      <c r="AV102" s="53">
        <v>0</v>
      </c>
      <c r="AW102" s="53"/>
      <c r="AX102" s="53">
        <v>0</v>
      </c>
      <c r="AY102" s="53"/>
      <c r="AZ102" s="53">
        <f t="shared" si="24"/>
        <v>219345</v>
      </c>
      <c r="BA102" s="51"/>
      <c r="BB102" s="35" t="s">
        <v>124</v>
      </c>
      <c r="BD102" s="35" t="s">
        <v>125</v>
      </c>
      <c r="BE102" s="53"/>
      <c r="BF102" s="53">
        <f>1520000+200000</f>
        <v>1720000</v>
      </c>
      <c r="BG102" s="53"/>
      <c r="BH102" s="53">
        <v>0</v>
      </c>
      <c r="BI102" s="53"/>
      <c r="BJ102" s="53">
        <v>0</v>
      </c>
      <c r="BK102" s="53"/>
      <c r="BL102" s="53">
        <f>23342+16748</f>
        <v>40090</v>
      </c>
      <c r="BM102" s="53"/>
      <c r="BN102" s="53">
        <f t="shared" si="19"/>
        <v>1760090</v>
      </c>
      <c r="BO102" s="54"/>
      <c r="BS102" s="55"/>
      <c r="BT102" s="55"/>
      <c r="BU102" s="84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</row>
    <row r="103" spans="1:95" s="126" customFormat="1" ht="12.75" hidden="1" customHeight="1">
      <c r="A103" s="126" t="s">
        <v>126</v>
      </c>
      <c r="B103" s="124"/>
      <c r="C103" s="126" t="s">
        <v>27</v>
      </c>
      <c r="D103" s="121"/>
      <c r="E103" s="53">
        <f t="shared" si="20"/>
        <v>0</v>
      </c>
      <c r="F103" s="53"/>
      <c r="G103" s="53">
        <v>0</v>
      </c>
      <c r="H103" s="53"/>
      <c r="I103" s="53">
        <v>0</v>
      </c>
      <c r="J103" s="53"/>
      <c r="K103" s="53">
        <f t="shared" si="21"/>
        <v>0</v>
      </c>
      <c r="L103" s="53"/>
      <c r="M103" s="53">
        <v>0</v>
      </c>
      <c r="N103" s="53"/>
      <c r="O103" s="53">
        <v>0</v>
      </c>
      <c r="P103" s="53"/>
      <c r="Q103" s="53">
        <v>0</v>
      </c>
      <c r="R103" s="53"/>
      <c r="S103" s="53">
        <v>0</v>
      </c>
      <c r="T103" s="53"/>
      <c r="U103" s="53">
        <v>0</v>
      </c>
      <c r="V103" s="53"/>
      <c r="W103" s="53">
        <f t="shared" si="25"/>
        <v>0</v>
      </c>
      <c r="X103" s="124"/>
      <c r="Y103" s="124"/>
      <c r="Z103" s="126" t="s">
        <v>126</v>
      </c>
      <c r="AA103" s="137"/>
      <c r="AB103" s="126" t="s">
        <v>27</v>
      </c>
      <c r="AC103" s="124"/>
      <c r="AD103" s="53">
        <v>0</v>
      </c>
      <c r="AE103" s="53"/>
      <c r="AF103" s="53">
        <v>0</v>
      </c>
      <c r="AG103" s="53"/>
      <c r="AH103" s="53">
        <v>0</v>
      </c>
      <c r="AI103" s="53"/>
      <c r="AJ103" s="45">
        <f t="shared" si="22"/>
        <v>0</v>
      </c>
      <c r="AK103" s="45"/>
      <c r="AL103" s="53">
        <v>0</v>
      </c>
      <c r="AM103" s="45"/>
      <c r="AN103" s="53">
        <v>0</v>
      </c>
      <c r="AO103" s="53"/>
      <c r="AP103" s="53">
        <v>0</v>
      </c>
      <c r="AQ103" s="53"/>
      <c r="AR103" s="53">
        <v>0</v>
      </c>
      <c r="AS103" s="53"/>
      <c r="AT103" s="45">
        <f t="shared" si="23"/>
        <v>0</v>
      </c>
      <c r="AU103" s="45"/>
      <c r="AV103" s="53">
        <v>0</v>
      </c>
      <c r="AW103" s="53"/>
      <c r="AX103" s="53">
        <v>0</v>
      </c>
      <c r="AY103" s="53"/>
      <c r="AZ103" s="53">
        <f t="shared" si="24"/>
        <v>0</v>
      </c>
      <c r="BA103" s="124"/>
      <c r="BB103" s="126" t="s">
        <v>126</v>
      </c>
      <c r="BD103" s="126" t="s">
        <v>27</v>
      </c>
      <c r="BE103" s="137"/>
      <c r="BF103" s="53">
        <v>0</v>
      </c>
      <c r="BG103" s="53"/>
      <c r="BH103" s="53">
        <v>0</v>
      </c>
      <c r="BI103" s="53"/>
      <c r="BJ103" s="53">
        <v>0</v>
      </c>
      <c r="BK103" s="53"/>
      <c r="BL103" s="53">
        <v>0</v>
      </c>
      <c r="BM103" s="137"/>
      <c r="BN103" s="137">
        <f t="shared" si="19"/>
        <v>0</v>
      </c>
      <c r="BO103" s="139"/>
      <c r="BS103" s="140"/>
      <c r="BT103" s="140"/>
      <c r="BU103" s="141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</row>
    <row r="104" spans="1:95" s="126" customFormat="1" ht="12.75" hidden="1" customHeight="1">
      <c r="A104" s="126" t="s">
        <v>127</v>
      </c>
      <c r="B104" s="124"/>
      <c r="C104" s="126" t="s">
        <v>43</v>
      </c>
      <c r="D104" s="121"/>
      <c r="E104" s="53">
        <f t="shared" si="20"/>
        <v>0</v>
      </c>
      <c r="F104" s="53"/>
      <c r="G104" s="53">
        <v>0</v>
      </c>
      <c r="H104" s="53"/>
      <c r="I104" s="53">
        <v>0</v>
      </c>
      <c r="J104" s="53"/>
      <c r="K104" s="53">
        <f t="shared" si="21"/>
        <v>0</v>
      </c>
      <c r="L104" s="53"/>
      <c r="M104" s="53">
        <v>0</v>
      </c>
      <c r="N104" s="53"/>
      <c r="O104" s="53">
        <v>0</v>
      </c>
      <c r="P104" s="53"/>
      <c r="Q104" s="53">
        <v>0</v>
      </c>
      <c r="R104" s="53"/>
      <c r="S104" s="53">
        <v>0</v>
      </c>
      <c r="T104" s="53"/>
      <c r="U104" s="53">
        <v>0</v>
      </c>
      <c r="V104" s="53"/>
      <c r="W104" s="53">
        <f t="shared" si="25"/>
        <v>0</v>
      </c>
      <c r="X104" s="124"/>
      <c r="Y104" s="124"/>
      <c r="Z104" s="126" t="s">
        <v>127</v>
      </c>
      <c r="AA104" s="137"/>
      <c r="AB104" s="126" t="s">
        <v>43</v>
      </c>
      <c r="AC104" s="124"/>
      <c r="AD104" s="53">
        <v>0</v>
      </c>
      <c r="AE104" s="53"/>
      <c r="AF104" s="53">
        <v>0</v>
      </c>
      <c r="AG104" s="53"/>
      <c r="AH104" s="53">
        <v>0</v>
      </c>
      <c r="AI104" s="53"/>
      <c r="AJ104" s="45">
        <f t="shared" si="22"/>
        <v>0</v>
      </c>
      <c r="AK104" s="45"/>
      <c r="AL104" s="53">
        <v>0</v>
      </c>
      <c r="AM104" s="45"/>
      <c r="AN104" s="53">
        <v>0</v>
      </c>
      <c r="AO104" s="53"/>
      <c r="AP104" s="53">
        <v>0</v>
      </c>
      <c r="AQ104" s="53"/>
      <c r="AR104" s="53">
        <v>0</v>
      </c>
      <c r="AS104" s="53"/>
      <c r="AT104" s="45">
        <f t="shared" si="23"/>
        <v>0</v>
      </c>
      <c r="AU104" s="45"/>
      <c r="AV104" s="53">
        <v>0</v>
      </c>
      <c r="AW104" s="53"/>
      <c r="AX104" s="53">
        <v>0</v>
      </c>
      <c r="AY104" s="53"/>
      <c r="AZ104" s="53">
        <f t="shared" si="24"/>
        <v>0</v>
      </c>
      <c r="BA104" s="124"/>
      <c r="BB104" s="126" t="s">
        <v>127</v>
      </c>
      <c r="BD104" s="126" t="s">
        <v>43</v>
      </c>
      <c r="BE104" s="137"/>
      <c r="BF104" s="53">
        <v>0</v>
      </c>
      <c r="BG104" s="53"/>
      <c r="BH104" s="53">
        <v>0</v>
      </c>
      <c r="BI104" s="53"/>
      <c r="BJ104" s="53">
        <v>0</v>
      </c>
      <c r="BK104" s="53"/>
      <c r="BL104" s="53">
        <v>0</v>
      </c>
      <c r="BM104" s="137"/>
      <c r="BN104" s="137">
        <f t="shared" si="19"/>
        <v>0</v>
      </c>
      <c r="BO104" s="139"/>
      <c r="BS104" s="140"/>
      <c r="BT104" s="140"/>
      <c r="BU104" s="141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</row>
    <row r="105" spans="1:95" s="35" customFormat="1" ht="12.75" customHeight="1">
      <c r="A105" s="35" t="s">
        <v>128</v>
      </c>
      <c r="B105" s="51"/>
      <c r="C105" s="35" t="s">
        <v>119</v>
      </c>
      <c r="D105" s="44"/>
      <c r="E105" s="53">
        <f t="shared" si="20"/>
        <v>892116</v>
      </c>
      <c r="F105" s="53"/>
      <c r="G105" s="53">
        <v>7309437</v>
      </c>
      <c r="H105" s="53"/>
      <c r="I105" s="53">
        <v>8201553</v>
      </c>
      <c r="J105" s="53"/>
      <c r="K105" s="53">
        <f t="shared" si="21"/>
        <v>233708</v>
      </c>
      <c r="L105" s="53"/>
      <c r="M105" s="53">
        <v>5611945</v>
      </c>
      <c r="N105" s="53"/>
      <c r="O105" s="53">
        <v>5845653</v>
      </c>
      <c r="P105" s="53"/>
      <c r="Q105" s="53">
        <v>1651237</v>
      </c>
      <c r="R105" s="53"/>
      <c r="S105" s="53">
        <v>0</v>
      </c>
      <c r="T105" s="53"/>
      <c r="U105" s="53">
        <v>704663</v>
      </c>
      <c r="V105" s="53"/>
      <c r="W105" s="53">
        <f t="shared" si="25"/>
        <v>2355900</v>
      </c>
      <c r="Z105" s="35" t="s">
        <v>128</v>
      </c>
      <c r="AA105" s="53"/>
      <c r="AB105" s="35" t="s">
        <v>119</v>
      </c>
      <c r="AC105" s="51"/>
      <c r="AD105" s="53">
        <v>1542428</v>
      </c>
      <c r="AE105" s="53"/>
      <c r="AF105" s="53">
        <f>1283134-191495</f>
        <v>1091639</v>
      </c>
      <c r="AG105" s="53"/>
      <c r="AH105" s="53">
        <v>191495</v>
      </c>
      <c r="AI105" s="53"/>
      <c r="AJ105" s="45">
        <f t="shared" si="22"/>
        <v>259294</v>
      </c>
      <c r="AK105" s="45"/>
      <c r="AL105" s="53">
        <v>-217146</v>
      </c>
      <c r="AM105" s="45"/>
      <c r="AN105" s="53">
        <v>0</v>
      </c>
      <c r="AO105" s="53"/>
      <c r="AP105" s="53">
        <v>0</v>
      </c>
      <c r="AQ105" s="53"/>
      <c r="AR105" s="53">
        <v>3212</v>
      </c>
      <c r="AS105" s="53"/>
      <c r="AT105" s="45">
        <f t="shared" si="23"/>
        <v>45360</v>
      </c>
      <c r="AU105" s="45"/>
      <c r="AV105" s="53">
        <v>0</v>
      </c>
      <c r="AW105" s="53"/>
      <c r="AX105" s="53">
        <v>0</v>
      </c>
      <c r="AY105" s="53"/>
      <c r="AZ105" s="53">
        <f t="shared" si="24"/>
        <v>658408</v>
      </c>
      <c r="BA105" s="51"/>
      <c r="BB105" s="35" t="s">
        <v>128</v>
      </c>
      <c r="BD105" s="35" t="s">
        <v>119</v>
      </c>
      <c r="BE105" s="53"/>
      <c r="BF105" s="53">
        <v>0</v>
      </c>
      <c r="BG105" s="53"/>
      <c r="BH105" s="53">
        <f>5482331+121000</f>
        <v>5603331</v>
      </c>
      <c r="BI105" s="53"/>
      <c r="BJ105" s="53">
        <v>0</v>
      </c>
      <c r="BK105" s="53"/>
      <c r="BL105" s="53">
        <f>16688+40090+14779</f>
        <v>71557</v>
      </c>
      <c r="BM105" s="53"/>
      <c r="BN105" s="53">
        <f t="shared" si="19"/>
        <v>5674888</v>
      </c>
      <c r="BO105" s="54"/>
      <c r="BS105" s="55"/>
      <c r="BT105" s="55"/>
      <c r="BU105" s="84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</row>
    <row r="106" spans="1:95" s="35" customFormat="1" ht="12.75" customHeight="1">
      <c r="A106" s="35" t="s">
        <v>129</v>
      </c>
      <c r="B106" s="51"/>
      <c r="C106" s="35" t="s">
        <v>80</v>
      </c>
      <c r="D106" s="44"/>
      <c r="E106" s="53">
        <f t="shared" si="20"/>
        <v>1286674</v>
      </c>
      <c r="F106" s="53"/>
      <c r="G106" s="53">
        <v>4691171</v>
      </c>
      <c r="H106" s="53"/>
      <c r="I106" s="53">
        <v>5977845</v>
      </c>
      <c r="J106" s="53"/>
      <c r="K106" s="53">
        <f t="shared" si="21"/>
        <v>220412</v>
      </c>
      <c r="L106" s="53"/>
      <c r="M106" s="53">
        <v>1901106</v>
      </c>
      <c r="N106" s="53"/>
      <c r="O106" s="53">
        <v>2121518</v>
      </c>
      <c r="P106" s="53"/>
      <c r="Q106" s="53">
        <v>2670354</v>
      </c>
      <c r="R106" s="53"/>
      <c r="S106" s="53">
        <v>0</v>
      </c>
      <c r="T106" s="53"/>
      <c r="U106" s="53">
        <v>1185973</v>
      </c>
      <c r="V106" s="53"/>
      <c r="W106" s="53">
        <f t="shared" si="25"/>
        <v>3856327</v>
      </c>
      <c r="X106" s="51"/>
      <c r="Y106" s="51"/>
      <c r="Z106" s="35" t="s">
        <v>129</v>
      </c>
      <c r="AA106" s="53"/>
      <c r="AB106" s="35" t="s">
        <v>80</v>
      </c>
      <c r="AC106" s="51"/>
      <c r="AD106" s="53">
        <v>1689055</v>
      </c>
      <c r="AE106" s="53"/>
      <c r="AF106" s="53">
        <f>1347276-154967</f>
        <v>1192309</v>
      </c>
      <c r="AG106" s="53"/>
      <c r="AH106" s="53">
        <v>154967</v>
      </c>
      <c r="AI106" s="53"/>
      <c r="AJ106" s="45">
        <f t="shared" si="22"/>
        <v>341779</v>
      </c>
      <c r="AK106" s="45"/>
      <c r="AL106" s="53">
        <v>-106129</v>
      </c>
      <c r="AM106" s="45"/>
      <c r="AN106" s="53">
        <v>0</v>
      </c>
      <c r="AO106" s="53"/>
      <c r="AP106" s="53">
        <v>1455</v>
      </c>
      <c r="AQ106" s="53"/>
      <c r="AR106" s="53">
        <v>0</v>
      </c>
      <c r="AS106" s="53"/>
      <c r="AT106" s="45">
        <f t="shared" si="23"/>
        <v>234195</v>
      </c>
      <c r="AU106" s="45"/>
      <c r="AV106" s="53">
        <v>0</v>
      </c>
      <c r="AW106" s="53"/>
      <c r="AX106" s="53">
        <v>0</v>
      </c>
      <c r="AY106" s="53"/>
      <c r="AZ106" s="53">
        <f t="shared" si="24"/>
        <v>1066262</v>
      </c>
      <c r="BA106" s="51"/>
      <c r="BB106" s="35" t="s">
        <v>129</v>
      </c>
      <c r="BD106" s="35" t="s">
        <v>80</v>
      </c>
      <c r="BE106" s="53"/>
      <c r="BF106" s="53">
        <v>0</v>
      </c>
      <c r="BG106" s="53"/>
      <c r="BH106" s="53">
        <v>0</v>
      </c>
      <c r="BI106" s="53"/>
      <c r="BJ106" s="53">
        <f>1382866+496918+118905+22108</f>
        <v>2020797</v>
      </c>
      <c r="BK106" s="53"/>
      <c r="BL106" s="53">
        <f>21302+15167</f>
        <v>36469</v>
      </c>
      <c r="BM106" s="53"/>
      <c r="BN106" s="53">
        <f t="shared" si="19"/>
        <v>2057266</v>
      </c>
      <c r="BO106" s="54"/>
      <c r="BS106" s="55"/>
      <c r="BT106" s="55"/>
      <c r="BU106" s="84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</row>
    <row r="107" spans="1:95" s="35" customFormat="1" ht="12.75" customHeight="1">
      <c r="A107" s="35" t="s">
        <v>130</v>
      </c>
      <c r="B107" s="51"/>
      <c r="C107" s="35" t="s">
        <v>66</v>
      </c>
      <c r="D107" s="44"/>
      <c r="E107" s="53">
        <f t="shared" si="20"/>
        <v>11431664</v>
      </c>
      <c r="F107" s="53"/>
      <c r="G107" s="53">
        <v>28307421</v>
      </c>
      <c r="H107" s="53"/>
      <c r="I107" s="53">
        <v>39739085</v>
      </c>
      <c r="J107" s="53"/>
      <c r="K107" s="53">
        <f t="shared" si="21"/>
        <v>1854225</v>
      </c>
      <c r="L107" s="53"/>
      <c r="M107" s="53">
        <v>19241506</v>
      </c>
      <c r="N107" s="53"/>
      <c r="O107" s="53">
        <v>21095731</v>
      </c>
      <c r="P107" s="53"/>
      <c r="Q107" s="53">
        <v>14291904</v>
      </c>
      <c r="R107" s="53"/>
      <c r="S107" s="53">
        <f>60000+1140000</f>
        <v>1200000</v>
      </c>
      <c r="T107" s="53"/>
      <c r="U107" s="53">
        <v>3151450</v>
      </c>
      <c r="V107" s="53"/>
      <c r="W107" s="53">
        <f t="shared" si="25"/>
        <v>18643354</v>
      </c>
      <c r="Z107" s="35" t="s">
        <v>130</v>
      </c>
      <c r="AA107" s="53"/>
      <c r="AB107" s="35" t="s">
        <v>66</v>
      </c>
      <c r="AC107" s="51"/>
      <c r="AD107" s="53">
        <v>4688725</v>
      </c>
      <c r="AE107" s="53"/>
      <c r="AF107" s="53">
        <f>2893276-774960</f>
        <v>2118316</v>
      </c>
      <c r="AG107" s="53"/>
      <c r="AH107" s="53">
        <v>774960</v>
      </c>
      <c r="AI107" s="53"/>
      <c r="AJ107" s="45">
        <f t="shared" si="22"/>
        <v>1795449</v>
      </c>
      <c r="AK107" s="45"/>
      <c r="AL107" s="53">
        <v>-1017985</v>
      </c>
      <c r="AM107" s="45"/>
      <c r="AN107" s="53">
        <v>0</v>
      </c>
      <c r="AO107" s="53"/>
      <c r="AP107" s="53">
        <v>127830</v>
      </c>
      <c r="AQ107" s="53"/>
      <c r="AR107" s="53">
        <v>420416</v>
      </c>
      <c r="AS107" s="53"/>
      <c r="AT107" s="45">
        <f t="shared" si="23"/>
        <v>1070050</v>
      </c>
      <c r="AU107" s="45"/>
      <c r="AV107" s="53">
        <v>0</v>
      </c>
      <c r="AW107" s="53"/>
      <c r="AX107" s="53">
        <v>0</v>
      </c>
      <c r="AY107" s="53"/>
      <c r="AZ107" s="53">
        <f t="shared" si="24"/>
        <v>9577439</v>
      </c>
      <c r="BA107" s="51"/>
      <c r="BB107" s="35" t="s">
        <v>130</v>
      </c>
      <c r="BD107" s="35" t="s">
        <v>66</v>
      </c>
      <c r="BE107" s="53"/>
      <c r="BF107" s="53">
        <v>0</v>
      </c>
      <c r="BG107" s="53"/>
      <c r="BH107" s="53">
        <f>19241506+1235000</f>
        <v>20476506</v>
      </c>
      <c r="BI107" s="53"/>
      <c r="BJ107" s="53">
        <v>0</v>
      </c>
      <c r="BK107" s="53"/>
      <c r="BL107" s="53">
        <v>0</v>
      </c>
      <c r="BM107" s="53"/>
      <c r="BN107" s="53">
        <f t="shared" si="19"/>
        <v>20476506</v>
      </c>
      <c r="BO107" s="54"/>
      <c r="BP107" s="55"/>
      <c r="BS107" s="55"/>
      <c r="BT107" s="55"/>
      <c r="BU107" s="84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</row>
    <row r="108" spans="1:95" s="35" customFormat="1" ht="12.75" customHeight="1">
      <c r="A108" s="35" t="s">
        <v>131</v>
      </c>
      <c r="C108" s="35" t="s">
        <v>13</v>
      </c>
      <c r="D108" s="44"/>
      <c r="E108" s="53">
        <f t="shared" si="20"/>
        <v>836754</v>
      </c>
      <c r="F108" s="53"/>
      <c r="G108" s="53">
        <v>9502081</v>
      </c>
      <c r="H108" s="53"/>
      <c r="I108" s="53">
        <v>10338835</v>
      </c>
      <c r="J108" s="53"/>
      <c r="K108" s="53">
        <f t="shared" si="21"/>
        <v>495487</v>
      </c>
      <c r="L108" s="53"/>
      <c r="M108" s="53">
        <v>5498244</v>
      </c>
      <c r="N108" s="53"/>
      <c r="O108" s="53">
        <v>5993731</v>
      </c>
      <c r="P108" s="53"/>
      <c r="Q108" s="53">
        <v>3900498</v>
      </c>
      <c r="R108" s="53"/>
      <c r="S108" s="53">
        <v>0</v>
      </c>
      <c r="T108" s="53"/>
      <c r="U108" s="53">
        <v>444606</v>
      </c>
      <c r="V108" s="53"/>
      <c r="W108" s="53">
        <f t="shared" si="25"/>
        <v>4345104</v>
      </c>
      <c r="X108" s="51"/>
      <c r="Y108" s="51"/>
      <c r="Z108" s="35" t="s">
        <v>131</v>
      </c>
      <c r="AA108" s="53"/>
      <c r="AB108" s="35" t="s">
        <v>13</v>
      </c>
      <c r="AD108" s="53">
        <v>1537553</v>
      </c>
      <c r="AE108" s="53"/>
      <c r="AF108" s="53">
        <f>1498064-344627</f>
        <v>1153437</v>
      </c>
      <c r="AG108" s="53"/>
      <c r="AH108" s="53">
        <v>344627</v>
      </c>
      <c r="AI108" s="53"/>
      <c r="AJ108" s="45">
        <f t="shared" si="22"/>
        <v>39489</v>
      </c>
      <c r="AK108" s="45"/>
      <c r="AL108" s="53">
        <v>-264215</v>
      </c>
      <c r="AM108" s="45"/>
      <c r="AN108" s="53">
        <v>0</v>
      </c>
      <c r="AO108" s="53"/>
      <c r="AP108" s="53">
        <v>0</v>
      </c>
      <c r="AQ108" s="53"/>
      <c r="AR108" s="53">
        <v>0</v>
      </c>
      <c r="AS108" s="53"/>
      <c r="AT108" s="45">
        <f t="shared" si="23"/>
        <v>-224726</v>
      </c>
      <c r="AU108" s="45"/>
      <c r="AV108" s="53">
        <v>0</v>
      </c>
      <c r="AW108" s="53"/>
      <c r="AX108" s="53">
        <v>0</v>
      </c>
      <c r="AY108" s="53"/>
      <c r="AZ108" s="53">
        <f t="shared" si="24"/>
        <v>341267</v>
      </c>
      <c r="BA108" s="51"/>
      <c r="BB108" s="35" t="s">
        <v>131</v>
      </c>
      <c r="BD108" s="35" t="s">
        <v>13</v>
      </c>
      <c r="BE108" s="53"/>
      <c r="BF108" s="53">
        <f>5228929+361058</f>
        <v>5589987</v>
      </c>
      <c r="BG108" s="53"/>
      <c r="BH108" s="53">
        <v>0</v>
      </c>
      <c r="BI108" s="53"/>
      <c r="BJ108" s="53">
        <v>0</v>
      </c>
      <c r="BK108" s="53"/>
      <c r="BL108" s="53">
        <f>269315+71032</f>
        <v>340347</v>
      </c>
      <c r="BM108" s="53"/>
      <c r="BN108" s="53">
        <f t="shared" si="19"/>
        <v>5930334</v>
      </c>
      <c r="BO108" s="54"/>
      <c r="BS108" s="55"/>
      <c r="BT108" s="55"/>
      <c r="BU108" s="84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</row>
    <row r="109" spans="1:95" s="35" customFormat="1" ht="12.75" customHeight="1">
      <c r="A109" s="35" t="s">
        <v>38</v>
      </c>
      <c r="B109" s="51"/>
      <c r="C109" s="35" t="s">
        <v>132</v>
      </c>
      <c r="D109" s="44"/>
      <c r="E109" s="53">
        <f t="shared" si="20"/>
        <v>3325972</v>
      </c>
      <c r="F109" s="53"/>
      <c r="G109" s="53">
        <v>5700672</v>
      </c>
      <c r="H109" s="53"/>
      <c r="I109" s="53">
        <v>9026644</v>
      </c>
      <c r="J109" s="53"/>
      <c r="K109" s="53">
        <f t="shared" si="21"/>
        <v>599469</v>
      </c>
      <c r="L109" s="53"/>
      <c r="M109" s="53">
        <v>3187746</v>
      </c>
      <c r="N109" s="53"/>
      <c r="O109" s="53">
        <v>3787215</v>
      </c>
      <c r="P109" s="53"/>
      <c r="Q109" s="53">
        <v>2124389</v>
      </c>
      <c r="R109" s="53"/>
      <c r="S109" s="53">
        <v>0</v>
      </c>
      <c r="T109" s="53"/>
      <c r="U109" s="53">
        <v>3115040</v>
      </c>
      <c r="V109" s="53"/>
      <c r="W109" s="53">
        <f t="shared" si="25"/>
        <v>5239429</v>
      </c>
      <c r="X109" s="51"/>
      <c r="Y109" s="51"/>
      <c r="Z109" s="35" t="s">
        <v>38</v>
      </c>
      <c r="AA109" s="53"/>
      <c r="AB109" s="35" t="s">
        <v>132</v>
      </c>
      <c r="AC109" s="51"/>
      <c r="AD109" s="53">
        <v>2085476</v>
      </c>
      <c r="AE109" s="53"/>
      <c r="AF109" s="53">
        <f>1310496-182915</f>
        <v>1127581</v>
      </c>
      <c r="AG109" s="53"/>
      <c r="AH109" s="53">
        <v>182915</v>
      </c>
      <c r="AI109" s="53"/>
      <c r="AJ109" s="45">
        <f t="shared" si="22"/>
        <v>774980</v>
      </c>
      <c r="AK109" s="45"/>
      <c r="AL109" s="53">
        <v>-197745</v>
      </c>
      <c r="AM109" s="45"/>
      <c r="AN109" s="53">
        <v>0</v>
      </c>
      <c r="AO109" s="53"/>
      <c r="AP109" s="53">
        <v>3350</v>
      </c>
      <c r="AQ109" s="53"/>
      <c r="AR109" s="53">
        <v>0</v>
      </c>
      <c r="AS109" s="53"/>
      <c r="AT109" s="45">
        <f t="shared" si="23"/>
        <v>573885</v>
      </c>
      <c r="AU109" s="45"/>
      <c r="AV109" s="53">
        <v>0</v>
      </c>
      <c r="AW109" s="53"/>
      <c r="AX109" s="53">
        <v>0</v>
      </c>
      <c r="AY109" s="53"/>
      <c r="AZ109" s="53">
        <f t="shared" si="24"/>
        <v>2726503</v>
      </c>
      <c r="BA109" s="51"/>
      <c r="BB109" s="35" t="s">
        <v>38</v>
      </c>
      <c r="BD109" s="35" t="s">
        <v>132</v>
      </c>
      <c r="BE109" s="53"/>
      <c r="BF109" s="53">
        <f>1799533+325800</f>
        <v>2125333</v>
      </c>
      <c r="BG109" s="53"/>
      <c r="BH109" s="53">
        <v>0</v>
      </c>
      <c r="BI109" s="53"/>
      <c r="BJ109" s="53">
        <f>1297524+153426</f>
        <v>1450950</v>
      </c>
      <c r="BK109" s="53"/>
      <c r="BL109" s="53">
        <f>90689+30456</f>
        <v>121145</v>
      </c>
      <c r="BM109" s="53"/>
      <c r="BN109" s="53">
        <f t="shared" si="19"/>
        <v>3697428</v>
      </c>
      <c r="BO109" s="54"/>
      <c r="BS109" s="55"/>
      <c r="BT109" s="55"/>
      <c r="BU109" s="84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</row>
    <row r="110" spans="1:95" s="126" customFormat="1" ht="12.75" hidden="1" customHeight="1">
      <c r="A110" s="126" t="s">
        <v>133</v>
      </c>
      <c r="B110" s="124"/>
      <c r="C110" s="126" t="s">
        <v>27</v>
      </c>
      <c r="D110" s="121"/>
      <c r="E110" s="53">
        <f t="shared" si="20"/>
        <v>0</v>
      </c>
      <c r="F110" s="53"/>
      <c r="G110" s="53">
        <v>0</v>
      </c>
      <c r="H110" s="53"/>
      <c r="I110" s="53">
        <v>0</v>
      </c>
      <c r="J110" s="53"/>
      <c r="K110" s="53">
        <f t="shared" si="21"/>
        <v>0</v>
      </c>
      <c r="L110" s="53"/>
      <c r="M110" s="53">
        <v>0</v>
      </c>
      <c r="N110" s="53"/>
      <c r="O110" s="53">
        <v>0</v>
      </c>
      <c r="P110" s="53"/>
      <c r="Q110" s="53">
        <v>0</v>
      </c>
      <c r="R110" s="53"/>
      <c r="S110" s="53">
        <v>0</v>
      </c>
      <c r="T110" s="53"/>
      <c r="U110" s="53">
        <v>0</v>
      </c>
      <c r="V110" s="53"/>
      <c r="W110" s="53">
        <f t="shared" si="25"/>
        <v>0</v>
      </c>
      <c r="X110" s="124"/>
      <c r="Y110" s="124"/>
      <c r="Z110" s="126" t="s">
        <v>133</v>
      </c>
      <c r="AA110" s="137"/>
      <c r="AB110" s="126" t="s">
        <v>27</v>
      </c>
      <c r="AC110" s="124"/>
      <c r="AD110" s="53">
        <v>0</v>
      </c>
      <c r="AE110" s="53"/>
      <c r="AF110" s="53">
        <v>0</v>
      </c>
      <c r="AG110" s="53"/>
      <c r="AH110" s="53">
        <v>0</v>
      </c>
      <c r="AI110" s="53"/>
      <c r="AJ110" s="45">
        <f t="shared" si="22"/>
        <v>0</v>
      </c>
      <c r="AK110" s="45"/>
      <c r="AL110" s="53">
        <v>0</v>
      </c>
      <c r="AM110" s="45"/>
      <c r="AN110" s="53">
        <v>0</v>
      </c>
      <c r="AO110" s="53"/>
      <c r="AP110" s="53">
        <v>0</v>
      </c>
      <c r="AQ110" s="53"/>
      <c r="AR110" s="53">
        <v>0</v>
      </c>
      <c r="AS110" s="53"/>
      <c r="AT110" s="45">
        <f t="shared" si="23"/>
        <v>0</v>
      </c>
      <c r="AU110" s="45"/>
      <c r="AV110" s="53">
        <v>0</v>
      </c>
      <c r="AW110" s="53"/>
      <c r="AX110" s="53">
        <v>0</v>
      </c>
      <c r="AY110" s="53"/>
      <c r="AZ110" s="53">
        <f t="shared" si="24"/>
        <v>0</v>
      </c>
      <c r="BA110" s="124"/>
      <c r="BB110" s="126" t="s">
        <v>133</v>
      </c>
      <c r="BD110" s="126" t="s">
        <v>27</v>
      </c>
      <c r="BE110" s="137"/>
      <c r="BF110" s="53">
        <v>0</v>
      </c>
      <c r="BG110" s="53"/>
      <c r="BH110" s="53">
        <v>0</v>
      </c>
      <c r="BI110" s="53"/>
      <c r="BJ110" s="53">
        <v>0</v>
      </c>
      <c r="BK110" s="53"/>
      <c r="BL110" s="53">
        <v>0</v>
      </c>
      <c r="BM110" s="137"/>
      <c r="BN110" s="137">
        <f t="shared" si="19"/>
        <v>0</v>
      </c>
      <c r="BO110" s="139"/>
      <c r="BS110" s="140"/>
      <c r="BT110" s="140"/>
      <c r="BU110" s="141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</row>
    <row r="111" spans="1:95" s="35" customFormat="1" ht="12.75" customHeight="1">
      <c r="A111" s="35" t="s">
        <v>477</v>
      </c>
      <c r="B111" s="51"/>
      <c r="C111" s="35" t="s">
        <v>45</v>
      </c>
      <c r="D111" s="44"/>
      <c r="E111" s="53">
        <f t="shared" si="20"/>
        <v>4610542</v>
      </c>
      <c r="F111" s="53"/>
      <c r="G111" s="53">
        <v>13905803</v>
      </c>
      <c r="H111" s="53"/>
      <c r="I111" s="53">
        <v>18516345</v>
      </c>
      <c r="J111" s="53"/>
      <c r="K111" s="53">
        <f t="shared" si="21"/>
        <v>1228427</v>
      </c>
      <c r="L111" s="53"/>
      <c r="M111" s="53">
        <v>3915294</v>
      </c>
      <c r="N111" s="53"/>
      <c r="O111" s="53">
        <v>5143721</v>
      </c>
      <c r="P111" s="53"/>
      <c r="Q111" s="53">
        <v>9887003</v>
      </c>
      <c r="R111" s="53"/>
      <c r="S111" s="53">
        <v>0</v>
      </c>
      <c r="T111" s="53"/>
      <c r="U111" s="53">
        <v>3485621</v>
      </c>
      <c r="V111" s="53"/>
      <c r="W111" s="53">
        <f t="shared" si="25"/>
        <v>13372624</v>
      </c>
      <c r="X111" s="51"/>
      <c r="Y111" s="51"/>
      <c r="Z111" s="35" t="s">
        <v>477</v>
      </c>
      <c r="AA111" s="53"/>
      <c r="AB111" s="35" t="s">
        <v>45</v>
      </c>
      <c r="AC111" s="51"/>
      <c r="AD111" s="53">
        <v>4959253</v>
      </c>
      <c r="AE111" s="53"/>
      <c r="AF111" s="53">
        <f>4114966-363707</f>
        <v>3751259</v>
      </c>
      <c r="AG111" s="53"/>
      <c r="AH111" s="53">
        <v>363707</v>
      </c>
      <c r="AI111" s="53"/>
      <c r="AJ111" s="45">
        <f t="shared" si="22"/>
        <v>844287</v>
      </c>
      <c r="AK111" s="45"/>
      <c r="AL111" s="53">
        <v>-85017</v>
      </c>
      <c r="AM111" s="45"/>
      <c r="AN111" s="53">
        <v>0</v>
      </c>
      <c r="AO111" s="53"/>
      <c r="AP111" s="53">
        <v>0</v>
      </c>
      <c r="AQ111" s="53"/>
      <c r="AR111" s="53">
        <v>243209</v>
      </c>
      <c r="AS111" s="53"/>
      <c r="AT111" s="45">
        <f t="shared" si="23"/>
        <v>1002479</v>
      </c>
      <c r="AU111" s="45"/>
      <c r="AV111" s="53">
        <v>0</v>
      </c>
      <c r="AW111" s="53"/>
      <c r="AX111" s="53">
        <v>0</v>
      </c>
      <c r="AY111" s="53"/>
      <c r="AZ111" s="53">
        <f t="shared" si="24"/>
        <v>3382115</v>
      </c>
      <c r="BA111" s="51"/>
      <c r="BB111" s="35" t="s">
        <v>477</v>
      </c>
      <c r="BD111" s="35" t="s">
        <v>45</v>
      </c>
      <c r="BE111" s="53"/>
      <c r="BF111" s="53">
        <f>3764825+253975</f>
        <v>4018800</v>
      </c>
      <c r="BG111" s="53"/>
      <c r="BH111" s="53">
        <v>0</v>
      </c>
      <c r="BI111" s="53"/>
      <c r="BJ111" s="53">
        <v>0</v>
      </c>
      <c r="BK111" s="53"/>
      <c r="BL111" s="53">
        <f>34520+150469</f>
        <v>184989</v>
      </c>
      <c r="BM111" s="53"/>
      <c r="BN111" s="53">
        <f t="shared" si="19"/>
        <v>4203789</v>
      </c>
      <c r="BO111" s="54"/>
      <c r="BS111" s="55"/>
      <c r="BT111" s="55"/>
      <c r="BU111" s="84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</row>
    <row r="112" spans="1:95" s="35" customFormat="1" ht="12.75" customHeight="1">
      <c r="A112" s="35" t="s">
        <v>136</v>
      </c>
      <c r="B112" s="51"/>
      <c r="C112" s="35" t="s">
        <v>136</v>
      </c>
      <c r="D112" s="44"/>
      <c r="E112" s="53">
        <f t="shared" si="20"/>
        <v>2080406</v>
      </c>
      <c r="F112" s="53"/>
      <c r="G112" s="53">
        <v>6375946</v>
      </c>
      <c r="H112" s="53"/>
      <c r="I112" s="53">
        <v>8456352</v>
      </c>
      <c r="J112" s="53"/>
      <c r="K112" s="53">
        <f t="shared" si="21"/>
        <v>434478</v>
      </c>
      <c r="L112" s="53"/>
      <c r="M112" s="53">
        <v>2566073</v>
      </c>
      <c r="N112" s="53"/>
      <c r="O112" s="53">
        <v>3000551</v>
      </c>
      <c r="P112" s="53"/>
      <c r="Q112" s="53">
        <v>3619896</v>
      </c>
      <c r="R112" s="53"/>
      <c r="S112" s="53">
        <v>0</v>
      </c>
      <c r="T112" s="53"/>
      <c r="U112" s="53">
        <v>1835905</v>
      </c>
      <c r="V112" s="53"/>
      <c r="W112" s="53">
        <f t="shared" si="25"/>
        <v>5455801</v>
      </c>
      <c r="X112" s="51"/>
      <c r="Y112" s="51"/>
      <c r="Z112" s="35" t="s">
        <v>136</v>
      </c>
      <c r="AA112" s="53"/>
      <c r="AB112" s="35" t="s">
        <v>136</v>
      </c>
      <c r="AC112" s="51"/>
      <c r="AD112" s="53">
        <v>1993822</v>
      </c>
      <c r="AE112" s="53"/>
      <c r="AF112" s="53">
        <f>1886685-244008</f>
        <v>1642677</v>
      </c>
      <c r="AG112" s="53"/>
      <c r="AH112" s="53">
        <v>244008</v>
      </c>
      <c r="AI112" s="53"/>
      <c r="AJ112" s="45">
        <f t="shared" si="22"/>
        <v>107137</v>
      </c>
      <c r="AK112" s="45"/>
      <c r="AL112" s="53">
        <v>408141</v>
      </c>
      <c r="AM112" s="45"/>
      <c r="AN112" s="53">
        <v>0</v>
      </c>
      <c r="AO112" s="53"/>
      <c r="AP112" s="53">
        <v>0</v>
      </c>
      <c r="AQ112" s="53"/>
      <c r="AR112" s="53">
        <v>0</v>
      </c>
      <c r="AS112" s="53"/>
      <c r="AT112" s="45">
        <f t="shared" si="23"/>
        <v>515278</v>
      </c>
      <c r="AU112" s="45"/>
      <c r="AV112" s="53">
        <v>0</v>
      </c>
      <c r="AW112" s="53"/>
      <c r="AX112" s="53">
        <v>0</v>
      </c>
      <c r="AY112" s="53"/>
      <c r="AZ112" s="53">
        <f t="shared" si="24"/>
        <v>1645928</v>
      </c>
      <c r="BA112" s="51"/>
      <c r="BB112" s="35" t="s">
        <v>136</v>
      </c>
      <c r="BD112" s="35" t="s">
        <v>136</v>
      </c>
      <c r="BE112" s="53"/>
      <c r="BF112" s="53">
        <f>1757743+175000</f>
        <v>1932743</v>
      </c>
      <c r="BG112" s="53"/>
      <c r="BH112" s="53">
        <v>0</v>
      </c>
      <c r="BI112" s="53"/>
      <c r="BJ112" s="53">
        <f>555137+80104</f>
        <v>635241</v>
      </c>
      <c r="BK112" s="53"/>
      <c r="BL112" s="53">
        <f>174176+79017+46674+13890</f>
        <v>313757</v>
      </c>
      <c r="BM112" s="53"/>
      <c r="BN112" s="53">
        <f t="shared" si="19"/>
        <v>2881741</v>
      </c>
      <c r="BO112" s="54"/>
      <c r="BS112" s="55"/>
      <c r="BT112" s="55"/>
      <c r="BU112" s="84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</row>
    <row r="113" spans="1:95" s="35" customFormat="1" ht="12.75" customHeight="1">
      <c r="A113" s="35" t="s">
        <v>137</v>
      </c>
      <c r="B113" s="65"/>
      <c r="C113" s="35" t="s">
        <v>22</v>
      </c>
      <c r="D113" s="44"/>
      <c r="E113" s="53">
        <f t="shared" si="20"/>
        <v>3323278</v>
      </c>
      <c r="F113" s="53"/>
      <c r="G113" s="53">
        <v>15001448</v>
      </c>
      <c r="H113" s="53"/>
      <c r="I113" s="53">
        <v>18324726</v>
      </c>
      <c r="J113" s="53"/>
      <c r="K113" s="53">
        <f t="shared" si="21"/>
        <v>752712</v>
      </c>
      <c r="L113" s="53"/>
      <c r="M113" s="53">
        <v>558456</v>
      </c>
      <c r="N113" s="53"/>
      <c r="O113" s="53">
        <v>1311168</v>
      </c>
      <c r="P113" s="53"/>
      <c r="Q113" s="53">
        <v>14416298</v>
      </c>
      <c r="R113" s="53"/>
      <c r="S113" s="53">
        <v>0</v>
      </c>
      <c r="T113" s="53"/>
      <c r="U113" s="53">
        <v>2597260</v>
      </c>
      <c r="V113" s="53"/>
      <c r="W113" s="53">
        <f t="shared" si="25"/>
        <v>17013558</v>
      </c>
      <c r="X113" s="65"/>
      <c r="Y113" s="65"/>
      <c r="Z113" s="35" t="s">
        <v>137</v>
      </c>
      <c r="AA113" s="53"/>
      <c r="AB113" s="35" t="s">
        <v>22</v>
      </c>
      <c r="AC113" s="65"/>
      <c r="AD113" s="53">
        <v>2755229</v>
      </c>
      <c r="AE113" s="53"/>
      <c r="AF113" s="53">
        <f>3271815-572834</f>
        <v>2698981</v>
      </c>
      <c r="AG113" s="53"/>
      <c r="AH113" s="53">
        <v>572834</v>
      </c>
      <c r="AI113" s="53"/>
      <c r="AJ113" s="45">
        <f t="shared" si="22"/>
        <v>-516586</v>
      </c>
      <c r="AK113" s="45"/>
      <c r="AL113" s="53">
        <f>375+18423</f>
        <v>18798</v>
      </c>
      <c r="AM113" s="45"/>
      <c r="AN113" s="53">
        <v>0</v>
      </c>
      <c r="AO113" s="53"/>
      <c r="AP113" s="53">
        <v>0</v>
      </c>
      <c r="AQ113" s="53"/>
      <c r="AR113" s="53">
        <f>17490+62681</f>
        <v>80171</v>
      </c>
      <c r="AS113" s="53"/>
      <c r="AT113" s="45">
        <f t="shared" si="23"/>
        <v>-417617</v>
      </c>
      <c r="AU113" s="45"/>
      <c r="AV113" s="53">
        <v>0</v>
      </c>
      <c r="AW113" s="53"/>
      <c r="AX113" s="53">
        <v>0</v>
      </c>
      <c r="AY113" s="53"/>
      <c r="AZ113" s="53">
        <f t="shared" si="24"/>
        <v>2570566</v>
      </c>
      <c r="BA113" s="65"/>
      <c r="BB113" s="35" t="s">
        <v>137</v>
      </c>
      <c r="BD113" s="35" t="s">
        <v>22</v>
      </c>
      <c r="BE113" s="53"/>
      <c r="BF113" s="53">
        <v>0</v>
      </c>
      <c r="BG113" s="53"/>
      <c r="BH113" s="53">
        <v>0</v>
      </c>
      <c r="BI113" s="53"/>
      <c r="BJ113" s="53">
        <f>551478+33672</f>
        <v>585150</v>
      </c>
      <c r="BK113" s="53"/>
      <c r="BL113" s="53">
        <f>6978+83918</f>
        <v>90896</v>
      </c>
      <c r="BM113" s="53"/>
      <c r="BN113" s="53">
        <f t="shared" si="19"/>
        <v>676046</v>
      </c>
      <c r="BO113" s="54"/>
      <c r="BS113" s="55"/>
      <c r="BT113" s="55"/>
      <c r="BU113" s="84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</row>
    <row r="114" spans="1:95" s="126" customFormat="1" ht="12" hidden="1" customHeight="1">
      <c r="A114" s="126" t="s">
        <v>138</v>
      </c>
      <c r="B114" s="124"/>
      <c r="C114" s="126" t="s">
        <v>139</v>
      </c>
      <c r="D114" s="121"/>
      <c r="E114" s="53">
        <f t="shared" si="20"/>
        <v>0</v>
      </c>
      <c r="F114" s="53"/>
      <c r="G114" s="53">
        <v>0</v>
      </c>
      <c r="H114" s="53"/>
      <c r="I114" s="53">
        <v>0</v>
      </c>
      <c r="J114" s="53"/>
      <c r="K114" s="53">
        <f t="shared" si="21"/>
        <v>0</v>
      </c>
      <c r="L114" s="53"/>
      <c r="M114" s="53">
        <v>0</v>
      </c>
      <c r="N114" s="53"/>
      <c r="O114" s="53">
        <v>0</v>
      </c>
      <c r="P114" s="53"/>
      <c r="Q114" s="53">
        <v>0</v>
      </c>
      <c r="R114" s="53"/>
      <c r="S114" s="53">
        <v>0</v>
      </c>
      <c r="T114" s="53"/>
      <c r="U114" s="53">
        <v>0</v>
      </c>
      <c r="V114" s="53"/>
      <c r="W114" s="53">
        <f t="shared" si="25"/>
        <v>0</v>
      </c>
      <c r="X114" s="124"/>
      <c r="Y114" s="124"/>
      <c r="Z114" s="126" t="s">
        <v>138</v>
      </c>
      <c r="AA114" s="137"/>
      <c r="AB114" s="126" t="s">
        <v>139</v>
      </c>
      <c r="AC114" s="124"/>
      <c r="AD114" s="53">
        <v>0</v>
      </c>
      <c r="AE114" s="53"/>
      <c r="AF114" s="53">
        <v>0</v>
      </c>
      <c r="AG114" s="53"/>
      <c r="AH114" s="53">
        <v>0</v>
      </c>
      <c r="AI114" s="53"/>
      <c r="AJ114" s="45">
        <f t="shared" si="22"/>
        <v>0</v>
      </c>
      <c r="AK114" s="45"/>
      <c r="AL114" s="53">
        <v>0</v>
      </c>
      <c r="AM114" s="45"/>
      <c r="AN114" s="53">
        <v>0</v>
      </c>
      <c r="AO114" s="53"/>
      <c r="AP114" s="53">
        <v>0</v>
      </c>
      <c r="AQ114" s="53"/>
      <c r="AR114" s="53">
        <v>0</v>
      </c>
      <c r="AS114" s="53"/>
      <c r="AT114" s="45">
        <f t="shared" si="23"/>
        <v>0</v>
      </c>
      <c r="AU114" s="45"/>
      <c r="AV114" s="53">
        <v>0</v>
      </c>
      <c r="AW114" s="53"/>
      <c r="AX114" s="53">
        <v>0</v>
      </c>
      <c r="AY114" s="53"/>
      <c r="AZ114" s="53">
        <f t="shared" si="24"/>
        <v>0</v>
      </c>
      <c r="BA114" s="124"/>
      <c r="BB114" s="126" t="s">
        <v>138</v>
      </c>
      <c r="BD114" s="126" t="s">
        <v>139</v>
      </c>
      <c r="BE114" s="137"/>
      <c r="BF114" s="53">
        <v>0</v>
      </c>
      <c r="BG114" s="53"/>
      <c r="BH114" s="53">
        <v>0</v>
      </c>
      <c r="BI114" s="53"/>
      <c r="BJ114" s="53">
        <v>0</v>
      </c>
      <c r="BK114" s="53"/>
      <c r="BL114" s="53">
        <v>0</v>
      </c>
      <c r="BM114" s="137"/>
      <c r="BN114" s="137">
        <f t="shared" si="19"/>
        <v>0</v>
      </c>
      <c r="BO114" s="139"/>
      <c r="BS114" s="140"/>
      <c r="BT114" s="140"/>
      <c r="BU114" s="141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</row>
    <row r="115" spans="1:95" s="126" customFormat="1" ht="12.75" hidden="1" customHeight="1">
      <c r="A115" s="126" t="s">
        <v>140</v>
      </c>
      <c r="B115" s="124"/>
      <c r="C115" s="126" t="s">
        <v>66</v>
      </c>
      <c r="D115" s="121"/>
      <c r="E115" s="53">
        <f t="shared" si="20"/>
        <v>0</v>
      </c>
      <c r="F115" s="53"/>
      <c r="G115" s="53">
        <v>0</v>
      </c>
      <c r="H115" s="53"/>
      <c r="I115" s="53">
        <v>0</v>
      </c>
      <c r="J115" s="53"/>
      <c r="K115" s="53">
        <f t="shared" si="21"/>
        <v>0</v>
      </c>
      <c r="L115" s="53"/>
      <c r="M115" s="53">
        <v>0</v>
      </c>
      <c r="N115" s="53"/>
      <c r="O115" s="53">
        <v>0</v>
      </c>
      <c r="P115" s="53"/>
      <c r="Q115" s="53">
        <v>0</v>
      </c>
      <c r="R115" s="53"/>
      <c r="S115" s="53">
        <v>0</v>
      </c>
      <c r="T115" s="53"/>
      <c r="U115" s="53">
        <v>0</v>
      </c>
      <c r="V115" s="53"/>
      <c r="W115" s="53">
        <f t="shared" si="25"/>
        <v>0</v>
      </c>
      <c r="X115" s="124"/>
      <c r="Y115" s="124"/>
      <c r="Z115" s="126" t="s">
        <v>140</v>
      </c>
      <c r="AA115" s="137"/>
      <c r="AB115" s="126" t="s">
        <v>66</v>
      </c>
      <c r="AC115" s="124"/>
      <c r="AD115" s="53">
        <v>0</v>
      </c>
      <c r="AE115" s="53"/>
      <c r="AF115" s="53">
        <v>0</v>
      </c>
      <c r="AG115" s="53"/>
      <c r="AH115" s="53">
        <v>0</v>
      </c>
      <c r="AI115" s="53"/>
      <c r="AJ115" s="45">
        <f t="shared" si="22"/>
        <v>0</v>
      </c>
      <c r="AK115" s="45"/>
      <c r="AL115" s="53">
        <v>0</v>
      </c>
      <c r="AM115" s="45"/>
      <c r="AN115" s="53">
        <v>0</v>
      </c>
      <c r="AO115" s="53"/>
      <c r="AP115" s="53">
        <v>0</v>
      </c>
      <c r="AQ115" s="53"/>
      <c r="AR115" s="53">
        <v>0</v>
      </c>
      <c r="AS115" s="53"/>
      <c r="AT115" s="45">
        <f t="shared" si="23"/>
        <v>0</v>
      </c>
      <c r="AU115" s="45"/>
      <c r="AV115" s="53">
        <v>0</v>
      </c>
      <c r="AW115" s="53"/>
      <c r="AX115" s="53">
        <v>0</v>
      </c>
      <c r="AY115" s="53"/>
      <c r="AZ115" s="53">
        <f t="shared" si="24"/>
        <v>0</v>
      </c>
      <c r="BA115" s="124"/>
      <c r="BB115" s="126" t="s">
        <v>140</v>
      </c>
      <c r="BD115" s="126" t="s">
        <v>66</v>
      </c>
      <c r="BE115" s="137"/>
      <c r="BF115" s="53">
        <v>0</v>
      </c>
      <c r="BG115" s="53"/>
      <c r="BH115" s="53">
        <v>0</v>
      </c>
      <c r="BI115" s="53"/>
      <c r="BJ115" s="53">
        <v>0</v>
      </c>
      <c r="BK115" s="53"/>
      <c r="BL115" s="53">
        <v>0</v>
      </c>
      <c r="BM115" s="137"/>
      <c r="BN115" s="137">
        <f t="shared" si="19"/>
        <v>0</v>
      </c>
      <c r="BO115" s="139"/>
      <c r="BS115" s="140"/>
      <c r="BT115" s="140"/>
      <c r="BU115" s="141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</row>
    <row r="116" spans="1:95" s="35" customFormat="1" ht="12.75" hidden="1" customHeight="1">
      <c r="A116" s="35" t="s">
        <v>478</v>
      </c>
      <c r="B116" s="51"/>
      <c r="C116" s="35" t="s">
        <v>92</v>
      </c>
      <c r="D116" s="44"/>
      <c r="E116" s="53">
        <f t="shared" si="20"/>
        <v>0</v>
      </c>
      <c r="F116" s="53"/>
      <c r="G116" s="53">
        <v>0</v>
      </c>
      <c r="H116" s="53"/>
      <c r="I116" s="53">
        <v>0</v>
      </c>
      <c r="J116" s="53"/>
      <c r="K116" s="53">
        <f t="shared" si="21"/>
        <v>0</v>
      </c>
      <c r="L116" s="53"/>
      <c r="M116" s="53">
        <v>0</v>
      </c>
      <c r="N116" s="53"/>
      <c r="O116" s="53">
        <v>0</v>
      </c>
      <c r="P116" s="53"/>
      <c r="Q116" s="53">
        <v>0</v>
      </c>
      <c r="R116" s="53"/>
      <c r="S116" s="53">
        <v>0</v>
      </c>
      <c r="T116" s="53"/>
      <c r="U116" s="53">
        <v>0</v>
      </c>
      <c r="V116" s="53"/>
      <c r="W116" s="53">
        <f t="shared" si="25"/>
        <v>0</v>
      </c>
      <c r="X116" s="51"/>
      <c r="Y116" s="51"/>
      <c r="Z116" s="35" t="s">
        <v>478</v>
      </c>
      <c r="AA116" s="53"/>
      <c r="AB116" s="35" t="s">
        <v>92</v>
      </c>
      <c r="AC116" s="51"/>
      <c r="AD116" s="53">
        <v>0</v>
      </c>
      <c r="AE116" s="53"/>
      <c r="AF116" s="53">
        <v>0</v>
      </c>
      <c r="AG116" s="53"/>
      <c r="AH116" s="53">
        <v>0</v>
      </c>
      <c r="AI116" s="53"/>
      <c r="AJ116" s="45">
        <f t="shared" si="22"/>
        <v>0</v>
      </c>
      <c r="AK116" s="45"/>
      <c r="AL116" s="53">
        <v>0</v>
      </c>
      <c r="AM116" s="45"/>
      <c r="AN116" s="53">
        <v>0</v>
      </c>
      <c r="AO116" s="53"/>
      <c r="AP116" s="53">
        <v>0</v>
      </c>
      <c r="AQ116" s="53"/>
      <c r="AR116" s="53">
        <v>0</v>
      </c>
      <c r="AS116" s="53"/>
      <c r="AT116" s="45">
        <f t="shared" si="23"/>
        <v>0</v>
      </c>
      <c r="AU116" s="45"/>
      <c r="AV116" s="53">
        <v>0</v>
      </c>
      <c r="AW116" s="53"/>
      <c r="AX116" s="53">
        <v>0</v>
      </c>
      <c r="AY116" s="53"/>
      <c r="AZ116" s="53">
        <f t="shared" si="24"/>
        <v>0</v>
      </c>
      <c r="BA116" s="51"/>
      <c r="BB116" s="35" t="s">
        <v>480</v>
      </c>
      <c r="BD116" s="35" t="s">
        <v>92</v>
      </c>
      <c r="BE116" s="53"/>
      <c r="BF116" s="53">
        <v>0</v>
      </c>
      <c r="BG116" s="53"/>
      <c r="BH116" s="53">
        <v>0</v>
      </c>
      <c r="BI116" s="53"/>
      <c r="BJ116" s="53">
        <v>0</v>
      </c>
      <c r="BK116" s="53"/>
      <c r="BL116" s="53">
        <v>0</v>
      </c>
      <c r="BM116" s="53"/>
      <c r="BN116" s="53">
        <f>SUM(BF116:BL116)</f>
        <v>0</v>
      </c>
      <c r="BO116" s="54"/>
      <c r="BS116" s="55"/>
      <c r="BT116" s="55"/>
      <c r="BU116" s="84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</row>
    <row r="117" spans="1:95" s="64" customFormat="1" ht="12.75" customHeight="1">
      <c r="A117" s="35" t="s">
        <v>141</v>
      </c>
      <c r="B117" s="35"/>
      <c r="C117" s="35" t="s">
        <v>27</v>
      </c>
      <c r="D117" s="44"/>
      <c r="E117" s="53">
        <f t="shared" si="20"/>
        <v>5766390</v>
      </c>
      <c r="F117" s="53"/>
      <c r="G117" s="53">
        <v>41556819</v>
      </c>
      <c r="H117" s="53"/>
      <c r="I117" s="53">
        <v>47323209</v>
      </c>
      <c r="J117" s="53"/>
      <c r="K117" s="53">
        <f t="shared" si="21"/>
        <v>2411985</v>
      </c>
      <c r="L117" s="53"/>
      <c r="M117" s="53">
        <v>14131652</v>
      </c>
      <c r="N117" s="53"/>
      <c r="O117" s="53">
        <v>16543637</v>
      </c>
      <c r="P117" s="53"/>
      <c r="Q117" s="53">
        <v>15109806</v>
      </c>
      <c r="R117" s="53"/>
      <c r="S117" s="53">
        <f>63085+195475</f>
        <v>258560</v>
      </c>
      <c r="T117" s="53"/>
      <c r="U117" s="53">
        <v>15411206</v>
      </c>
      <c r="V117" s="53"/>
      <c r="W117" s="53">
        <f t="shared" si="25"/>
        <v>30779572</v>
      </c>
      <c r="X117" s="51"/>
      <c r="Y117" s="51"/>
      <c r="Z117" s="35" t="s">
        <v>141</v>
      </c>
      <c r="AA117" s="53"/>
      <c r="AB117" s="35" t="s">
        <v>27</v>
      </c>
      <c r="AC117" s="35"/>
      <c r="AD117" s="53">
        <v>10762766</v>
      </c>
      <c r="AE117" s="53"/>
      <c r="AF117" s="53">
        <f>9028685-559874</f>
        <v>8468811</v>
      </c>
      <c r="AG117" s="53"/>
      <c r="AH117" s="53">
        <v>559874</v>
      </c>
      <c r="AI117" s="53"/>
      <c r="AJ117" s="45">
        <f t="shared" si="22"/>
        <v>1734081</v>
      </c>
      <c r="AK117" s="45"/>
      <c r="AL117" s="53">
        <v>-621987</v>
      </c>
      <c r="AM117" s="45"/>
      <c r="AN117" s="53">
        <v>0</v>
      </c>
      <c r="AO117" s="53"/>
      <c r="AP117" s="53">
        <v>15244</v>
      </c>
      <c r="AQ117" s="53"/>
      <c r="AR117" s="53">
        <v>0</v>
      </c>
      <c r="AS117" s="53"/>
      <c r="AT117" s="45">
        <f t="shared" si="23"/>
        <v>1096850</v>
      </c>
      <c r="AU117" s="45"/>
      <c r="AV117" s="53">
        <v>0</v>
      </c>
      <c r="AW117" s="53"/>
      <c r="AX117" s="53">
        <v>0</v>
      </c>
      <c r="AY117" s="53"/>
      <c r="AZ117" s="53">
        <f t="shared" si="24"/>
        <v>3354405</v>
      </c>
      <c r="BA117" s="51"/>
      <c r="BB117" s="35" t="s">
        <v>141</v>
      </c>
      <c r="BC117" s="35"/>
      <c r="BD117" s="35" t="s">
        <v>27</v>
      </c>
      <c r="BE117" s="53"/>
      <c r="BF117" s="53">
        <f>10952878+954572</f>
        <v>11907450</v>
      </c>
      <c r="BG117" s="53"/>
      <c r="BH117" s="53">
        <v>0</v>
      </c>
      <c r="BI117" s="53"/>
      <c r="BJ117" s="53">
        <f>3102449+313228</f>
        <v>3415677</v>
      </c>
      <c r="BK117" s="53"/>
      <c r="BL117" s="53">
        <f>46568+29757+56954+14783</f>
        <v>148062</v>
      </c>
      <c r="BM117" s="53"/>
      <c r="BN117" s="53">
        <f t="shared" si="19"/>
        <v>15471189</v>
      </c>
      <c r="BO117" s="91"/>
      <c r="BS117" s="90"/>
      <c r="BT117" s="90"/>
      <c r="BU117" s="95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</row>
    <row r="118" spans="1:95" s="126" customFormat="1" ht="12.75" hidden="1" customHeight="1">
      <c r="A118" s="126" t="s">
        <v>142</v>
      </c>
      <c r="B118" s="124"/>
      <c r="C118" s="126" t="s">
        <v>102</v>
      </c>
      <c r="D118" s="121"/>
      <c r="E118" s="137">
        <f t="shared" si="20"/>
        <v>0</v>
      </c>
      <c r="F118" s="137"/>
      <c r="G118" s="137">
        <v>0</v>
      </c>
      <c r="H118" s="137"/>
      <c r="I118" s="137">
        <v>0</v>
      </c>
      <c r="J118" s="137"/>
      <c r="K118" s="137">
        <f t="shared" si="21"/>
        <v>0</v>
      </c>
      <c r="L118" s="137"/>
      <c r="M118" s="137">
        <v>0</v>
      </c>
      <c r="N118" s="137"/>
      <c r="O118" s="137">
        <v>0</v>
      </c>
      <c r="P118" s="137"/>
      <c r="Q118" s="137">
        <v>0</v>
      </c>
      <c r="R118" s="137"/>
      <c r="S118" s="137">
        <v>0</v>
      </c>
      <c r="T118" s="137"/>
      <c r="U118" s="137">
        <v>0</v>
      </c>
      <c r="V118" s="137"/>
      <c r="W118" s="137">
        <f t="shared" si="25"/>
        <v>0</v>
      </c>
      <c r="X118" s="124"/>
      <c r="Y118" s="124"/>
      <c r="Z118" s="126" t="s">
        <v>142</v>
      </c>
      <c r="AA118" s="137"/>
      <c r="AB118" s="126" t="s">
        <v>102</v>
      </c>
      <c r="AC118" s="124"/>
      <c r="AD118" s="137">
        <v>0</v>
      </c>
      <c r="AE118" s="137"/>
      <c r="AF118" s="137">
        <v>0</v>
      </c>
      <c r="AG118" s="137"/>
      <c r="AH118" s="137">
        <v>0</v>
      </c>
      <c r="AI118" s="137"/>
      <c r="AJ118" s="127">
        <f t="shared" si="22"/>
        <v>0</v>
      </c>
      <c r="AK118" s="127"/>
      <c r="AL118" s="137">
        <v>0</v>
      </c>
      <c r="AM118" s="127"/>
      <c r="AN118" s="137">
        <v>0</v>
      </c>
      <c r="AO118" s="137"/>
      <c r="AP118" s="137">
        <v>0</v>
      </c>
      <c r="AQ118" s="137"/>
      <c r="AR118" s="137">
        <v>0</v>
      </c>
      <c r="AS118" s="137"/>
      <c r="AT118" s="127">
        <f t="shared" si="23"/>
        <v>0</v>
      </c>
      <c r="AU118" s="127"/>
      <c r="AV118" s="137">
        <v>0</v>
      </c>
      <c r="AW118" s="137"/>
      <c r="AX118" s="137">
        <v>0</v>
      </c>
      <c r="AY118" s="137"/>
      <c r="AZ118" s="137">
        <f t="shared" si="24"/>
        <v>0</v>
      </c>
      <c r="BA118" s="124"/>
      <c r="BB118" s="126" t="s">
        <v>142</v>
      </c>
      <c r="BD118" s="126" t="s">
        <v>102</v>
      </c>
      <c r="BE118" s="137"/>
      <c r="BF118" s="137">
        <v>0</v>
      </c>
      <c r="BG118" s="137"/>
      <c r="BH118" s="137">
        <v>0</v>
      </c>
      <c r="BI118" s="137"/>
      <c r="BJ118" s="137">
        <v>0</v>
      </c>
      <c r="BK118" s="137"/>
      <c r="BL118" s="137">
        <v>0</v>
      </c>
      <c r="BM118" s="137"/>
      <c r="BN118" s="137">
        <f t="shared" si="19"/>
        <v>0</v>
      </c>
      <c r="BO118" s="139"/>
      <c r="BS118" s="140"/>
      <c r="BT118" s="140"/>
      <c r="BU118" s="141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</row>
    <row r="119" spans="1:95" s="35" customFormat="1" ht="12.75" customHeight="1">
      <c r="A119" s="35" t="s">
        <v>143</v>
      </c>
      <c r="B119" s="51"/>
      <c r="C119" s="35" t="s">
        <v>111</v>
      </c>
      <c r="D119" s="44"/>
      <c r="E119" s="53">
        <f t="shared" si="20"/>
        <v>7594845</v>
      </c>
      <c r="F119" s="53"/>
      <c r="G119" s="53">
        <v>28287841</v>
      </c>
      <c r="H119" s="53"/>
      <c r="I119" s="53">
        <v>35882686</v>
      </c>
      <c r="J119" s="53"/>
      <c r="K119" s="53">
        <f t="shared" si="21"/>
        <v>477734</v>
      </c>
      <c r="L119" s="53"/>
      <c r="M119" s="53">
        <v>11431490</v>
      </c>
      <c r="N119" s="53"/>
      <c r="O119" s="53">
        <v>11909224</v>
      </c>
      <c r="P119" s="53"/>
      <c r="Q119" s="53">
        <v>16109962</v>
      </c>
      <c r="R119" s="53"/>
      <c r="S119" s="53">
        <f>200000+605629</f>
        <v>805629</v>
      </c>
      <c r="T119" s="53"/>
      <c r="U119" s="53">
        <v>7057871</v>
      </c>
      <c r="V119" s="53"/>
      <c r="W119" s="53">
        <f t="shared" si="25"/>
        <v>23973462</v>
      </c>
      <c r="X119" s="51"/>
      <c r="Y119" s="51"/>
      <c r="Z119" s="35" t="s">
        <v>143</v>
      </c>
      <c r="AA119" s="53"/>
      <c r="AB119" s="35" t="s">
        <v>111</v>
      </c>
      <c r="AC119" s="51"/>
      <c r="AD119" s="53">
        <v>2969515</v>
      </c>
      <c r="AE119" s="53"/>
      <c r="AF119" s="53">
        <f>2269092-837560</f>
        <v>1431532</v>
      </c>
      <c r="AG119" s="53"/>
      <c r="AH119" s="53">
        <v>837560</v>
      </c>
      <c r="AI119" s="53"/>
      <c r="AJ119" s="45">
        <f t="shared" si="22"/>
        <v>700423</v>
      </c>
      <c r="AK119" s="45"/>
      <c r="AL119" s="53">
        <v>-426768</v>
      </c>
      <c r="AM119" s="45"/>
      <c r="AN119" s="53">
        <v>2812</v>
      </c>
      <c r="AO119" s="53"/>
      <c r="AP119" s="53">
        <v>237429</v>
      </c>
      <c r="AQ119" s="53"/>
      <c r="AR119" s="53">
        <v>0</v>
      </c>
      <c r="AS119" s="53"/>
      <c r="AT119" s="45">
        <f t="shared" si="23"/>
        <v>39038</v>
      </c>
      <c r="AU119" s="45"/>
      <c r="AV119" s="53">
        <v>0</v>
      </c>
      <c r="AW119" s="53"/>
      <c r="AX119" s="53">
        <v>0</v>
      </c>
      <c r="AY119" s="53"/>
      <c r="AZ119" s="53">
        <f t="shared" si="24"/>
        <v>7117111</v>
      </c>
      <c r="BA119" s="51"/>
      <c r="BB119" s="35" t="s">
        <v>143</v>
      </c>
      <c r="BD119" s="35" t="s">
        <v>111</v>
      </c>
      <c r="BE119" s="53"/>
      <c r="BF119" s="53">
        <v>0</v>
      </c>
      <c r="BG119" s="53"/>
      <c r="BH119" s="53">
        <f>5830000+315000</f>
        <v>6145000</v>
      </c>
      <c r="BI119" s="53"/>
      <c r="BJ119" s="53">
        <v>0</v>
      </c>
      <c r="BK119" s="53"/>
      <c r="BL119" s="53">
        <f>42250+59240+5500000+10334</f>
        <v>5611824</v>
      </c>
      <c r="BM119" s="53"/>
      <c r="BN119" s="53">
        <f t="shared" si="19"/>
        <v>11756824</v>
      </c>
      <c r="BO119" s="54"/>
      <c r="BS119" s="55"/>
      <c r="BT119" s="55"/>
      <c r="BU119" s="84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</row>
    <row r="120" spans="1:95" s="35" customFormat="1" ht="12.75" customHeight="1">
      <c r="A120" s="35" t="s">
        <v>144</v>
      </c>
      <c r="B120" s="51"/>
      <c r="C120" s="35" t="s">
        <v>88</v>
      </c>
      <c r="D120" s="44"/>
      <c r="E120" s="53">
        <f t="shared" si="20"/>
        <v>5198097</v>
      </c>
      <c r="F120" s="53"/>
      <c r="G120" s="53">
        <v>56424512</v>
      </c>
      <c r="H120" s="53"/>
      <c r="I120" s="53">
        <v>61622609</v>
      </c>
      <c r="J120" s="53"/>
      <c r="K120" s="53">
        <f t="shared" si="21"/>
        <v>3911861</v>
      </c>
      <c r="L120" s="53"/>
      <c r="M120" s="53">
        <v>35084023</v>
      </c>
      <c r="N120" s="53"/>
      <c r="O120" s="53">
        <v>38995884</v>
      </c>
      <c r="P120" s="53"/>
      <c r="Q120" s="53">
        <v>19684861</v>
      </c>
      <c r="R120" s="53"/>
      <c r="S120" s="53">
        <v>0</v>
      </c>
      <c r="T120" s="53"/>
      <c r="U120" s="53">
        <v>2941864</v>
      </c>
      <c r="V120" s="53"/>
      <c r="W120" s="53">
        <f t="shared" si="25"/>
        <v>22626725</v>
      </c>
      <c r="X120" s="51"/>
      <c r="Y120" s="51"/>
      <c r="Z120" s="35" t="s">
        <v>144</v>
      </c>
      <c r="AA120" s="53"/>
      <c r="AB120" s="35" t="s">
        <v>88</v>
      </c>
      <c r="AC120" s="51"/>
      <c r="AD120" s="53">
        <v>10347062</v>
      </c>
      <c r="AE120" s="53"/>
      <c r="AF120" s="53">
        <f>9234983-967432</f>
        <v>8267551</v>
      </c>
      <c r="AG120" s="53"/>
      <c r="AH120" s="53">
        <v>967432</v>
      </c>
      <c r="AI120" s="53"/>
      <c r="AJ120" s="45">
        <f t="shared" si="22"/>
        <v>1112079</v>
      </c>
      <c r="AK120" s="45"/>
      <c r="AL120" s="53">
        <v>-293458</v>
      </c>
      <c r="AM120" s="45"/>
      <c r="AN120" s="53">
        <v>0</v>
      </c>
      <c r="AO120" s="53"/>
      <c r="AP120" s="53">
        <v>0</v>
      </c>
      <c r="AQ120" s="53"/>
      <c r="AR120" s="53">
        <v>0</v>
      </c>
      <c r="AS120" s="53"/>
      <c r="AT120" s="45">
        <f t="shared" si="23"/>
        <v>818621</v>
      </c>
      <c r="AU120" s="45"/>
      <c r="AV120" s="53">
        <v>0</v>
      </c>
      <c r="AW120" s="53"/>
      <c r="AX120" s="53">
        <v>0</v>
      </c>
      <c r="AY120" s="53"/>
      <c r="AZ120" s="53">
        <f t="shared" si="24"/>
        <v>1286236</v>
      </c>
      <c r="BA120" s="51"/>
      <c r="BB120" s="35" t="s">
        <v>144</v>
      </c>
      <c r="BD120" s="35" t="s">
        <v>88</v>
      </c>
      <c r="BE120" s="53"/>
      <c r="BF120" s="53">
        <f>521118+497882</f>
        <v>1019000</v>
      </c>
      <c r="BG120" s="53"/>
      <c r="BH120" s="53">
        <f>6502334+363175</f>
        <v>6865509</v>
      </c>
      <c r="BI120" s="53"/>
      <c r="BJ120" s="53">
        <v>25936836</v>
      </c>
      <c r="BK120" s="53"/>
      <c r="BL120" s="53">
        <f>506170+54657+1562908+142082+24402</f>
        <v>2290219</v>
      </c>
      <c r="BM120" s="53"/>
      <c r="BN120" s="53">
        <f t="shared" si="19"/>
        <v>36111564</v>
      </c>
      <c r="BO120" s="54"/>
      <c r="BS120" s="55"/>
      <c r="BT120" s="55"/>
      <c r="BU120" s="84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</row>
    <row r="121" spans="1:95" s="35" customFormat="1" ht="12.75" customHeight="1">
      <c r="A121" s="35" t="s">
        <v>36</v>
      </c>
      <c r="B121" s="51"/>
      <c r="C121" s="35" t="s">
        <v>145</v>
      </c>
      <c r="D121" s="44"/>
      <c r="E121" s="53">
        <f t="shared" si="20"/>
        <v>586280</v>
      </c>
      <c r="F121" s="53"/>
      <c r="G121" s="53">
        <v>3739817</v>
      </c>
      <c r="H121" s="53"/>
      <c r="I121" s="53">
        <v>4326097</v>
      </c>
      <c r="J121" s="53"/>
      <c r="K121" s="53">
        <f t="shared" si="21"/>
        <v>280707</v>
      </c>
      <c r="L121" s="53"/>
      <c r="M121" s="53">
        <v>581855</v>
      </c>
      <c r="N121" s="53"/>
      <c r="O121" s="53">
        <v>862562</v>
      </c>
      <c r="P121" s="53"/>
      <c r="Q121" s="53">
        <v>3023281</v>
      </c>
      <c r="R121" s="53"/>
      <c r="S121" s="53">
        <v>0</v>
      </c>
      <c r="T121" s="53"/>
      <c r="U121" s="53">
        <v>440254</v>
      </c>
      <c r="V121" s="53"/>
      <c r="W121" s="53">
        <f t="shared" si="25"/>
        <v>3463535</v>
      </c>
      <c r="X121" s="51"/>
      <c r="Y121" s="51"/>
      <c r="Z121" s="35" t="s">
        <v>36</v>
      </c>
      <c r="AA121" s="53"/>
      <c r="AB121" s="35" t="s">
        <v>145</v>
      </c>
      <c r="AC121" s="51"/>
      <c r="AD121" s="53">
        <v>1363944</v>
      </c>
      <c r="AE121" s="53"/>
      <c r="AF121" s="53">
        <f>1312101-142866</f>
        <v>1169235</v>
      </c>
      <c r="AG121" s="53"/>
      <c r="AH121" s="53">
        <v>142866</v>
      </c>
      <c r="AI121" s="53"/>
      <c r="AJ121" s="45">
        <f t="shared" si="22"/>
        <v>51843</v>
      </c>
      <c r="AK121" s="45"/>
      <c r="AL121" s="53">
        <v>-39125</v>
      </c>
      <c r="AM121" s="45"/>
      <c r="AN121" s="53">
        <v>0</v>
      </c>
      <c r="AO121" s="53"/>
      <c r="AP121" s="53">
        <v>0</v>
      </c>
      <c r="AQ121" s="53"/>
      <c r="AR121" s="53">
        <v>65560</v>
      </c>
      <c r="AS121" s="53"/>
      <c r="AT121" s="45">
        <f t="shared" si="23"/>
        <v>78278</v>
      </c>
      <c r="AU121" s="45"/>
      <c r="AV121" s="53">
        <v>0</v>
      </c>
      <c r="AW121" s="53"/>
      <c r="AX121" s="53">
        <v>0</v>
      </c>
      <c r="AY121" s="53"/>
      <c r="AZ121" s="53">
        <f t="shared" si="24"/>
        <v>305573</v>
      </c>
      <c r="BA121" s="51"/>
      <c r="BB121" s="35" t="s">
        <v>36</v>
      </c>
      <c r="BD121" s="35" t="s">
        <v>145</v>
      </c>
      <c r="BE121" s="53"/>
      <c r="BF121" s="53">
        <f>108636+28452</f>
        <v>137088</v>
      </c>
      <c r="BG121" s="53"/>
      <c r="BH121" s="53">
        <f>437100+132000</f>
        <v>569100</v>
      </c>
      <c r="BI121" s="53"/>
      <c r="BJ121" s="53">
        <v>0</v>
      </c>
      <c r="BK121" s="53"/>
      <c r="BL121" s="53">
        <f>36119+22019</f>
        <v>58138</v>
      </c>
      <c r="BM121" s="53"/>
      <c r="BN121" s="53">
        <f t="shared" si="19"/>
        <v>764326</v>
      </c>
      <c r="BO121" s="54"/>
      <c r="BS121" s="55"/>
      <c r="BT121" s="55"/>
      <c r="BU121" s="84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</row>
    <row r="122" spans="1:95" s="35" customFormat="1" ht="12.75" customHeight="1">
      <c r="A122" s="35" t="s">
        <v>146</v>
      </c>
      <c r="C122" s="35" t="s">
        <v>147</v>
      </c>
      <c r="D122" s="44"/>
      <c r="E122" s="53">
        <f t="shared" si="20"/>
        <v>1567711</v>
      </c>
      <c r="F122" s="53"/>
      <c r="G122" s="53">
        <v>3700885</v>
      </c>
      <c r="H122" s="53"/>
      <c r="I122" s="53">
        <v>5268596</v>
      </c>
      <c r="J122" s="53"/>
      <c r="K122" s="53">
        <f t="shared" si="21"/>
        <v>3916613</v>
      </c>
      <c r="L122" s="53"/>
      <c r="M122" s="53">
        <v>10052399</v>
      </c>
      <c r="N122" s="53"/>
      <c r="O122" s="53">
        <v>13969012</v>
      </c>
      <c r="P122" s="53"/>
      <c r="Q122" s="53">
        <v>2473866</v>
      </c>
      <c r="R122" s="53"/>
      <c r="S122" s="53">
        <v>0</v>
      </c>
      <c r="T122" s="53"/>
      <c r="U122" s="53">
        <v>1425718</v>
      </c>
      <c r="V122" s="53"/>
      <c r="W122" s="53">
        <f t="shared" si="25"/>
        <v>3899584</v>
      </c>
      <c r="Z122" s="35" t="s">
        <v>146</v>
      </c>
      <c r="AA122" s="53"/>
      <c r="AB122" s="35" t="s">
        <v>147</v>
      </c>
      <c r="AD122" s="53">
        <v>1356516</v>
      </c>
      <c r="AE122" s="53"/>
      <c r="AF122" s="53">
        <f>1224246-176502</f>
        <v>1047744</v>
      </c>
      <c r="AG122" s="53"/>
      <c r="AH122" s="53">
        <v>176502</v>
      </c>
      <c r="AI122" s="53"/>
      <c r="AJ122" s="45">
        <f t="shared" si="22"/>
        <v>132270</v>
      </c>
      <c r="AK122" s="45"/>
      <c r="AL122" s="53">
        <v>-46054</v>
      </c>
      <c r="AM122" s="45"/>
      <c r="AN122" s="53">
        <v>0</v>
      </c>
      <c r="AO122" s="53"/>
      <c r="AP122" s="53">
        <v>0</v>
      </c>
      <c r="AQ122" s="53"/>
      <c r="AR122" s="53">
        <v>0</v>
      </c>
      <c r="AS122" s="53"/>
      <c r="AT122" s="45">
        <f t="shared" si="23"/>
        <v>86216</v>
      </c>
      <c r="AU122" s="45"/>
      <c r="AV122" s="53">
        <v>0</v>
      </c>
      <c r="AW122" s="53"/>
      <c r="AX122" s="53">
        <v>0</v>
      </c>
      <c r="AY122" s="53"/>
      <c r="AZ122" s="53">
        <f t="shared" si="24"/>
        <v>-2348902</v>
      </c>
      <c r="BA122" s="51"/>
      <c r="BB122" s="35" t="s">
        <v>146</v>
      </c>
      <c r="BD122" s="35" t="s">
        <v>147</v>
      </c>
      <c r="BE122" s="53"/>
      <c r="BF122" s="53">
        <v>0</v>
      </c>
      <c r="BG122" s="53"/>
      <c r="BH122" s="53">
        <v>0</v>
      </c>
      <c r="BI122" s="53"/>
      <c r="BJ122" s="53">
        <f>990839+12428</f>
        <v>1003267</v>
      </c>
      <c r="BK122" s="53"/>
      <c r="BL122" s="53">
        <f>61560+29996</f>
        <v>91556</v>
      </c>
      <c r="BM122" s="53"/>
      <c r="BN122" s="53">
        <f t="shared" si="19"/>
        <v>1094823</v>
      </c>
      <c r="BO122" s="54"/>
      <c r="BS122" s="55"/>
      <c r="BT122" s="55"/>
      <c r="BU122" s="84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</row>
    <row r="123" spans="1:95" s="35" customFormat="1" ht="12.75" customHeight="1">
      <c r="A123" s="35" t="s">
        <v>17</v>
      </c>
      <c r="C123" s="35" t="s">
        <v>17</v>
      </c>
      <c r="D123" s="44"/>
      <c r="E123" s="53">
        <f t="shared" si="20"/>
        <v>3542969</v>
      </c>
      <c r="F123" s="53"/>
      <c r="G123" s="53">
        <v>27191563</v>
      </c>
      <c r="H123" s="53"/>
      <c r="I123" s="53">
        <v>30734532</v>
      </c>
      <c r="J123" s="53"/>
      <c r="K123" s="53">
        <f t="shared" si="21"/>
        <v>2054965</v>
      </c>
      <c r="L123" s="53"/>
      <c r="M123" s="53">
        <v>13678095</v>
      </c>
      <c r="N123" s="53"/>
      <c r="O123" s="53">
        <v>15733060</v>
      </c>
      <c r="P123" s="53"/>
      <c r="Q123" s="53">
        <v>11317646</v>
      </c>
      <c r="R123" s="53"/>
      <c r="S123" s="53">
        <f>1247862+150000+375043</f>
        <v>1772905</v>
      </c>
      <c r="T123" s="53"/>
      <c r="U123" s="53">
        <v>1910921</v>
      </c>
      <c r="V123" s="53"/>
      <c r="W123" s="53">
        <f t="shared" si="25"/>
        <v>15001472</v>
      </c>
      <c r="X123" s="51"/>
      <c r="Y123" s="51"/>
      <c r="Z123" s="35" t="s">
        <v>17</v>
      </c>
      <c r="AA123" s="53"/>
      <c r="AB123" s="35" t="s">
        <v>17</v>
      </c>
      <c r="AD123" s="53">
        <v>8361324</v>
      </c>
      <c r="AE123" s="53"/>
      <c r="AF123" s="53">
        <f>6502768-789617</f>
        <v>5713151</v>
      </c>
      <c r="AG123" s="53"/>
      <c r="AH123" s="53">
        <v>789617</v>
      </c>
      <c r="AI123" s="53"/>
      <c r="AJ123" s="45">
        <f t="shared" si="22"/>
        <v>1858556</v>
      </c>
      <c r="AK123" s="45"/>
      <c r="AL123" s="53">
        <v>-719288</v>
      </c>
      <c r="AM123" s="45"/>
      <c r="AN123" s="53">
        <v>0</v>
      </c>
      <c r="AO123" s="53"/>
      <c r="AP123" s="53">
        <v>50000</v>
      </c>
      <c r="AQ123" s="53"/>
      <c r="AR123" s="53">
        <v>464849</v>
      </c>
      <c r="AS123" s="53"/>
      <c r="AT123" s="45">
        <f t="shared" si="23"/>
        <v>1554117</v>
      </c>
      <c r="AU123" s="45"/>
      <c r="AV123" s="53">
        <v>0</v>
      </c>
      <c r="AW123" s="53"/>
      <c r="AX123" s="53">
        <v>0</v>
      </c>
      <c r="AY123" s="53"/>
      <c r="AZ123" s="53">
        <f t="shared" si="24"/>
        <v>1488004</v>
      </c>
      <c r="BA123" s="51"/>
      <c r="BB123" s="35" t="s">
        <v>17</v>
      </c>
      <c r="BD123" s="35" t="s">
        <v>17</v>
      </c>
      <c r="BE123" s="53"/>
      <c r="BF123" s="53">
        <f>3848653+772514</f>
        <v>4621167</v>
      </c>
      <c r="BG123" s="53"/>
      <c r="BH123" s="53">
        <v>0</v>
      </c>
      <c r="BI123" s="53"/>
      <c r="BJ123" s="53">
        <f>9382707+553111</f>
        <v>9935818</v>
      </c>
      <c r="BK123" s="53"/>
      <c r="BL123" s="53">
        <f>3499+443236+38762</f>
        <v>485497</v>
      </c>
      <c r="BM123" s="53"/>
      <c r="BN123" s="53">
        <f t="shared" si="19"/>
        <v>15042482</v>
      </c>
      <c r="BO123" s="54"/>
      <c r="BS123" s="55"/>
      <c r="BT123" s="55"/>
      <c r="BU123" s="84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</row>
    <row r="124" spans="1:95" s="35" customFormat="1" ht="12.75" customHeight="1">
      <c r="A124" s="35" t="s">
        <v>148</v>
      </c>
      <c r="C124" s="35" t="s">
        <v>15</v>
      </c>
      <c r="D124" s="44"/>
      <c r="E124" s="53">
        <f t="shared" si="20"/>
        <v>925783</v>
      </c>
      <c r="F124" s="53"/>
      <c r="G124" s="53">
        <v>5680908</v>
      </c>
      <c r="H124" s="53"/>
      <c r="I124" s="53">
        <v>6606691</v>
      </c>
      <c r="J124" s="53"/>
      <c r="K124" s="53">
        <f t="shared" si="21"/>
        <v>247852</v>
      </c>
      <c r="L124" s="53"/>
      <c r="M124" s="53">
        <f>13731+32168+385004+42666+985269</f>
        <v>1458838</v>
      </c>
      <c r="N124" s="53"/>
      <c r="O124" s="53">
        <v>1706690</v>
      </c>
      <c r="P124" s="53"/>
      <c r="Q124" s="53">
        <v>4099130</v>
      </c>
      <c r="R124" s="53"/>
      <c r="S124" s="53">
        <v>0</v>
      </c>
      <c r="T124" s="53"/>
      <c r="U124" s="53">
        <v>800871</v>
      </c>
      <c r="V124" s="53"/>
      <c r="W124" s="53">
        <f t="shared" si="25"/>
        <v>4900001</v>
      </c>
      <c r="Z124" s="35" t="s">
        <v>148</v>
      </c>
      <c r="AA124" s="53"/>
      <c r="AB124" s="35" t="s">
        <v>15</v>
      </c>
      <c r="AD124" s="53">
        <v>872181</v>
      </c>
      <c r="AE124" s="53"/>
      <c r="AF124" s="53">
        <f>1130201-202743</f>
        <v>927458</v>
      </c>
      <c r="AG124" s="53"/>
      <c r="AH124" s="53">
        <v>202743</v>
      </c>
      <c r="AI124" s="53"/>
      <c r="AJ124" s="45">
        <f t="shared" si="22"/>
        <v>-258020</v>
      </c>
      <c r="AK124" s="45"/>
      <c r="AL124" s="53">
        <v>146708</v>
      </c>
      <c r="AM124" s="45"/>
      <c r="AN124" s="53">
        <v>0</v>
      </c>
      <c r="AO124" s="53"/>
      <c r="AP124" s="53">
        <v>0</v>
      </c>
      <c r="AQ124" s="53"/>
      <c r="AR124" s="53">
        <v>0</v>
      </c>
      <c r="AS124" s="53"/>
      <c r="AT124" s="45">
        <f t="shared" si="23"/>
        <v>-111312</v>
      </c>
      <c r="AU124" s="45"/>
      <c r="AV124" s="53">
        <v>0</v>
      </c>
      <c r="AW124" s="53"/>
      <c r="AX124" s="53">
        <v>0</v>
      </c>
      <c r="AY124" s="53"/>
      <c r="AZ124" s="53">
        <f t="shared" si="24"/>
        <v>677931</v>
      </c>
      <c r="BA124" s="51"/>
      <c r="BB124" s="35" t="s">
        <v>148</v>
      </c>
      <c r="BD124" s="35" t="s">
        <v>15</v>
      </c>
      <c r="BE124" s="53"/>
      <c r="BF124" s="53">
        <f>985269+118200</f>
        <v>1103469</v>
      </c>
      <c r="BG124" s="53"/>
      <c r="BH124" s="53">
        <v>0</v>
      </c>
      <c r="BI124" s="53"/>
      <c r="BJ124" s="53">
        <f>385004+42666+48292+2347</f>
        <v>478309</v>
      </c>
      <c r="BK124" s="53"/>
      <c r="BL124" s="53">
        <f>13731+32168+15216+17786</f>
        <v>78901</v>
      </c>
      <c r="BM124" s="53"/>
      <c r="BN124" s="53">
        <f t="shared" si="19"/>
        <v>1660679</v>
      </c>
      <c r="BO124" s="54"/>
      <c r="BS124" s="55"/>
      <c r="BT124" s="55"/>
      <c r="BU124" s="84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</row>
    <row r="125" spans="1:95" s="35" customFormat="1" ht="12.75" customHeight="1">
      <c r="A125" s="35" t="s">
        <v>149</v>
      </c>
      <c r="B125" s="51"/>
      <c r="C125" s="35" t="s">
        <v>45</v>
      </c>
      <c r="D125" s="44"/>
      <c r="E125" s="53">
        <f t="shared" si="20"/>
        <v>1215437</v>
      </c>
      <c r="F125" s="53"/>
      <c r="G125" s="53">
        <f>661773+9217280</f>
        <v>9879053</v>
      </c>
      <c r="H125" s="53"/>
      <c r="I125" s="53">
        <v>11094490</v>
      </c>
      <c r="J125" s="53"/>
      <c r="K125" s="53">
        <f t="shared" si="21"/>
        <v>156854</v>
      </c>
      <c r="L125" s="53"/>
      <c r="M125" s="53">
        <f>43546+934793</f>
        <v>978339</v>
      </c>
      <c r="N125" s="53"/>
      <c r="O125" s="53">
        <v>1135193</v>
      </c>
      <c r="P125" s="53"/>
      <c r="Q125" s="53">
        <v>8824260</v>
      </c>
      <c r="R125" s="53"/>
      <c r="S125" s="53">
        <v>0</v>
      </c>
      <c r="T125" s="53"/>
      <c r="U125" s="53">
        <v>1135037</v>
      </c>
      <c r="V125" s="53"/>
      <c r="W125" s="53">
        <f t="shared" si="25"/>
        <v>9959297</v>
      </c>
      <c r="X125" s="51"/>
      <c r="Y125" s="51"/>
      <c r="Z125" s="35" t="s">
        <v>149</v>
      </c>
      <c r="AA125" s="53"/>
      <c r="AB125" s="35" t="s">
        <v>45</v>
      </c>
      <c r="AC125" s="51"/>
      <c r="AD125" s="53">
        <v>1433636</v>
      </c>
      <c r="AE125" s="53"/>
      <c r="AF125" s="53">
        <f>1505300-315770</f>
        <v>1189530</v>
      </c>
      <c r="AG125" s="53"/>
      <c r="AH125" s="53">
        <v>315770</v>
      </c>
      <c r="AI125" s="53"/>
      <c r="AJ125" s="45">
        <f t="shared" si="22"/>
        <v>-71664</v>
      </c>
      <c r="AK125" s="45"/>
      <c r="AL125" s="53">
        <v>-41590</v>
      </c>
      <c r="AM125" s="45"/>
      <c r="AN125" s="53">
        <v>200000</v>
      </c>
      <c r="AO125" s="53"/>
      <c r="AP125" s="53">
        <v>436750</v>
      </c>
      <c r="AQ125" s="53"/>
      <c r="AR125" s="53">
        <v>0</v>
      </c>
      <c r="AS125" s="53"/>
      <c r="AT125" s="45">
        <f t="shared" si="23"/>
        <v>-350004</v>
      </c>
      <c r="AU125" s="45"/>
      <c r="AV125" s="53">
        <v>0</v>
      </c>
      <c r="AW125" s="53"/>
      <c r="AX125" s="53">
        <v>0</v>
      </c>
      <c r="AY125" s="53"/>
      <c r="AZ125" s="53">
        <f t="shared" si="24"/>
        <v>1058583</v>
      </c>
      <c r="BA125" s="51"/>
      <c r="BB125" s="35" t="s">
        <v>149</v>
      </c>
      <c r="BD125" s="35" t="s">
        <v>45</v>
      </c>
      <c r="BE125" s="53"/>
      <c r="BF125" s="53">
        <f>934793+120000</f>
        <v>1054793</v>
      </c>
      <c r="BG125" s="53"/>
      <c r="BH125" s="53">
        <v>0</v>
      </c>
      <c r="BI125" s="53"/>
      <c r="BJ125" s="53">
        <v>0</v>
      </c>
      <c r="BK125" s="53"/>
      <c r="BL125" s="53">
        <f>43546+8011</f>
        <v>51557</v>
      </c>
      <c r="BM125" s="53"/>
      <c r="BN125" s="53">
        <f t="shared" si="19"/>
        <v>1106350</v>
      </c>
      <c r="BO125" s="54"/>
      <c r="BS125" s="55"/>
      <c r="BT125" s="55"/>
      <c r="BU125" s="84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</row>
    <row r="126" spans="1:95" s="126" customFormat="1" ht="12.75" hidden="1" customHeight="1">
      <c r="A126" s="126" t="s">
        <v>150</v>
      </c>
      <c r="B126" s="124"/>
      <c r="C126" s="126" t="s">
        <v>27</v>
      </c>
      <c r="D126" s="121"/>
      <c r="E126" s="53">
        <f t="shared" si="20"/>
        <v>0</v>
      </c>
      <c r="F126" s="53"/>
      <c r="G126" s="53">
        <v>0</v>
      </c>
      <c r="H126" s="53"/>
      <c r="I126" s="53">
        <v>0</v>
      </c>
      <c r="J126" s="53"/>
      <c r="K126" s="53">
        <f t="shared" si="21"/>
        <v>0</v>
      </c>
      <c r="L126" s="53"/>
      <c r="M126" s="53">
        <v>0</v>
      </c>
      <c r="N126" s="53"/>
      <c r="O126" s="53">
        <v>0</v>
      </c>
      <c r="P126" s="53"/>
      <c r="Q126" s="53">
        <v>0</v>
      </c>
      <c r="R126" s="53"/>
      <c r="S126" s="53">
        <v>0</v>
      </c>
      <c r="T126" s="53"/>
      <c r="U126" s="53">
        <v>0</v>
      </c>
      <c r="V126" s="53"/>
      <c r="W126" s="53">
        <f t="shared" si="25"/>
        <v>0</v>
      </c>
      <c r="X126" s="124"/>
      <c r="Y126" s="124"/>
      <c r="Z126" s="126" t="s">
        <v>150</v>
      </c>
      <c r="AA126" s="137"/>
      <c r="AB126" s="126" t="s">
        <v>27</v>
      </c>
      <c r="AC126" s="124"/>
      <c r="AD126" s="53">
        <v>0</v>
      </c>
      <c r="AE126" s="53"/>
      <c r="AF126" s="53">
        <v>0</v>
      </c>
      <c r="AG126" s="53"/>
      <c r="AH126" s="53">
        <v>0</v>
      </c>
      <c r="AI126" s="53"/>
      <c r="AJ126" s="45">
        <f t="shared" si="22"/>
        <v>0</v>
      </c>
      <c r="AK126" s="45"/>
      <c r="AL126" s="53">
        <v>0</v>
      </c>
      <c r="AM126" s="45"/>
      <c r="AN126" s="53">
        <v>0</v>
      </c>
      <c r="AO126" s="53"/>
      <c r="AP126" s="53">
        <v>0</v>
      </c>
      <c r="AQ126" s="53"/>
      <c r="AR126" s="53">
        <v>0</v>
      </c>
      <c r="AS126" s="53"/>
      <c r="AT126" s="45">
        <f t="shared" si="23"/>
        <v>0</v>
      </c>
      <c r="AU126" s="45"/>
      <c r="AV126" s="53">
        <v>0</v>
      </c>
      <c r="AW126" s="53"/>
      <c r="AX126" s="53">
        <v>0</v>
      </c>
      <c r="AY126" s="53"/>
      <c r="AZ126" s="53">
        <f t="shared" si="24"/>
        <v>0</v>
      </c>
      <c r="BA126" s="124"/>
      <c r="BB126" s="126" t="s">
        <v>150</v>
      </c>
      <c r="BD126" s="126" t="s">
        <v>27</v>
      </c>
      <c r="BE126" s="137"/>
      <c r="BF126" s="53">
        <v>0</v>
      </c>
      <c r="BG126" s="53"/>
      <c r="BH126" s="53">
        <v>0</v>
      </c>
      <c r="BI126" s="53"/>
      <c r="BJ126" s="53">
        <v>0</v>
      </c>
      <c r="BK126" s="53"/>
      <c r="BL126" s="53">
        <v>0</v>
      </c>
      <c r="BM126" s="137"/>
      <c r="BN126" s="137">
        <f t="shared" si="19"/>
        <v>0</v>
      </c>
      <c r="BO126" s="139"/>
      <c r="BS126" s="140"/>
      <c r="BT126" s="140"/>
      <c r="BU126" s="141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</row>
    <row r="127" spans="1:95" s="126" customFormat="1" ht="12.75" hidden="1" customHeight="1">
      <c r="A127" s="126" t="s">
        <v>151</v>
      </c>
      <c r="B127" s="124"/>
      <c r="C127" s="126" t="s">
        <v>13</v>
      </c>
      <c r="D127" s="121"/>
      <c r="E127" s="53">
        <f t="shared" si="20"/>
        <v>0</v>
      </c>
      <c r="F127" s="53"/>
      <c r="G127" s="53">
        <v>0</v>
      </c>
      <c r="H127" s="53"/>
      <c r="I127" s="53">
        <v>0</v>
      </c>
      <c r="J127" s="53"/>
      <c r="K127" s="53">
        <f t="shared" si="21"/>
        <v>0</v>
      </c>
      <c r="L127" s="53"/>
      <c r="M127" s="53">
        <v>0</v>
      </c>
      <c r="N127" s="53"/>
      <c r="O127" s="53">
        <v>0</v>
      </c>
      <c r="P127" s="53"/>
      <c r="Q127" s="53">
        <v>0</v>
      </c>
      <c r="R127" s="53"/>
      <c r="S127" s="53">
        <v>0</v>
      </c>
      <c r="T127" s="53"/>
      <c r="U127" s="53">
        <v>0</v>
      </c>
      <c r="V127" s="53"/>
      <c r="W127" s="53">
        <f t="shared" si="25"/>
        <v>0</v>
      </c>
      <c r="X127" s="124"/>
      <c r="Y127" s="124"/>
      <c r="Z127" s="126" t="s">
        <v>151</v>
      </c>
      <c r="AA127" s="137"/>
      <c r="AB127" s="126" t="s">
        <v>13</v>
      </c>
      <c r="AC127" s="124"/>
      <c r="AD127" s="53">
        <v>0</v>
      </c>
      <c r="AE127" s="53"/>
      <c r="AF127" s="53">
        <v>0</v>
      </c>
      <c r="AG127" s="53"/>
      <c r="AH127" s="53">
        <v>0</v>
      </c>
      <c r="AI127" s="53"/>
      <c r="AJ127" s="45">
        <f t="shared" si="22"/>
        <v>0</v>
      </c>
      <c r="AK127" s="45"/>
      <c r="AL127" s="53">
        <v>0</v>
      </c>
      <c r="AM127" s="45"/>
      <c r="AN127" s="53">
        <v>0</v>
      </c>
      <c r="AO127" s="53"/>
      <c r="AP127" s="53">
        <v>0</v>
      </c>
      <c r="AQ127" s="53"/>
      <c r="AR127" s="53">
        <v>0</v>
      </c>
      <c r="AS127" s="53"/>
      <c r="AT127" s="45">
        <f t="shared" si="23"/>
        <v>0</v>
      </c>
      <c r="AU127" s="45"/>
      <c r="AV127" s="53">
        <v>0</v>
      </c>
      <c r="AW127" s="53"/>
      <c r="AX127" s="53">
        <v>0</v>
      </c>
      <c r="AY127" s="53"/>
      <c r="AZ127" s="53">
        <f t="shared" si="24"/>
        <v>0</v>
      </c>
      <c r="BA127" s="124"/>
      <c r="BB127" s="126" t="s">
        <v>151</v>
      </c>
      <c r="BD127" s="126" t="s">
        <v>13</v>
      </c>
      <c r="BE127" s="137"/>
      <c r="BF127" s="53">
        <v>0</v>
      </c>
      <c r="BG127" s="53"/>
      <c r="BH127" s="53">
        <v>0</v>
      </c>
      <c r="BI127" s="53"/>
      <c r="BJ127" s="53">
        <v>0</v>
      </c>
      <c r="BK127" s="53"/>
      <c r="BL127" s="53">
        <v>0</v>
      </c>
      <c r="BM127" s="137"/>
      <c r="BN127" s="137">
        <f t="shared" si="19"/>
        <v>0</v>
      </c>
      <c r="BO127" s="139"/>
      <c r="BS127" s="140"/>
      <c r="BT127" s="140"/>
      <c r="BU127" s="141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</row>
    <row r="128" spans="1:95" s="35" customFormat="1" ht="12.75" customHeight="1">
      <c r="A128" s="35" t="s">
        <v>152</v>
      </c>
      <c r="B128" s="51"/>
      <c r="C128" s="35" t="s">
        <v>153</v>
      </c>
      <c r="D128" s="44"/>
      <c r="E128" s="53">
        <f t="shared" si="20"/>
        <v>5589403</v>
      </c>
      <c r="F128" s="53"/>
      <c r="G128" s="53">
        <v>10930264</v>
      </c>
      <c r="H128" s="53"/>
      <c r="I128" s="53">
        <v>16519667</v>
      </c>
      <c r="J128" s="53"/>
      <c r="K128" s="53">
        <f t="shared" si="21"/>
        <v>640176</v>
      </c>
      <c r="L128" s="53"/>
      <c r="M128" s="53">
        <v>1759538</v>
      </c>
      <c r="N128" s="53"/>
      <c r="O128" s="53">
        <v>2399714</v>
      </c>
      <c r="P128" s="53"/>
      <c r="Q128" s="53">
        <v>9260442</v>
      </c>
      <c r="R128" s="53"/>
      <c r="S128" s="53">
        <v>0</v>
      </c>
      <c r="T128" s="53"/>
      <c r="U128" s="53">
        <v>4859511</v>
      </c>
      <c r="V128" s="53"/>
      <c r="W128" s="53">
        <f t="shared" si="25"/>
        <v>14119953</v>
      </c>
      <c r="X128" s="51"/>
      <c r="Y128" s="51"/>
      <c r="Z128" s="35" t="s">
        <v>152</v>
      </c>
      <c r="AA128" s="53"/>
      <c r="AB128" s="35" t="s">
        <v>153</v>
      </c>
      <c r="AC128" s="51"/>
      <c r="AD128" s="53">
        <v>8041727</v>
      </c>
      <c r="AE128" s="53"/>
      <c r="AF128" s="53">
        <f>6032025-672187</f>
        <v>5359838</v>
      </c>
      <c r="AG128" s="53"/>
      <c r="AH128" s="53">
        <v>672187</v>
      </c>
      <c r="AI128" s="53"/>
      <c r="AJ128" s="45">
        <f t="shared" si="22"/>
        <v>2009702</v>
      </c>
      <c r="AK128" s="45"/>
      <c r="AL128" s="53">
        <v>-56862</v>
      </c>
      <c r="AM128" s="45"/>
      <c r="AN128" s="53">
        <v>527882</v>
      </c>
      <c r="AO128" s="53"/>
      <c r="AP128" s="53">
        <v>0</v>
      </c>
      <c r="AQ128" s="53"/>
      <c r="AR128" s="53">
        <v>336107</v>
      </c>
      <c r="AS128" s="53"/>
      <c r="AT128" s="45">
        <f t="shared" si="23"/>
        <v>2816829</v>
      </c>
      <c r="AU128" s="45"/>
      <c r="AV128" s="53">
        <v>0</v>
      </c>
      <c r="AW128" s="53"/>
      <c r="AX128" s="53">
        <v>0</v>
      </c>
      <c r="AY128" s="53"/>
      <c r="AZ128" s="53">
        <f t="shared" si="24"/>
        <v>4949227</v>
      </c>
      <c r="BA128" s="51"/>
      <c r="BB128" s="35" t="s">
        <v>152</v>
      </c>
      <c r="BD128" s="35" t="s">
        <v>153</v>
      </c>
      <c r="BE128" s="53"/>
      <c r="BF128" s="53">
        <f>640000+420000</f>
        <v>1060000</v>
      </c>
      <c r="BG128" s="53"/>
      <c r="BH128" s="53">
        <v>0</v>
      </c>
      <c r="BI128" s="53"/>
      <c r="BJ128" s="53">
        <v>0</v>
      </c>
      <c r="BK128" s="53"/>
      <c r="BL128" s="53">
        <f>600131+519407+9691</f>
        <v>1129229</v>
      </c>
      <c r="BM128" s="53"/>
      <c r="BN128" s="53">
        <f t="shared" si="19"/>
        <v>2189229</v>
      </c>
      <c r="BO128" s="54"/>
      <c r="BS128" s="55"/>
      <c r="BT128" s="55"/>
      <c r="BU128" s="84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</row>
    <row r="129" spans="1:95" s="126" customFormat="1" ht="12.75" hidden="1" customHeight="1">
      <c r="A129" s="126" t="s">
        <v>154</v>
      </c>
      <c r="B129" s="124"/>
      <c r="C129" s="126" t="s">
        <v>27</v>
      </c>
      <c r="D129" s="121"/>
      <c r="E129" s="53">
        <f t="shared" si="20"/>
        <v>0</v>
      </c>
      <c r="F129" s="53"/>
      <c r="G129" s="53">
        <v>0</v>
      </c>
      <c r="H129" s="53"/>
      <c r="I129" s="53">
        <v>0</v>
      </c>
      <c r="J129" s="53"/>
      <c r="K129" s="53">
        <f t="shared" si="21"/>
        <v>0</v>
      </c>
      <c r="L129" s="53"/>
      <c r="M129" s="53">
        <v>0</v>
      </c>
      <c r="N129" s="53"/>
      <c r="O129" s="53">
        <v>0</v>
      </c>
      <c r="P129" s="53"/>
      <c r="Q129" s="53">
        <v>0</v>
      </c>
      <c r="R129" s="53"/>
      <c r="S129" s="53">
        <v>0</v>
      </c>
      <c r="T129" s="53"/>
      <c r="U129" s="53">
        <v>0</v>
      </c>
      <c r="V129" s="53"/>
      <c r="W129" s="53">
        <f t="shared" si="25"/>
        <v>0</v>
      </c>
      <c r="X129" s="124"/>
      <c r="Y129" s="124"/>
      <c r="Z129" s="126" t="s">
        <v>154</v>
      </c>
      <c r="AA129" s="137"/>
      <c r="AB129" s="126" t="s">
        <v>27</v>
      </c>
      <c r="AC129" s="124"/>
      <c r="AD129" s="53">
        <v>0</v>
      </c>
      <c r="AE129" s="53"/>
      <c r="AF129" s="53">
        <v>0</v>
      </c>
      <c r="AG129" s="53"/>
      <c r="AH129" s="53">
        <v>0</v>
      </c>
      <c r="AI129" s="53"/>
      <c r="AJ129" s="45">
        <f t="shared" si="22"/>
        <v>0</v>
      </c>
      <c r="AK129" s="45"/>
      <c r="AL129" s="53">
        <v>0</v>
      </c>
      <c r="AM129" s="45"/>
      <c r="AN129" s="53">
        <v>0</v>
      </c>
      <c r="AO129" s="53"/>
      <c r="AP129" s="53">
        <v>0</v>
      </c>
      <c r="AQ129" s="53"/>
      <c r="AR129" s="53">
        <v>0</v>
      </c>
      <c r="AS129" s="53"/>
      <c r="AT129" s="45">
        <f t="shared" si="23"/>
        <v>0</v>
      </c>
      <c r="AU129" s="45"/>
      <c r="AV129" s="53">
        <v>0</v>
      </c>
      <c r="AW129" s="53"/>
      <c r="AX129" s="53">
        <v>0</v>
      </c>
      <c r="AY129" s="53"/>
      <c r="AZ129" s="53">
        <f t="shared" si="24"/>
        <v>0</v>
      </c>
      <c r="BA129" s="124"/>
      <c r="BB129" s="126" t="s">
        <v>154</v>
      </c>
      <c r="BD129" s="126" t="s">
        <v>27</v>
      </c>
      <c r="BE129" s="137"/>
      <c r="BF129" s="53">
        <v>0</v>
      </c>
      <c r="BG129" s="53"/>
      <c r="BH129" s="53">
        <v>0</v>
      </c>
      <c r="BI129" s="53"/>
      <c r="BJ129" s="53">
        <v>0</v>
      </c>
      <c r="BK129" s="53"/>
      <c r="BL129" s="53">
        <v>0</v>
      </c>
      <c r="BM129" s="137"/>
      <c r="BN129" s="137">
        <f t="shared" si="19"/>
        <v>0</v>
      </c>
      <c r="BO129" s="139"/>
      <c r="BS129" s="140"/>
      <c r="BT129" s="140"/>
      <c r="BU129" s="141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</row>
    <row r="130" spans="1:95" s="35" customFormat="1" ht="12.75" customHeight="1">
      <c r="A130" s="35" t="s">
        <v>155</v>
      </c>
      <c r="C130" s="35" t="s">
        <v>40</v>
      </c>
      <c r="D130" s="44"/>
      <c r="E130" s="53">
        <f t="shared" si="20"/>
        <v>1996626</v>
      </c>
      <c r="F130" s="53"/>
      <c r="G130" s="53">
        <v>5107963</v>
      </c>
      <c r="H130" s="53"/>
      <c r="I130" s="53">
        <v>7104589</v>
      </c>
      <c r="J130" s="53"/>
      <c r="K130" s="53">
        <f t="shared" si="21"/>
        <v>-4497793</v>
      </c>
      <c r="L130" s="53"/>
      <c r="M130" s="53">
        <v>5077300</v>
      </c>
      <c r="N130" s="53"/>
      <c r="O130" s="53">
        <v>579507</v>
      </c>
      <c r="P130" s="53"/>
      <c r="Q130" s="53">
        <v>1105133</v>
      </c>
      <c r="R130" s="53"/>
      <c r="S130" s="53">
        <v>22917</v>
      </c>
      <c r="T130" s="53"/>
      <c r="U130" s="53">
        <v>217032</v>
      </c>
      <c r="V130" s="53"/>
      <c r="W130" s="53">
        <f t="shared" si="25"/>
        <v>1345082</v>
      </c>
      <c r="Z130" s="35" t="s">
        <v>155</v>
      </c>
      <c r="AA130" s="53"/>
      <c r="AB130" s="35" t="s">
        <v>40</v>
      </c>
      <c r="AD130" s="53">
        <v>3000028</v>
      </c>
      <c r="AE130" s="53"/>
      <c r="AF130" s="53">
        <f>2969522-496626</f>
        <v>2472896</v>
      </c>
      <c r="AG130" s="53"/>
      <c r="AH130" s="53">
        <v>496626</v>
      </c>
      <c r="AI130" s="53"/>
      <c r="AJ130" s="45">
        <f t="shared" si="22"/>
        <v>30506</v>
      </c>
      <c r="AK130" s="45"/>
      <c r="AL130" s="53">
        <v>-200541</v>
      </c>
      <c r="AM130" s="45"/>
      <c r="AN130" s="53">
        <v>0</v>
      </c>
      <c r="AO130" s="53"/>
      <c r="AP130" s="53">
        <v>0</v>
      </c>
      <c r="AQ130" s="53"/>
      <c r="AR130" s="53">
        <v>0</v>
      </c>
      <c r="AS130" s="53"/>
      <c r="AT130" s="45">
        <f t="shared" si="23"/>
        <v>-170035</v>
      </c>
      <c r="AU130" s="45"/>
      <c r="AV130" s="53">
        <v>0</v>
      </c>
      <c r="AW130" s="53"/>
      <c r="AX130" s="53">
        <v>0</v>
      </c>
      <c r="AY130" s="53"/>
      <c r="AZ130" s="53">
        <f t="shared" si="24"/>
        <v>6494419</v>
      </c>
      <c r="BA130" s="65"/>
      <c r="BB130" s="35" t="s">
        <v>155</v>
      </c>
      <c r="BD130" s="35" t="s">
        <v>40</v>
      </c>
      <c r="BE130" s="53"/>
      <c r="BF130" s="53">
        <f>3221450+275000</f>
        <v>3496450</v>
      </c>
      <c r="BG130" s="53"/>
      <c r="BH130" s="53">
        <v>0</v>
      </c>
      <c r="BI130" s="53"/>
      <c r="BJ130" s="53">
        <f>485427+20953</f>
        <v>506380</v>
      </c>
      <c r="BK130" s="53"/>
      <c r="BL130" s="53">
        <f>100567+152856+1117000+50000</f>
        <v>1420423</v>
      </c>
      <c r="BM130" s="53"/>
      <c r="BN130" s="53">
        <f t="shared" si="19"/>
        <v>5423253</v>
      </c>
      <c r="BO130" s="54"/>
      <c r="BS130" s="55"/>
      <c r="BT130" s="55"/>
      <c r="BU130" s="84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</row>
    <row r="131" spans="1:95" s="126" customFormat="1" ht="12.75" hidden="1" customHeight="1">
      <c r="A131" s="126" t="s">
        <v>156</v>
      </c>
      <c r="B131" s="124"/>
      <c r="C131" s="126" t="s">
        <v>156</v>
      </c>
      <c r="D131" s="121"/>
      <c r="E131" s="53">
        <f t="shared" si="20"/>
        <v>0</v>
      </c>
      <c r="F131" s="53"/>
      <c r="G131" s="53">
        <v>0</v>
      </c>
      <c r="H131" s="53"/>
      <c r="I131" s="53">
        <v>0</v>
      </c>
      <c r="J131" s="53"/>
      <c r="K131" s="53">
        <f t="shared" si="21"/>
        <v>0</v>
      </c>
      <c r="L131" s="53"/>
      <c r="M131" s="53">
        <v>0</v>
      </c>
      <c r="N131" s="53"/>
      <c r="O131" s="53">
        <v>0</v>
      </c>
      <c r="P131" s="53"/>
      <c r="Q131" s="53">
        <v>0</v>
      </c>
      <c r="R131" s="53"/>
      <c r="S131" s="53">
        <v>0</v>
      </c>
      <c r="T131" s="53"/>
      <c r="U131" s="53">
        <v>0</v>
      </c>
      <c r="V131" s="53"/>
      <c r="W131" s="53">
        <f t="shared" si="25"/>
        <v>0</v>
      </c>
      <c r="X131" s="124"/>
      <c r="Y131" s="124"/>
      <c r="Z131" s="126" t="s">
        <v>156</v>
      </c>
      <c r="AA131" s="137"/>
      <c r="AB131" s="126" t="s">
        <v>156</v>
      </c>
      <c r="AC131" s="124"/>
      <c r="AD131" s="53">
        <v>0</v>
      </c>
      <c r="AE131" s="53"/>
      <c r="AF131" s="53">
        <v>0</v>
      </c>
      <c r="AG131" s="53"/>
      <c r="AH131" s="53">
        <v>0</v>
      </c>
      <c r="AI131" s="53"/>
      <c r="AJ131" s="45">
        <f t="shared" si="22"/>
        <v>0</v>
      </c>
      <c r="AK131" s="45"/>
      <c r="AL131" s="53">
        <v>0</v>
      </c>
      <c r="AM131" s="45"/>
      <c r="AN131" s="53">
        <v>0</v>
      </c>
      <c r="AO131" s="53"/>
      <c r="AP131" s="53">
        <v>0</v>
      </c>
      <c r="AQ131" s="53"/>
      <c r="AR131" s="53">
        <v>0</v>
      </c>
      <c r="AS131" s="53"/>
      <c r="AT131" s="45">
        <f t="shared" si="23"/>
        <v>0</v>
      </c>
      <c r="AU131" s="45"/>
      <c r="AV131" s="53">
        <v>0</v>
      </c>
      <c r="AW131" s="53"/>
      <c r="AX131" s="53">
        <v>0</v>
      </c>
      <c r="AY131" s="53"/>
      <c r="AZ131" s="53">
        <f t="shared" si="24"/>
        <v>0</v>
      </c>
      <c r="BA131" s="124"/>
      <c r="BB131" s="126" t="s">
        <v>156</v>
      </c>
      <c r="BD131" s="126" t="s">
        <v>156</v>
      </c>
      <c r="BE131" s="137"/>
      <c r="BF131" s="53">
        <v>0</v>
      </c>
      <c r="BG131" s="53"/>
      <c r="BH131" s="53">
        <v>0</v>
      </c>
      <c r="BI131" s="53"/>
      <c r="BJ131" s="53">
        <v>0</v>
      </c>
      <c r="BK131" s="53"/>
      <c r="BL131" s="53">
        <v>0</v>
      </c>
      <c r="BM131" s="137"/>
      <c r="BN131" s="137">
        <f t="shared" si="19"/>
        <v>0</v>
      </c>
      <c r="BO131" s="139"/>
      <c r="BS131" s="140"/>
      <c r="BT131" s="140"/>
      <c r="BU131" s="141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</row>
    <row r="132" spans="1:95" s="35" customFormat="1" ht="12.75" customHeight="1">
      <c r="A132" s="35" t="s">
        <v>157</v>
      </c>
      <c r="B132" s="51"/>
      <c r="C132" s="35" t="s">
        <v>33</v>
      </c>
      <c r="D132" s="44"/>
      <c r="E132" s="53">
        <f t="shared" si="20"/>
        <v>688702</v>
      </c>
      <c r="F132" s="53"/>
      <c r="G132" s="53">
        <v>13185159</v>
      </c>
      <c r="H132" s="53"/>
      <c r="I132" s="53">
        <v>13873861</v>
      </c>
      <c r="J132" s="53"/>
      <c r="K132" s="53">
        <f t="shared" si="21"/>
        <v>733625</v>
      </c>
      <c r="L132" s="53"/>
      <c r="M132" s="53">
        <v>7901130</v>
      </c>
      <c r="N132" s="53"/>
      <c r="O132" s="53">
        <v>8634755</v>
      </c>
      <c r="P132" s="53"/>
      <c r="Q132" s="53">
        <v>4741783</v>
      </c>
      <c r="R132" s="53"/>
      <c r="S132" s="53">
        <v>0</v>
      </c>
      <c r="T132" s="53"/>
      <c r="U132" s="53">
        <v>497323</v>
      </c>
      <c r="V132" s="53"/>
      <c r="W132" s="53">
        <f t="shared" si="25"/>
        <v>5239106</v>
      </c>
      <c r="X132" s="51"/>
      <c r="Y132" s="51"/>
      <c r="Z132" s="35" t="s">
        <v>157</v>
      </c>
      <c r="AA132" s="53"/>
      <c r="AB132" s="35" t="s">
        <v>33</v>
      </c>
      <c r="AC132" s="51"/>
      <c r="AD132" s="53">
        <v>2881428</v>
      </c>
      <c r="AE132" s="53"/>
      <c r="AF132" s="53">
        <f>2354513-567149</f>
        <v>1787364</v>
      </c>
      <c r="AG132" s="53"/>
      <c r="AH132" s="53">
        <v>567149</v>
      </c>
      <c r="AI132" s="53"/>
      <c r="AJ132" s="45">
        <f t="shared" si="22"/>
        <v>526915</v>
      </c>
      <c r="AK132" s="45"/>
      <c r="AL132" s="53">
        <v>3693</v>
      </c>
      <c r="AM132" s="45"/>
      <c r="AN132" s="53">
        <v>0</v>
      </c>
      <c r="AO132" s="53"/>
      <c r="AP132" s="53">
        <v>0</v>
      </c>
      <c r="AQ132" s="53"/>
      <c r="AR132" s="53">
        <v>60422</v>
      </c>
      <c r="AS132" s="53"/>
      <c r="AT132" s="45">
        <f t="shared" si="23"/>
        <v>591030</v>
      </c>
      <c r="AU132" s="45"/>
      <c r="AV132" s="53">
        <v>0</v>
      </c>
      <c r="AW132" s="53"/>
      <c r="AX132" s="53">
        <v>0</v>
      </c>
      <c r="AY132" s="53"/>
      <c r="AZ132" s="53">
        <f t="shared" si="24"/>
        <v>-44923</v>
      </c>
      <c r="BA132" s="51"/>
      <c r="BB132" s="35" t="s">
        <v>157</v>
      </c>
      <c r="BD132" s="35" t="s">
        <v>33</v>
      </c>
      <c r="BE132" s="53"/>
      <c r="BF132" s="53">
        <v>0</v>
      </c>
      <c r="BG132" s="53"/>
      <c r="BH132" s="53">
        <v>0</v>
      </c>
      <c r="BI132" s="53"/>
      <c r="BJ132" s="53">
        <f>697696+7111052+46316+583322</f>
        <v>8438386</v>
      </c>
      <c r="BK132" s="53"/>
      <c r="BL132" s="53">
        <f>28140+64242</f>
        <v>92382</v>
      </c>
      <c r="BM132" s="53"/>
      <c r="BN132" s="53">
        <f t="shared" si="19"/>
        <v>8530768</v>
      </c>
      <c r="BO132" s="54"/>
      <c r="BS132" s="55"/>
      <c r="BT132" s="55"/>
      <c r="BU132" s="84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</row>
    <row r="133" spans="1:95" s="35" customFormat="1" ht="12.75" customHeight="1">
      <c r="A133" s="35" t="s">
        <v>158</v>
      </c>
      <c r="B133" s="51"/>
      <c r="C133" s="35" t="s">
        <v>159</v>
      </c>
      <c r="D133" s="44"/>
      <c r="E133" s="53">
        <f t="shared" si="20"/>
        <v>20249180</v>
      </c>
      <c r="F133" s="53"/>
      <c r="G133" s="53">
        <v>38875642</v>
      </c>
      <c r="H133" s="53"/>
      <c r="I133" s="53">
        <v>59124822</v>
      </c>
      <c r="J133" s="53"/>
      <c r="K133" s="53">
        <f t="shared" si="21"/>
        <v>3092368</v>
      </c>
      <c r="L133" s="53"/>
      <c r="M133" s="53">
        <v>30369359</v>
      </c>
      <c r="N133" s="53"/>
      <c r="O133" s="53">
        <v>33461727</v>
      </c>
      <c r="P133" s="53"/>
      <c r="Q133" s="53">
        <v>5891315</v>
      </c>
      <c r="R133" s="53"/>
      <c r="S133" s="53">
        <v>0</v>
      </c>
      <c r="T133" s="53"/>
      <c r="U133" s="53">
        <v>19771780</v>
      </c>
      <c r="V133" s="53"/>
      <c r="W133" s="53">
        <f t="shared" si="25"/>
        <v>25663095</v>
      </c>
      <c r="X133" s="51"/>
      <c r="Y133" s="51"/>
      <c r="Z133" s="35" t="s">
        <v>158</v>
      </c>
      <c r="AA133" s="53"/>
      <c r="AB133" s="35" t="s">
        <v>159</v>
      </c>
      <c r="AC133" s="51"/>
      <c r="AD133" s="53">
        <v>7112359</v>
      </c>
      <c r="AE133" s="53"/>
      <c r="AF133" s="53">
        <f>4147882-1229177</f>
        <v>2918705</v>
      </c>
      <c r="AG133" s="53"/>
      <c r="AH133" s="53">
        <v>1229177</v>
      </c>
      <c r="AI133" s="53"/>
      <c r="AJ133" s="45">
        <f t="shared" si="22"/>
        <v>2964477</v>
      </c>
      <c r="AK133" s="45"/>
      <c r="AL133" s="53">
        <v>-1354318</v>
      </c>
      <c r="AM133" s="45"/>
      <c r="AN133" s="53">
        <v>0</v>
      </c>
      <c r="AO133" s="53"/>
      <c r="AP133" s="53">
        <v>0</v>
      </c>
      <c r="AQ133" s="53"/>
      <c r="AR133" s="53">
        <v>0</v>
      </c>
      <c r="AS133" s="53"/>
      <c r="AT133" s="45">
        <f t="shared" si="23"/>
        <v>1610159</v>
      </c>
      <c r="AU133" s="45"/>
      <c r="AV133" s="53">
        <v>0</v>
      </c>
      <c r="AW133" s="53"/>
      <c r="AX133" s="53">
        <v>0</v>
      </c>
      <c r="AY133" s="53"/>
      <c r="AZ133" s="53">
        <f t="shared" si="24"/>
        <v>17156812</v>
      </c>
      <c r="BA133" s="51"/>
      <c r="BB133" s="35" t="s">
        <v>158</v>
      </c>
      <c r="BD133" s="35" t="s">
        <v>159</v>
      </c>
      <c r="BE133" s="53"/>
      <c r="BF133" s="53">
        <f>238645+365050</f>
        <v>603695</v>
      </c>
      <c r="BG133" s="53"/>
      <c r="BH133" s="53">
        <f>29353981+737438</f>
        <v>30091419</v>
      </c>
      <c r="BI133" s="53"/>
      <c r="BJ133" s="53">
        <f>576579+14784</f>
        <v>591363</v>
      </c>
      <c r="BK133" s="53"/>
      <c r="BL133" s="53">
        <f>88259+73749</f>
        <v>162008</v>
      </c>
      <c r="BM133" s="53"/>
      <c r="BN133" s="53">
        <f t="shared" si="19"/>
        <v>31448485</v>
      </c>
      <c r="BO133" s="54"/>
      <c r="BS133" s="55"/>
      <c r="BT133" s="55"/>
      <c r="BU133" s="84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</row>
    <row r="134" spans="1:95" s="35" customFormat="1" ht="12.75" hidden="1" customHeight="1">
      <c r="A134" s="35" t="s">
        <v>160</v>
      </c>
      <c r="B134" s="51"/>
      <c r="C134" s="35" t="s">
        <v>111</v>
      </c>
      <c r="D134" s="44"/>
      <c r="E134" s="53">
        <f t="shared" si="20"/>
        <v>0</v>
      </c>
      <c r="F134" s="53"/>
      <c r="G134" s="53">
        <v>0</v>
      </c>
      <c r="H134" s="53"/>
      <c r="I134" s="53">
        <v>0</v>
      </c>
      <c r="J134" s="53"/>
      <c r="K134" s="53">
        <f t="shared" si="21"/>
        <v>0</v>
      </c>
      <c r="L134" s="53"/>
      <c r="M134" s="53">
        <v>0</v>
      </c>
      <c r="N134" s="53"/>
      <c r="O134" s="53">
        <v>0</v>
      </c>
      <c r="P134" s="53"/>
      <c r="Q134" s="53">
        <v>0</v>
      </c>
      <c r="R134" s="53"/>
      <c r="S134" s="53">
        <v>0</v>
      </c>
      <c r="T134" s="53"/>
      <c r="U134" s="53">
        <v>0</v>
      </c>
      <c r="V134" s="53"/>
      <c r="W134" s="53">
        <f t="shared" si="25"/>
        <v>0</v>
      </c>
      <c r="X134" s="51"/>
      <c r="Y134" s="51"/>
      <c r="Z134" s="35" t="s">
        <v>160</v>
      </c>
      <c r="AA134" s="53"/>
      <c r="AB134" s="35" t="s">
        <v>111</v>
      </c>
      <c r="AC134" s="51"/>
      <c r="AD134" s="53">
        <v>0</v>
      </c>
      <c r="AE134" s="53"/>
      <c r="AF134" s="53">
        <v>0</v>
      </c>
      <c r="AG134" s="53"/>
      <c r="AH134" s="53">
        <v>0</v>
      </c>
      <c r="AI134" s="53"/>
      <c r="AJ134" s="45">
        <f t="shared" si="22"/>
        <v>0</v>
      </c>
      <c r="AK134" s="45"/>
      <c r="AL134" s="53">
        <v>0</v>
      </c>
      <c r="AM134" s="45"/>
      <c r="AN134" s="53">
        <v>0</v>
      </c>
      <c r="AO134" s="53"/>
      <c r="AP134" s="53">
        <v>0</v>
      </c>
      <c r="AQ134" s="53"/>
      <c r="AR134" s="53">
        <v>0</v>
      </c>
      <c r="AS134" s="53"/>
      <c r="AT134" s="45">
        <f t="shared" si="23"/>
        <v>0</v>
      </c>
      <c r="AU134" s="45"/>
      <c r="AV134" s="53">
        <v>0</v>
      </c>
      <c r="AW134" s="53"/>
      <c r="AX134" s="53">
        <v>0</v>
      </c>
      <c r="AY134" s="53"/>
      <c r="AZ134" s="53">
        <f t="shared" si="24"/>
        <v>0</v>
      </c>
      <c r="BA134" s="51"/>
      <c r="BB134" s="35" t="s">
        <v>160</v>
      </c>
      <c r="BD134" s="35" t="s">
        <v>111</v>
      </c>
      <c r="BE134" s="53"/>
      <c r="BF134" s="53">
        <v>0</v>
      </c>
      <c r="BG134" s="53"/>
      <c r="BH134" s="53">
        <v>0</v>
      </c>
      <c r="BI134" s="53"/>
      <c r="BJ134" s="53">
        <v>0</v>
      </c>
      <c r="BK134" s="53"/>
      <c r="BL134" s="53">
        <v>0</v>
      </c>
      <c r="BM134" s="53"/>
      <c r="BN134" s="53">
        <f t="shared" si="19"/>
        <v>0</v>
      </c>
      <c r="BO134" s="54"/>
      <c r="BS134" s="55"/>
      <c r="BT134" s="55"/>
      <c r="BU134" s="84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</row>
    <row r="135" spans="1:95" s="126" customFormat="1" ht="12.75" hidden="1" customHeight="1">
      <c r="A135" s="126" t="s">
        <v>161</v>
      </c>
      <c r="B135" s="124"/>
      <c r="C135" s="126" t="s">
        <v>15</v>
      </c>
      <c r="D135" s="121"/>
      <c r="E135" s="53">
        <f t="shared" si="20"/>
        <v>0</v>
      </c>
      <c r="F135" s="53"/>
      <c r="G135" s="53">
        <v>0</v>
      </c>
      <c r="H135" s="53"/>
      <c r="I135" s="53">
        <v>0</v>
      </c>
      <c r="J135" s="53"/>
      <c r="K135" s="53">
        <f t="shared" si="21"/>
        <v>0</v>
      </c>
      <c r="L135" s="53"/>
      <c r="M135" s="53">
        <v>0</v>
      </c>
      <c r="N135" s="53"/>
      <c r="O135" s="53">
        <v>0</v>
      </c>
      <c r="P135" s="53"/>
      <c r="Q135" s="53">
        <v>0</v>
      </c>
      <c r="R135" s="53"/>
      <c r="S135" s="53">
        <v>0</v>
      </c>
      <c r="T135" s="53"/>
      <c r="U135" s="53">
        <v>0</v>
      </c>
      <c r="V135" s="53"/>
      <c r="W135" s="53">
        <f t="shared" si="25"/>
        <v>0</v>
      </c>
      <c r="X135" s="124"/>
      <c r="Y135" s="124"/>
      <c r="Z135" s="126" t="s">
        <v>161</v>
      </c>
      <c r="AA135" s="137"/>
      <c r="AB135" s="126" t="s">
        <v>15</v>
      </c>
      <c r="AC135" s="124"/>
      <c r="AD135" s="53">
        <v>0</v>
      </c>
      <c r="AE135" s="53"/>
      <c r="AF135" s="53">
        <v>0</v>
      </c>
      <c r="AG135" s="53"/>
      <c r="AH135" s="53">
        <v>0</v>
      </c>
      <c r="AI135" s="53"/>
      <c r="AJ135" s="45">
        <f t="shared" si="22"/>
        <v>0</v>
      </c>
      <c r="AK135" s="45"/>
      <c r="AL135" s="53">
        <v>0</v>
      </c>
      <c r="AM135" s="45"/>
      <c r="AN135" s="53">
        <v>0</v>
      </c>
      <c r="AO135" s="53"/>
      <c r="AP135" s="53">
        <v>0</v>
      </c>
      <c r="AQ135" s="53"/>
      <c r="AR135" s="53">
        <v>0</v>
      </c>
      <c r="AS135" s="53"/>
      <c r="AT135" s="45">
        <f t="shared" si="23"/>
        <v>0</v>
      </c>
      <c r="AU135" s="45"/>
      <c r="AV135" s="53">
        <v>0</v>
      </c>
      <c r="AW135" s="53"/>
      <c r="AX135" s="53">
        <v>0</v>
      </c>
      <c r="AY135" s="53"/>
      <c r="AZ135" s="53">
        <f t="shared" si="24"/>
        <v>0</v>
      </c>
      <c r="BA135" s="124"/>
      <c r="BB135" s="126" t="s">
        <v>161</v>
      </c>
      <c r="BD135" s="126" t="s">
        <v>15</v>
      </c>
      <c r="BE135" s="137"/>
      <c r="BF135" s="53">
        <v>0</v>
      </c>
      <c r="BG135" s="53"/>
      <c r="BH135" s="53">
        <v>0</v>
      </c>
      <c r="BI135" s="53"/>
      <c r="BJ135" s="53">
        <v>0</v>
      </c>
      <c r="BK135" s="53"/>
      <c r="BL135" s="53">
        <v>0</v>
      </c>
      <c r="BM135" s="137"/>
      <c r="BN135" s="137">
        <f t="shared" si="19"/>
        <v>0</v>
      </c>
      <c r="BO135" s="139"/>
      <c r="BS135" s="140"/>
      <c r="BT135" s="140"/>
      <c r="BU135" s="141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</row>
    <row r="136" spans="1:95" s="35" customFormat="1" ht="12.75" customHeight="1">
      <c r="A136" s="35" t="s">
        <v>162</v>
      </c>
      <c r="B136" s="51"/>
      <c r="C136" s="35" t="s">
        <v>163</v>
      </c>
      <c r="D136" s="44"/>
      <c r="E136" s="53">
        <f t="shared" si="20"/>
        <v>871584</v>
      </c>
      <c r="F136" s="53"/>
      <c r="G136" s="53">
        <v>3290001</v>
      </c>
      <c r="H136" s="53"/>
      <c r="I136" s="53">
        <v>4161585</v>
      </c>
      <c r="J136" s="53"/>
      <c r="K136" s="53">
        <f t="shared" si="21"/>
        <v>100283</v>
      </c>
      <c r="L136" s="53"/>
      <c r="M136" s="53">
        <v>154721</v>
      </c>
      <c r="N136" s="53"/>
      <c r="O136" s="53">
        <v>255004</v>
      </c>
      <c r="P136" s="53"/>
      <c r="Q136" s="53">
        <v>3290001</v>
      </c>
      <c r="R136" s="53"/>
      <c r="S136" s="53">
        <v>0</v>
      </c>
      <c r="T136" s="53"/>
      <c r="U136" s="53">
        <v>616580</v>
      </c>
      <c r="V136" s="53"/>
      <c r="W136" s="53">
        <f t="shared" si="25"/>
        <v>3906581</v>
      </c>
      <c r="Z136" s="35" t="s">
        <v>162</v>
      </c>
      <c r="AA136" s="53"/>
      <c r="AB136" s="35" t="s">
        <v>163</v>
      </c>
      <c r="AC136" s="51"/>
      <c r="AD136" s="53">
        <v>1934810</v>
      </c>
      <c r="AE136" s="53"/>
      <c r="AF136" s="53">
        <f>2439969-229599</f>
        <v>2210370</v>
      </c>
      <c r="AG136" s="53"/>
      <c r="AH136" s="53">
        <v>229599</v>
      </c>
      <c r="AI136" s="53"/>
      <c r="AJ136" s="45">
        <f t="shared" si="22"/>
        <v>-505159</v>
      </c>
      <c r="AK136" s="45"/>
      <c r="AL136" s="53">
        <v>0</v>
      </c>
      <c r="AM136" s="45"/>
      <c r="AN136" s="53">
        <v>5000</v>
      </c>
      <c r="AO136" s="53"/>
      <c r="AP136" s="53">
        <v>87550</v>
      </c>
      <c r="AQ136" s="53"/>
      <c r="AR136" s="53">
        <v>0</v>
      </c>
      <c r="AS136" s="53"/>
      <c r="AT136" s="45">
        <f t="shared" si="23"/>
        <v>-587709</v>
      </c>
      <c r="AU136" s="45"/>
      <c r="AV136" s="53">
        <v>0</v>
      </c>
      <c r="AW136" s="53"/>
      <c r="AX136" s="53">
        <v>0</v>
      </c>
      <c r="AY136" s="53"/>
      <c r="AZ136" s="53">
        <f t="shared" si="24"/>
        <v>771301</v>
      </c>
      <c r="BA136" s="51"/>
      <c r="BB136" s="35" t="s">
        <v>162</v>
      </c>
      <c r="BD136" s="35" t="s">
        <v>163</v>
      </c>
      <c r="BE136" s="53"/>
      <c r="BF136" s="53">
        <v>0</v>
      </c>
      <c r="BG136" s="53"/>
      <c r="BH136" s="53">
        <v>0</v>
      </c>
      <c r="BI136" s="53"/>
      <c r="BJ136" s="53">
        <v>0</v>
      </c>
      <c r="BK136" s="53"/>
      <c r="BL136" s="53">
        <v>154721</v>
      </c>
      <c r="BM136" s="53"/>
      <c r="BN136" s="53">
        <f t="shared" si="19"/>
        <v>154721</v>
      </c>
      <c r="BO136" s="54"/>
      <c r="BS136" s="55"/>
      <c r="BT136" s="55"/>
      <c r="BU136" s="84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</row>
    <row r="137" spans="1:95" s="126" customFormat="1" ht="12.75" hidden="1" customHeight="1">
      <c r="A137" s="126" t="s">
        <v>164</v>
      </c>
      <c r="B137" s="124"/>
      <c r="C137" s="126" t="s">
        <v>27</v>
      </c>
      <c r="D137" s="121"/>
      <c r="E137" s="53">
        <f t="shared" si="20"/>
        <v>0</v>
      </c>
      <c r="F137" s="53"/>
      <c r="G137" s="53">
        <v>0</v>
      </c>
      <c r="H137" s="53"/>
      <c r="I137" s="53">
        <v>0</v>
      </c>
      <c r="J137" s="53"/>
      <c r="K137" s="53">
        <f t="shared" si="21"/>
        <v>0</v>
      </c>
      <c r="L137" s="53"/>
      <c r="M137" s="53">
        <v>0</v>
      </c>
      <c r="N137" s="53"/>
      <c r="O137" s="53">
        <v>0</v>
      </c>
      <c r="P137" s="53"/>
      <c r="Q137" s="53">
        <v>0</v>
      </c>
      <c r="R137" s="53"/>
      <c r="S137" s="53">
        <v>0</v>
      </c>
      <c r="T137" s="53"/>
      <c r="U137" s="53">
        <v>0</v>
      </c>
      <c r="V137" s="53"/>
      <c r="W137" s="53">
        <f t="shared" si="25"/>
        <v>0</v>
      </c>
      <c r="X137" s="124"/>
      <c r="Y137" s="124"/>
      <c r="Z137" s="126" t="s">
        <v>164</v>
      </c>
      <c r="AA137" s="137"/>
      <c r="AB137" s="126" t="s">
        <v>27</v>
      </c>
      <c r="AC137" s="124"/>
      <c r="AD137" s="53">
        <v>0</v>
      </c>
      <c r="AE137" s="53"/>
      <c r="AF137" s="53">
        <v>0</v>
      </c>
      <c r="AG137" s="53"/>
      <c r="AH137" s="53">
        <v>0</v>
      </c>
      <c r="AI137" s="53"/>
      <c r="AJ137" s="45">
        <f t="shared" si="22"/>
        <v>0</v>
      </c>
      <c r="AK137" s="45"/>
      <c r="AL137" s="53">
        <v>0</v>
      </c>
      <c r="AM137" s="45"/>
      <c r="AN137" s="53">
        <v>0</v>
      </c>
      <c r="AO137" s="53"/>
      <c r="AP137" s="53">
        <v>0</v>
      </c>
      <c r="AQ137" s="53"/>
      <c r="AR137" s="53">
        <v>0</v>
      </c>
      <c r="AS137" s="53"/>
      <c r="AT137" s="45">
        <f t="shared" si="23"/>
        <v>0</v>
      </c>
      <c r="AU137" s="45"/>
      <c r="AV137" s="53">
        <v>0</v>
      </c>
      <c r="AW137" s="53"/>
      <c r="AX137" s="53">
        <v>0</v>
      </c>
      <c r="AY137" s="53"/>
      <c r="AZ137" s="53">
        <f t="shared" si="24"/>
        <v>0</v>
      </c>
      <c r="BA137" s="124"/>
      <c r="BB137" s="126" t="s">
        <v>164</v>
      </c>
      <c r="BD137" s="126" t="s">
        <v>27</v>
      </c>
      <c r="BE137" s="137"/>
      <c r="BF137" s="53">
        <v>0</v>
      </c>
      <c r="BG137" s="53"/>
      <c r="BH137" s="53">
        <v>0</v>
      </c>
      <c r="BI137" s="53"/>
      <c r="BJ137" s="53">
        <v>0</v>
      </c>
      <c r="BK137" s="53"/>
      <c r="BL137" s="53">
        <v>0</v>
      </c>
      <c r="BM137" s="137"/>
      <c r="BN137" s="137">
        <f t="shared" si="19"/>
        <v>0</v>
      </c>
      <c r="BO137" s="139"/>
      <c r="BS137" s="140"/>
      <c r="BT137" s="140"/>
      <c r="BU137" s="141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</row>
    <row r="138" spans="1:95" s="35" customFormat="1" ht="12.75" customHeight="1">
      <c r="A138" s="35" t="s">
        <v>53</v>
      </c>
      <c r="B138" s="51"/>
      <c r="C138" s="35" t="s">
        <v>53</v>
      </c>
      <c r="D138" s="44"/>
      <c r="E138" s="53">
        <f t="shared" si="20"/>
        <v>4327061</v>
      </c>
      <c r="F138" s="53"/>
      <c r="G138" s="53">
        <v>33354453</v>
      </c>
      <c r="H138" s="53"/>
      <c r="I138" s="53">
        <v>37681514</v>
      </c>
      <c r="J138" s="53"/>
      <c r="K138" s="53">
        <f t="shared" si="21"/>
        <v>1064217</v>
      </c>
      <c r="L138" s="53"/>
      <c r="M138" s="53">
        <v>12620357</v>
      </c>
      <c r="N138" s="53"/>
      <c r="O138" s="53">
        <v>13684574</v>
      </c>
      <c r="P138" s="53"/>
      <c r="Q138" s="53">
        <v>13771875</v>
      </c>
      <c r="R138" s="53"/>
      <c r="S138" s="53">
        <v>0</v>
      </c>
      <c r="T138" s="53"/>
      <c r="U138" s="53">
        <v>10225065</v>
      </c>
      <c r="V138" s="53"/>
      <c r="W138" s="53">
        <f t="shared" si="25"/>
        <v>23996940</v>
      </c>
      <c r="X138" s="51"/>
      <c r="Y138" s="51"/>
      <c r="Z138" s="35" t="s">
        <v>53</v>
      </c>
      <c r="AA138" s="53"/>
      <c r="AB138" s="35" t="s">
        <v>53</v>
      </c>
      <c r="AC138" s="51"/>
      <c r="AD138" s="53">
        <v>4098257</v>
      </c>
      <c r="AE138" s="53"/>
      <c r="AF138" s="53">
        <f>3238873-423705</f>
        <v>2815168</v>
      </c>
      <c r="AG138" s="53"/>
      <c r="AH138" s="53">
        <v>423705</v>
      </c>
      <c r="AI138" s="53"/>
      <c r="AJ138" s="45">
        <f t="shared" si="22"/>
        <v>859384</v>
      </c>
      <c r="AK138" s="45"/>
      <c r="AL138" s="53">
        <v>-550522</v>
      </c>
      <c r="AM138" s="45"/>
      <c r="AN138" s="53">
        <v>0</v>
      </c>
      <c r="AO138" s="53"/>
      <c r="AP138" s="53">
        <v>0</v>
      </c>
      <c r="AQ138" s="53"/>
      <c r="AR138" s="53">
        <v>0</v>
      </c>
      <c r="AS138" s="53"/>
      <c r="AT138" s="45">
        <f t="shared" si="23"/>
        <v>308862</v>
      </c>
      <c r="AU138" s="45"/>
      <c r="AV138" s="53">
        <v>0</v>
      </c>
      <c r="AW138" s="53"/>
      <c r="AX138" s="53">
        <v>0</v>
      </c>
      <c r="AY138" s="53"/>
      <c r="AZ138" s="53">
        <f t="shared" si="24"/>
        <v>3262844</v>
      </c>
      <c r="BA138" s="51"/>
      <c r="BB138" s="35" t="s">
        <v>53</v>
      </c>
      <c r="BD138" s="35" t="s">
        <v>53</v>
      </c>
      <c r="BE138" s="53"/>
      <c r="BF138" s="53">
        <f>10383411+785000</f>
        <v>11168411</v>
      </c>
      <c r="BG138" s="53"/>
      <c r="BH138" s="53">
        <v>0</v>
      </c>
      <c r="BI138" s="53"/>
      <c r="BJ138" s="53">
        <f>1045099+71352</f>
        <v>1116451</v>
      </c>
      <c r="BK138" s="53"/>
      <c r="BL138" s="53">
        <f>21926+5984+1163937+23292+2918</f>
        <v>1218057</v>
      </c>
      <c r="BM138" s="53"/>
      <c r="BN138" s="53">
        <f t="shared" si="19"/>
        <v>13502919</v>
      </c>
      <c r="BO138" s="54"/>
      <c r="BS138" s="55"/>
      <c r="BT138" s="55"/>
      <c r="BU138" s="84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</row>
    <row r="139" spans="1:95" s="126" customFormat="1" ht="12.75" hidden="1" customHeight="1">
      <c r="A139" s="126" t="s">
        <v>165</v>
      </c>
      <c r="B139" s="124"/>
      <c r="C139" s="126" t="s">
        <v>92</v>
      </c>
      <c r="D139" s="121"/>
      <c r="E139" s="53">
        <f t="shared" si="20"/>
        <v>0</v>
      </c>
      <c r="F139" s="53"/>
      <c r="G139" s="53">
        <v>0</v>
      </c>
      <c r="H139" s="53"/>
      <c r="I139" s="53">
        <v>0</v>
      </c>
      <c r="J139" s="53"/>
      <c r="K139" s="53">
        <f t="shared" si="21"/>
        <v>0</v>
      </c>
      <c r="L139" s="53"/>
      <c r="M139" s="53">
        <v>0</v>
      </c>
      <c r="N139" s="53"/>
      <c r="O139" s="53">
        <v>0</v>
      </c>
      <c r="P139" s="53"/>
      <c r="Q139" s="53">
        <v>0</v>
      </c>
      <c r="R139" s="53"/>
      <c r="S139" s="53">
        <v>0</v>
      </c>
      <c r="T139" s="53"/>
      <c r="U139" s="53">
        <v>0</v>
      </c>
      <c r="V139" s="53"/>
      <c r="W139" s="53">
        <f t="shared" si="25"/>
        <v>0</v>
      </c>
      <c r="X139" s="124"/>
      <c r="Y139" s="124"/>
      <c r="Z139" s="126" t="s">
        <v>165</v>
      </c>
      <c r="AA139" s="137"/>
      <c r="AB139" s="126" t="s">
        <v>92</v>
      </c>
      <c r="AC139" s="124"/>
      <c r="AD139" s="53">
        <v>0</v>
      </c>
      <c r="AE139" s="53"/>
      <c r="AF139" s="53">
        <v>0</v>
      </c>
      <c r="AG139" s="53"/>
      <c r="AH139" s="53">
        <v>0</v>
      </c>
      <c r="AI139" s="53"/>
      <c r="AJ139" s="45">
        <f t="shared" si="22"/>
        <v>0</v>
      </c>
      <c r="AK139" s="45"/>
      <c r="AL139" s="53">
        <v>0</v>
      </c>
      <c r="AM139" s="45"/>
      <c r="AN139" s="53">
        <v>0</v>
      </c>
      <c r="AO139" s="53"/>
      <c r="AP139" s="53">
        <v>0</v>
      </c>
      <c r="AQ139" s="53"/>
      <c r="AR139" s="53">
        <v>0</v>
      </c>
      <c r="AS139" s="53"/>
      <c r="AT139" s="45">
        <f t="shared" si="23"/>
        <v>0</v>
      </c>
      <c r="AU139" s="45"/>
      <c r="AV139" s="53">
        <v>0</v>
      </c>
      <c r="AW139" s="53"/>
      <c r="AX139" s="53">
        <v>0</v>
      </c>
      <c r="AY139" s="53"/>
      <c r="AZ139" s="53">
        <f t="shared" si="24"/>
        <v>0</v>
      </c>
      <c r="BA139" s="124"/>
      <c r="BB139" s="126" t="s">
        <v>165</v>
      </c>
      <c r="BD139" s="126" t="s">
        <v>92</v>
      </c>
      <c r="BE139" s="137"/>
      <c r="BF139" s="53">
        <v>0</v>
      </c>
      <c r="BG139" s="53"/>
      <c r="BH139" s="53">
        <v>0</v>
      </c>
      <c r="BI139" s="53"/>
      <c r="BJ139" s="53">
        <v>0</v>
      </c>
      <c r="BK139" s="53"/>
      <c r="BL139" s="53">
        <v>0</v>
      </c>
      <c r="BM139" s="137"/>
      <c r="BN139" s="137">
        <f t="shared" si="19"/>
        <v>0</v>
      </c>
      <c r="BO139" s="139"/>
      <c r="BS139" s="140"/>
      <c r="BT139" s="140"/>
      <c r="BU139" s="141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</row>
    <row r="140" spans="1:95" s="126" customFormat="1" ht="12.75" hidden="1" customHeight="1">
      <c r="A140" s="126" t="s">
        <v>166</v>
      </c>
      <c r="B140" s="124"/>
      <c r="C140" s="126" t="s">
        <v>92</v>
      </c>
      <c r="D140" s="121"/>
      <c r="E140" s="53">
        <f t="shared" si="20"/>
        <v>0</v>
      </c>
      <c r="F140" s="53"/>
      <c r="G140" s="53">
        <v>0</v>
      </c>
      <c r="H140" s="53"/>
      <c r="I140" s="53">
        <v>0</v>
      </c>
      <c r="J140" s="53"/>
      <c r="K140" s="53">
        <f t="shared" si="21"/>
        <v>0</v>
      </c>
      <c r="L140" s="53"/>
      <c r="M140" s="53">
        <v>0</v>
      </c>
      <c r="N140" s="53"/>
      <c r="O140" s="53">
        <v>0</v>
      </c>
      <c r="P140" s="53"/>
      <c r="Q140" s="53">
        <v>0</v>
      </c>
      <c r="R140" s="53"/>
      <c r="S140" s="53">
        <v>0</v>
      </c>
      <c r="T140" s="53"/>
      <c r="U140" s="53">
        <v>0</v>
      </c>
      <c r="V140" s="53"/>
      <c r="W140" s="53">
        <f t="shared" si="25"/>
        <v>0</v>
      </c>
      <c r="X140" s="124"/>
      <c r="Y140" s="124"/>
      <c r="Z140" s="126" t="s">
        <v>166</v>
      </c>
      <c r="AA140" s="137"/>
      <c r="AB140" s="126" t="s">
        <v>92</v>
      </c>
      <c r="AC140" s="124"/>
      <c r="AD140" s="53">
        <v>0</v>
      </c>
      <c r="AE140" s="53"/>
      <c r="AF140" s="53">
        <v>0</v>
      </c>
      <c r="AG140" s="53"/>
      <c r="AH140" s="53">
        <v>0</v>
      </c>
      <c r="AI140" s="53"/>
      <c r="AJ140" s="45">
        <f t="shared" si="22"/>
        <v>0</v>
      </c>
      <c r="AK140" s="45"/>
      <c r="AL140" s="53">
        <v>0</v>
      </c>
      <c r="AM140" s="45"/>
      <c r="AN140" s="53">
        <v>0</v>
      </c>
      <c r="AO140" s="53"/>
      <c r="AP140" s="53">
        <v>0</v>
      </c>
      <c r="AQ140" s="53"/>
      <c r="AR140" s="53">
        <v>0</v>
      </c>
      <c r="AS140" s="53"/>
      <c r="AT140" s="45">
        <f t="shared" si="23"/>
        <v>0</v>
      </c>
      <c r="AU140" s="45"/>
      <c r="AV140" s="53">
        <v>0</v>
      </c>
      <c r="AW140" s="53"/>
      <c r="AX140" s="53">
        <v>0</v>
      </c>
      <c r="AY140" s="53"/>
      <c r="AZ140" s="53">
        <f t="shared" si="24"/>
        <v>0</v>
      </c>
      <c r="BA140" s="124"/>
      <c r="BB140" s="126" t="s">
        <v>166</v>
      </c>
      <c r="BD140" s="126" t="s">
        <v>92</v>
      </c>
      <c r="BE140" s="137"/>
      <c r="BF140" s="53">
        <v>0</v>
      </c>
      <c r="BG140" s="53"/>
      <c r="BH140" s="53">
        <v>0</v>
      </c>
      <c r="BI140" s="53"/>
      <c r="BJ140" s="53">
        <v>0</v>
      </c>
      <c r="BK140" s="53"/>
      <c r="BL140" s="53">
        <v>0</v>
      </c>
      <c r="BM140" s="137"/>
      <c r="BN140" s="137">
        <f t="shared" si="19"/>
        <v>0</v>
      </c>
      <c r="BO140" s="139"/>
      <c r="BS140" s="140"/>
      <c r="BT140" s="140"/>
      <c r="BU140" s="141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</row>
    <row r="141" spans="1:95" s="35" customFormat="1" ht="12.75" customHeight="1">
      <c r="A141" s="35" t="s">
        <v>167</v>
      </c>
      <c r="B141" s="51"/>
      <c r="C141" s="35" t="s">
        <v>66</v>
      </c>
      <c r="D141" s="44"/>
      <c r="E141" s="53">
        <f t="shared" si="20"/>
        <v>1462650</v>
      </c>
      <c r="F141" s="53"/>
      <c r="G141" s="53">
        <v>13070760</v>
      </c>
      <c r="H141" s="53"/>
      <c r="I141" s="53">
        <v>14533410</v>
      </c>
      <c r="J141" s="53"/>
      <c r="K141" s="53">
        <f t="shared" si="21"/>
        <v>423298</v>
      </c>
      <c r="L141" s="53"/>
      <c r="M141" s="53">
        <v>1713906</v>
      </c>
      <c r="N141" s="53"/>
      <c r="O141" s="53">
        <v>2137204</v>
      </c>
      <c r="P141" s="53"/>
      <c r="Q141" s="53">
        <v>11075760</v>
      </c>
      <c r="R141" s="53"/>
      <c r="S141" s="53">
        <v>149038</v>
      </c>
      <c r="T141" s="53"/>
      <c r="U141" s="53">
        <v>1171408</v>
      </c>
      <c r="V141" s="53"/>
      <c r="W141" s="53">
        <f t="shared" si="25"/>
        <v>12396206</v>
      </c>
      <c r="Z141" s="35" t="s">
        <v>167</v>
      </c>
      <c r="AA141" s="53"/>
      <c r="AB141" s="35" t="s">
        <v>66</v>
      </c>
      <c r="AC141" s="51"/>
      <c r="AD141" s="53">
        <v>2060451</v>
      </c>
      <c r="AE141" s="53"/>
      <c r="AF141" s="53">
        <f>2597149-438160</f>
        <v>2158989</v>
      </c>
      <c r="AG141" s="53"/>
      <c r="AH141" s="53">
        <v>438160</v>
      </c>
      <c r="AI141" s="53"/>
      <c r="AJ141" s="45">
        <f t="shared" si="22"/>
        <v>-536698</v>
      </c>
      <c r="AK141" s="45"/>
      <c r="AL141" s="53">
        <v>942524</v>
      </c>
      <c r="AM141" s="45"/>
      <c r="AN141" s="53">
        <v>0</v>
      </c>
      <c r="AO141" s="53"/>
      <c r="AP141" s="53">
        <v>20558</v>
      </c>
      <c r="AQ141" s="53"/>
      <c r="AR141" s="53">
        <v>0</v>
      </c>
      <c r="AS141" s="53"/>
      <c r="AT141" s="45">
        <f t="shared" si="23"/>
        <v>385268</v>
      </c>
      <c r="AU141" s="45"/>
      <c r="AV141" s="53">
        <v>0</v>
      </c>
      <c r="AW141" s="53"/>
      <c r="AX141" s="53">
        <v>0</v>
      </c>
      <c r="AY141" s="53"/>
      <c r="AZ141" s="53">
        <f t="shared" si="24"/>
        <v>1039352</v>
      </c>
      <c r="BA141" s="51"/>
      <c r="BB141" s="35" t="s">
        <v>167</v>
      </c>
      <c r="BD141" s="35" t="s">
        <v>66</v>
      </c>
      <c r="BE141" s="53"/>
      <c r="BF141" s="53">
        <f>9661990+980562</f>
        <v>10642552</v>
      </c>
      <c r="BG141" s="53"/>
      <c r="BH141" s="53">
        <v>0</v>
      </c>
      <c r="BI141" s="53"/>
      <c r="BJ141" s="53">
        <v>0</v>
      </c>
      <c r="BK141" s="53"/>
      <c r="BL141" s="53">
        <f>108662+8904+105551</f>
        <v>223117</v>
      </c>
      <c r="BM141" s="53"/>
      <c r="BN141" s="53">
        <f t="shared" si="19"/>
        <v>10865669</v>
      </c>
      <c r="BO141" s="54"/>
      <c r="BS141" s="55"/>
      <c r="BT141" s="55"/>
      <c r="BU141" s="84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</row>
    <row r="142" spans="1:95" s="126" customFormat="1" ht="12.75" hidden="1" customHeight="1">
      <c r="A142" s="121" t="s">
        <v>168</v>
      </c>
      <c r="B142" s="124"/>
      <c r="C142" s="121" t="s">
        <v>27</v>
      </c>
      <c r="D142" s="121"/>
      <c r="E142" s="53">
        <f t="shared" si="20"/>
        <v>0</v>
      </c>
      <c r="F142" s="53"/>
      <c r="G142" s="53">
        <v>0</v>
      </c>
      <c r="H142" s="53"/>
      <c r="I142" s="53">
        <v>0</v>
      </c>
      <c r="J142" s="53"/>
      <c r="K142" s="53">
        <f t="shared" si="21"/>
        <v>0</v>
      </c>
      <c r="L142" s="53"/>
      <c r="M142" s="53">
        <v>0</v>
      </c>
      <c r="N142" s="53"/>
      <c r="O142" s="53">
        <v>0</v>
      </c>
      <c r="P142" s="53"/>
      <c r="Q142" s="53">
        <v>0</v>
      </c>
      <c r="R142" s="53"/>
      <c r="S142" s="53">
        <v>0</v>
      </c>
      <c r="T142" s="53"/>
      <c r="U142" s="53">
        <v>0</v>
      </c>
      <c r="V142" s="53"/>
      <c r="W142" s="53">
        <f t="shared" si="25"/>
        <v>0</v>
      </c>
      <c r="X142" s="124"/>
      <c r="Y142" s="124"/>
      <c r="Z142" s="121" t="s">
        <v>168</v>
      </c>
      <c r="AA142" s="137"/>
      <c r="AB142" s="121" t="s">
        <v>27</v>
      </c>
      <c r="AC142" s="124"/>
      <c r="AD142" s="53">
        <v>0</v>
      </c>
      <c r="AE142" s="53"/>
      <c r="AF142" s="53">
        <v>0</v>
      </c>
      <c r="AG142" s="53"/>
      <c r="AH142" s="53">
        <v>0</v>
      </c>
      <c r="AI142" s="53"/>
      <c r="AJ142" s="45">
        <f t="shared" ref="AJ142:AJ179" si="26">+AD142-AF142-AH142</f>
        <v>0</v>
      </c>
      <c r="AK142" s="45"/>
      <c r="AL142" s="53">
        <v>0</v>
      </c>
      <c r="AM142" s="45"/>
      <c r="AN142" s="53">
        <v>0</v>
      </c>
      <c r="AO142" s="53"/>
      <c r="AP142" s="53">
        <v>0</v>
      </c>
      <c r="AQ142" s="53"/>
      <c r="AR142" s="53">
        <v>0</v>
      </c>
      <c r="AS142" s="53"/>
      <c r="AT142" s="45">
        <f t="shared" si="23"/>
        <v>0</v>
      </c>
      <c r="AU142" s="45"/>
      <c r="AV142" s="53">
        <v>0</v>
      </c>
      <c r="AW142" s="53"/>
      <c r="AX142" s="53">
        <v>0</v>
      </c>
      <c r="AY142" s="53"/>
      <c r="AZ142" s="53">
        <f t="shared" si="24"/>
        <v>0</v>
      </c>
      <c r="BA142" s="124"/>
      <c r="BB142" s="121" t="s">
        <v>168</v>
      </c>
      <c r="BD142" s="121" t="s">
        <v>27</v>
      </c>
      <c r="BE142" s="137"/>
      <c r="BF142" s="53">
        <v>0</v>
      </c>
      <c r="BG142" s="53"/>
      <c r="BH142" s="53">
        <v>0</v>
      </c>
      <c r="BI142" s="53"/>
      <c r="BJ142" s="53">
        <v>0</v>
      </c>
      <c r="BK142" s="53"/>
      <c r="BL142" s="53">
        <v>0</v>
      </c>
      <c r="BM142" s="137"/>
      <c r="BN142" s="137">
        <f t="shared" si="19"/>
        <v>0</v>
      </c>
      <c r="BO142" s="139"/>
      <c r="BS142" s="140"/>
      <c r="BT142" s="140"/>
      <c r="BU142" s="141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</row>
    <row r="143" spans="1:95" s="35" customFormat="1" ht="12.75" customHeight="1">
      <c r="A143" s="35" t="s">
        <v>169</v>
      </c>
      <c r="B143" s="51"/>
      <c r="C143" s="35" t="s">
        <v>103</v>
      </c>
      <c r="D143" s="44"/>
      <c r="E143" s="53">
        <f t="shared" si="20"/>
        <v>7292910</v>
      </c>
      <c r="F143" s="53"/>
      <c r="G143" s="53">
        <v>21466764</v>
      </c>
      <c r="H143" s="53"/>
      <c r="I143" s="53">
        <v>28759674</v>
      </c>
      <c r="J143" s="53"/>
      <c r="K143" s="53">
        <f t="shared" si="21"/>
        <v>2289461</v>
      </c>
      <c r="L143" s="53"/>
      <c r="M143" s="53">
        <v>4286838</v>
      </c>
      <c r="N143" s="53"/>
      <c r="O143" s="53">
        <v>6576299</v>
      </c>
      <c r="P143" s="53"/>
      <c r="Q143" s="53">
        <v>16445334</v>
      </c>
      <c r="R143" s="53"/>
      <c r="S143" s="53">
        <v>757566</v>
      </c>
      <c r="T143" s="53"/>
      <c r="U143" s="53">
        <v>4980475</v>
      </c>
      <c r="V143" s="53"/>
      <c r="W143" s="53">
        <f t="shared" si="25"/>
        <v>22183375</v>
      </c>
      <c r="Z143" s="35" t="s">
        <v>169</v>
      </c>
      <c r="AA143" s="53"/>
      <c r="AB143" s="35" t="s">
        <v>103</v>
      </c>
      <c r="AC143" s="51"/>
      <c r="AD143" s="53">
        <v>6542314</v>
      </c>
      <c r="AE143" s="53"/>
      <c r="AF143" s="53">
        <f>7404427-1218000</f>
        <v>6186427</v>
      </c>
      <c r="AG143" s="53"/>
      <c r="AH143" s="53">
        <v>1218000</v>
      </c>
      <c r="AI143" s="53"/>
      <c r="AJ143" s="45">
        <f t="shared" si="26"/>
        <v>-862113</v>
      </c>
      <c r="AK143" s="45"/>
      <c r="AL143" s="53">
        <v>646483</v>
      </c>
      <c r="AM143" s="45"/>
      <c r="AN143" s="53">
        <v>0</v>
      </c>
      <c r="AO143" s="53"/>
      <c r="AP143" s="53">
        <v>29941</v>
      </c>
      <c r="AQ143" s="53"/>
      <c r="AR143" s="53">
        <v>0</v>
      </c>
      <c r="AS143" s="53"/>
      <c r="AT143" s="45">
        <f t="shared" si="23"/>
        <v>-245571</v>
      </c>
      <c r="AU143" s="45"/>
      <c r="AV143" s="53">
        <v>0</v>
      </c>
      <c r="AW143" s="53"/>
      <c r="AX143" s="53">
        <v>0</v>
      </c>
      <c r="AY143" s="53"/>
      <c r="AZ143" s="53">
        <f t="shared" si="24"/>
        <v>5003449</v>
      </c>
      <c r="BA143" s="51"/>
      <c r="BB143" s="35" t="s">
        <v>169</v>
      </c>
      <c r="BD143" s="35" t="s">
        <v>103</v>
      </c>
      <c r="BE143" s="53"/>
      <c r="BF143" s="53">
        <f>1822557+368264</f>
        <v>2190821</v>
      </c>
      <c r="BG143" s="53"/>
      <c r="BH143" s="53">
        <v>0</v>
      </c>
      <c r="BI143" s="53"/>
      <c r="BJ143" s="53">
        <v>0</v>
      </c>
      <c r="BK143" s="53"/>
      <c r="BL143" s="53">
        <f>32353+2255935+118684+57309+389302+58456</f>
        <v>2912039</v>
      </c>
      <c r="BM143" s="53"/>
      <c r="BN143" s="53">
        <f t="shared" si="19"/>
        <v>5102860</v>
      </c>
      <c r="BO143" s="54"/>
      <c r="BS143" s="55"/>
      <c r="BT143" s="55"/>
      <c r="BU143" s="84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</row>
    <row r="144" spans="1:95" s="35" customFormat="1" ht="12.75" customHeight="1">
      <c r="A144" s="35" t="s">
        <v>170</v>
      </c>
      <c r="B144" s="51"/>
      <c r="C144" s="35" t="s">
        <v>171</v>
      </c>
      <c r="D144" s="44"/>
      <c r="E144" s="53">
        <f t="shared" si="20"/>
        <v>2409237</v>
      </c>
      <c r="F144" s="53"/>
      <c r="G144" s="53">
        <v>4608190</v>
      </c>
      <c r="H144" s="53"/>
      <c r="I144" s="53">
        <v>7017427</v>
      </c>
      <c r="J144" s="53"/>
      <c r="K144" s="53">
        <f t="shared" si="21"/>
        <v>153717</v>
      </c>
      <c r="L144" s="53"/>
      <c r="M144" s="53">
        <v>1744401</v>
      </c>
      <c r="N144" s="53"/>
      <c r="O144" s="53">
        <v>1898118</v>
      </c>
      <c r="P144" s="53"/>
      <c r="Q144" s="53">
        <v>2791028</v>
      </c>
      <c r="R144" s="53"/>
      <c r="S144" s="53">
        <v>0</v>
      </c>
      <c r="T144" s="53"/>
      <c r="U144" s="53">
        <v>2328281</v>
      </c>
      <c r="V144" s="53"/>
      <c r="W144" s="53">
        <f t="shared" si="25"/>
        <v>5119309</v>
      </c>
      <c r="Z144" s="35" t="s">
        <v>170</v>
      </c>
      <c r="AA144" s="53"/>
      <c r="AB144" s="35" t="s">
        <v>171</v>
      </c>
      <c r="AC144" s="51"/>
      <c r="AD144" s="53">
        <v>875896</v>
      </c>
      <c r="AE144" s="53"/>
      <c r="AF144" s="53">
        <f>1030194-290198</f>
        <v>739996</v>
      </c>
      <c r="AG144" s="53"/>
      <c r="AH144" s="53">
        <v>290198</v>
      </c>
      <c r="AI144" s="53"/>
      <c r="AJ144" s="45">
        <f t="shared" si="26"/>
        <v>-154298</v>
      </c>
      <c r="AK144" s="45"/>
      <c r="AL144" s="53">
        <v>130769</v>
      </c>
      <c r="AM144" s="45"/>
      <c r="AN144" s="53">
        <v>0</v>
      </c>
      <c r="AO144" s="53"/>
      <c r="AP144" s="53">
        <v>0</v>
      </c>
      <c r="AQ144" s="53"/>
      <c r="AR144" s="53">
        <v>0</v>
      </c>
      <c r="AS144" s="53"/>
      <c r="AT144" s="45">
        <f t="shared" si="23"/>
        <v>-23529</v>
      </c>
      <c r="AU144" s="45"/>
      <c r="AV144" s="53">
        <v>0</v>
      </c>
      <c r="AW144" s="53"/>
      <c r="AX144" s="53">
        <v>0</v>
      </c>
      <c r="AY144" s="53"/>
      <c r="AZ144" s="53">
        <f t="shared" si="24"/>
        <v>2255520</v>
      </c>
      <c r="BA144" s="51"/>
      <c r="BB144" s="35" t="s">
        <v>170</v>
      </c>
      <c r="BD144" s="35" t="s">
        <v>171</v>
      </c>
      <c r="BE144" s="53"/>
      <c r="BF144" s="53">
        <v>0</v>
      </c>
      <c r="BG144" s="53"/>
      <c r="BH144" s="53">
        <v>0</v>
      </c>
      <c r="BI144" s="53"/>
      <c r="BJ144" s="53">
        <f>1520074+217165+65424+14499</f>
        <v>1817162</v>
      </c>
      <c r="BK144" s="53"/>
      <c r="BL144" s="53">
        <f>7162+27176</f>
        <v>34338</v>
      </c>
      <c r="BM144" s="53"/>
      <c r="BN144" s="53">
        <f t="shared" si="19"/>
        <v>1851500</v>
      </c>
      <c r="BO144" s="54"/>
      <c r="BS144" s="55"/>
      <c r="BT144" s="55"/>
      <c r="BU144" s="84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</row>
    <row r="145" spans="1:95" s="35" customFormat="1" ht="12.75" customHeight="1">
      <c r="A145" s="35" t="s">
        <v>172</v>
      </c>
      <c r="B145" s="51"/>
      <c r="C145" s="35" t="s">
        <v>103</v>
      </c>
      <c r="D145" s="44"/>
      <c r="E145" s="53">
        <f t="shared" si="20"/>
        <v>3976189</v>
      </c>
      <c r="F145" s="53"/>
      <c r="G145" s="53">
        <v>6408343</v>
      </c>
      <c r="H145" s="53"/>
      <c r="I145" s="53">
        <v>10384532</v>
      </c>
      <c r="J145" s="53"/>
      <c r="K145" s="53">
        <f t="shared" si="21"/>
        <v>3386775</v>
      </c>
      <c r="L145" s="53"/>
      <c r="M145" s="53">
        <v>3073875</v>
      </c>
      <c r="N145" s="53"/>
      <c r="O145" s="53">
        <v>6460650</v>
      </c>
      <c r="P145" s="53"/>
      <c r="Q145" s="53">
        <v>-543170</v>
      </c>
      <c r="R145" s="53"/>
      <c r="S145" s="53">
        <v>0</v>
      </c>
      <c r="T145" s="53"/>
      <c r="U145" s="53">
        <v>446052</v>
      </c>
      <c r="V145" s="53"/>
      <c r="W145" s="53">
        <f t="shared" si="25"/>
        <v>-97118</v>
      </c>
      <c r="X145" s="51"/>
      <c r="Y145" s="51"/>
      <c r="Z145" s="35" t="s">
        <v>172</v>
      </c>
      <c r="AA145" s="53"/>
      <c r="AB145" s="35" t="s">
        <v>103</v>
      </c>
      <c r="AC145" s="51"/>
      <c r="AD145" s="53">
        <v>2174339</v>
      </c>
      <c r="AE145" s="53"/>
      <c r="AF145" s="53">
        <f>2326192-365948</f>
        <v>1960244</v>
      </c>
      <c r="AG145" s="53"/>
      <c r="AH145" s="53">
        <v>365948</v>
      </c>
      <c r="AI145" s="53"/>
      <c r="AJ145" s="45">
        <f t="shared" si="26"/>
        <v>-151853</v>
      </c>
      <c r="AK145" s="45"/>
      <c r="AL145" s="53">
        <v>-144097</v>
      </c>
      <c r="AM145" s="45"/>
      <c r="AN145" s="53">
        <v>0</v>
      </c>
      <c r="AO145" s="53"/>
      <c r="AP145" s="53">
        <v>0</v>
      </c>
      <c r="AQ145" s="53"/>
      <c r="AR145" s="53">
        <v>0</v>
      </c>
      <c r="AS145" s="53"/>
      <c r="AT145" s="45">
        <f t="shared" si="23"/>
        <v>-295950</v>
      </c>
      <c r="AU145" s="45"/>
      <c r="AV145" s="53">
        <v>0</v>
      </c>
      <c r="AW145" s="53"/>
      <c r="AX145" s="53">
        <v>0</v>
      </c>
      <c r="AY145" s="53"/>
      <c r="AZ145" s="53">
        <f t="shared" si="24"/>
        <v>589414</v>
      </c>
      <c r="BA145" s="51"/>
      <c r="BB145" s="35" t="s">
        <v>172</v>
      </c>
      <c r="BD145" s="35" t="s">
        <v>103</v>
      </c>
      <c r="BE145" s="53"/>
      <c r="BF145" s="53">
        <v>0</v>
      </c>
      <c r="BG145" s="53"/>
      <c r="BH145" s="53">
        <f>5662229+200000</f>
        <v>5862229</v>
      </c>
      <c r="BI145" s="53"/>
      <c r="BJ145" s="53">
        <f>401567+32453</f>
        <v>434020</v>
      </c>
      <c r="BK145" s="53"/>
      <c r="BL145" s="53">
        <f>10079+18255</f>
        <v>28334</v>
      </c>
      <c r="BM145" s="53"/>
      <c r="BN145" s="53">
        <f t="shared" si="19"/>
        <v>6324583</v>
      </c>
      <c r="BO145" s="54"/>
      <c r="BS145" s="55"/>
      <c r="BT145" s="55"/>
      <c r="BU145" s="84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</row>
    <row r="146" spans="1:95" s="126" customFormat="1" ht="12.75" hidden="1" customHeight="1">
      <c r="A146" s="35" t="s">
        <v>66</v>
      </c>
      <c r="B146" s="51"/>
      <c r="C146" s="35" t="s">
        <v>45</v>
      </c>
      <c r="D146" s="44"/>
      <c r="E146" s="53">
        <f t="shared" si="20"/>
        <v>0</v>
      </c>
      <c r="F146" s="53"/>
      <c r="G146" s="53">
        <v>0</v>
      </c>
      <c r="H146" s="53"/>
      <c r="I146" s="53">
        <v>0</v>
      </c>
      <c r="J146" s="53"/>
      <c r="K146" s="53">
        <f t="shared" si="21"/>
        <v>0</v>
      </c>
      <c r="L146" s="53"/>
      <c r="M146" s="53">
        <v>0</v>
      </c>
      <c r="N146" s="53"/>
      <c r="O146" s="53">
        <v>0</v>
      </c>
      <c r="P146" s="53"/>
      <c r="Q146" s="53">
        <v>0</v>
      </c>
      <c r="R146" s="53"/>
      <c r="S146" s="53">
        <v>0</v>
      </c>
      <c r="T146" s="53"/>
      <c r="U146" s="53">
        <v>0</v>
      </c>
      <c r="V146" s="53"/>
      <c r="W146" s="53">
        <f t="shared" si="25"/>
        <v>0</v>
      </c>
      <c r="X146" s="51"/>
      <c r="Y146" s="51"/>
      <c r="Z146" s="35" t="s">
        <v>66</v>
      </c>
      <c r="AA146" s="53"/>
      <c r="AB146" s="35" t="s">
        <v>45</v>
      </c>
      <c r="AC146" s="51"/>
      <c r="AD146" s="53">
        <v>0</v>
      </c>
      <c r="AE146" s="53"/>
      <c r="AF146" s="53">
        <v>0</v>
      </c>
      <c r="AG146" s="53"/>
      <c r="AH146" s="53">
        <v>0</v>
      </c>
      <c r="AI146" s="53"/>
      <c r="AJ146" s="45">
        <f t="shared" si="26"/>
        <v>0</v>
      </c>
      <c r="AK146" s="45"/>
      <c r="AL146" s="53">
        <v>0</v>
      </c>
      <c r="AM146" s="45"/>
      <c r="AN146" s="53">
        <v>0</v>
      </c>
      <c r="AO146" s="53"/>
      <c r="AP146" s="53">
        <v>0</v>
      </c>
      <c r="AQ146" s="53"/>
      <c r="AR146" s="53">
        <v>0</v>
      </c>
      <c r="AS146" s="53"/>
      <c r="AT146" s="45">
        <f t="shared" ref="AT146:AT179" si="27">+AJ146+AL146+AN146-AP146+AR146</f>
        <v>0</v>
      </c>
      <c r="AU146" s="45"/>
      <c r="AV146" s="53">
        <v>0</v>
      </c>
      <c r="AW146" s="53"/>
      <c r="AX146" s="53">
        <v>0</v>
      </c>
      <c r="AY146" s="53"/>
      <c r="AZ146" s="53">
        <f t="shared" si="24"/>
        <v>0</v>
      </c>
      <c r="BA146" s="51"/>
      <c r="BB146" s="35" t="s">
        <v>66</v>
      </c>
      <c r="BC146" s="35"/>
      <c r="BD146" s="35" t="s">
        <v>45</v>
      </c>
      <c r="BE146" s="53"/>
      <c r="BF146" s="53">
        <v>0</v>
      </c>
      <c r="BG146" s="53"/>
      <c r="BH146" s="53">
        <v>0</v>
      </c>
      <c r="BI146" s="53"/>
      <c r="BJ146" s="53">
        <v>0</v>
      </c>
      <c r="BK146" s="53"/>
      <c r="BL146" s="53">
        <v>0</v>
      </c>
      <c r="BM146" s="53"/>
      <c r="BN146" s="53">
        <f t="shared" si="19"/>
        <v>0</v>
      </c>
      <c r="BO146" s="139"/>
      <c r="BS146" s="140"/>
      <c r="BT146" s="140"/>
      <c r="BU146" s="141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</row>
    <row r="147" spans="1:95" s="126" customFormat="1" ht="12.75" hidden="1" customHeight="1">
      <c r="A147" s="35" t="s">
        <v>173</v>
      </c>
      <c r="B147" s="51"/>
      <c r="C147" s="35" t="s">
        <v>66</v>
      </c>
      <c r="D147" s="44"/>
      <c r="E147" s="53">
        <f t="shared" ref="E147:E179" si="28">I147-G147</f>
        <v>0</v>
      </c>
      <c r="F147" s="53"/>
      <c r="G147" s="53">
        <v>0</v>
      </c>
      <c r="H147" s="53"/>
      <c r="I147" s="53">
        <v>0</v>
      </c>
      <c r="J147" s="53"/>
      <c r="K147" s="53">
        <f t="shared" ref="K147:K179" si="29">O147-M147</f>
        <v>0</v>
      </c>
      <c r="L147" s="53"/>
      <c r="M147" s="53">
        <v>0</v>
      </c>
      <c r="N147" s="53"/>
      <c r="O147" s="53">
        <v>0</v>
      </c>
      <c r="P147" s="53"/>
      <c r="Q147" s="53">
        <v>0</v>
      </c>
      <c r="R147" s="53"/>
      <c r="S147" s="53">
        <v>0</v>
      </c>
      <c r="T147" s="53"/>
      <c r="U147" s="53">
        <v>0</v>
      </c>
      <c r="V147" s="53"/>
      <c r="W147" s="53">
        <f t="shared" si="25"/>
        <v>0</v>
      </c>
      <c r="X147" s="51"/>
      <c r="Y147" s="51"/>
      <c r="Z147" s="35" t="s">
        <v>173</v>
      </c>
      <c r="AA147" s="53"/>
      <c r="AB147" s="35" t="s">
        <v>66</v>
      </c>
      <c r="AC147" s="51"/>
      <c r="AD147" s="53">
        <v>0</v>
      </c>
      <c r="AE147" s="53"/>
      <c r="AF147" s="53">
        <v>0</v>
      </c>
      <c r="AG147" s="53"/>
      <c r="AH147" s="53">
        <v>0</v>
      </c>
      <c r="AI147" s="53"/>
      <c r="AJ147" s="45">
        <f t="shared" si="26"/>
        <v>0</v>
      </c>
      <c r="AK147" s="45"/>
      <c r="AL147" s="53">
        <v>0</v>
      </c>
      <c r="AM147" s="45"/>
      <c r="AN147" s="53">
        <v>0</v>
      </c>
      <c r="AO147" s="53"/>
      <c r="AP147" s="53">
        <v>0</v>
      </c>
      <c r="AQ147" s="53"/>
      <c r="AR147" s="53">
        <v>0</v>
      </c>
      <c r="AS147" s="53"/>
      <c r="AT147" s="45">
        <f t="shared" si="27"/>
        <v>0</v>
      </c>
      <c r="AU147" s="45"/>
      <c r="AV147" s="53">
        <v>0</v>
      </c>
      <c r="AW147" s="53"/>
      <c r="AX147" s="53">
        <v>0</v>
      </c>
      <c r="AY147" s="53"/>
      <c r="AZ147" s="53">
        <f t="shared" si="24"/>
        <v>0</v>
      </c>
      <c r="BA147" s="51"/>
      <c r="BB147" s="35" t="s">
        <v>173</v>
      </c>
      <c r="BC147" s="35"/>
      <c r="BD147" s="35" t="s">
        <v>66</v>
      </c>
      <c r="BE147" s="53"/>
      <c r="BF147" s="53">
        <v>0</v>
      </c>
      <c r="BG147" s="53"/>
      <c r="BH147" s="53">
        <v>0</v>
      </c>
      <c r="BI147" s="53"/>
      <c r="BJ147" s="53">
        <v>0</v>
      </c>
      <c r="BK147" s="53"/>
      <c r="BL147" s="53">
        <v>0</v>
      </c>
      <c r="BM147" s="53"/>
      <c r="BN147" s="53">
        <f t="shared" ref="BN147:BN212" si="30">SUM(BF147:BL147)</f>
        <v>0</v>
      </c>
      <c r="BO147" s="139"/>
      <c r="BS147" s="140"/>
      <c r="BT147" s="140"/>
      <c r="BU147" s="141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</row>
    <row r="148" spans="1:95" s="126" customFormat="1" ht="12.75" hidden="1" customHeight="1">
      <c r="A148" s="35" t="s">
        <v>365</v>
      </c>
      <c r="B148" s="51"/>
      <c r="C148" s="35" t="s">
        <v>45</v>
      </c>
      <c r="D148" s="44"/>
      <c r="E148" s="53">
        <f t="shared" si="28"/>
        <v>0</v>
      </c>
      <c r="F148" s="53"/>
      <c r="G148" s="53">
        <v>0</v>
      </c>
      <c r="H148" s="53"/>
      <c r="I148" s="53">
        <v>0</v>
      </c>
      <c r="J148" s="53"/>
      <c r="K148" s="53">
        <f t="shared" si="29"/>
        <v>0</v>
      </c>
      <c r="L148" s="53"/>
      <c r="M148" s="53">
        <v>0</v>
      </c>
      <c r="N148" s="53"/>
      <c r="O148" s="53">
        <v>0</v>
      </c>
      <c r="P148" s="53"/>
      <c r="Q148" s="53">
        <v>0</v>
      </c>
      <c r="R148" s="53"/>
      <c r="S148" s="53">
        <v>0</v>
      </c>
      <c r="T148" s="53"/>
      <c r="U148" s="53">
        <v>0</v>
      </c>
      <c r="V148" s="53"/>
      <c r="W148" s="53">
        <f t="shared" si="25"/>
        <v>0</v>
      </c>
      <c r="X148" s="51"/>
      <c r="Y148" s="51"/>
      <c r="Z148" s="35" t="s">
        <v>365</v>
      </c>
      <c r="AA148" s="53"/>
      <c r="AB148" s="35" t="s">
        <v>45</v>
      </c>
      <c r="AC148" s="51"/>
      <c r="AD148" s="53">
        <v>0</v>
      </c>
      <c r="AE148" s="53"/>
      <c r="AF148" s="53">
        <v>0</v>
      </c>
      <c r="AG148" s="53"/>
      <c r="AH148" s="53">
        <v>0</v>
      </c>
      <c r="AI148" s="53"/>
      <c r="AJ148" s="45">
        <f t="shared" si="26"/>
        <v>0</v>
      </c>
      <c r="AK148" s="45"/>
      <c r="AL148" s="53">
        <v>0</v>
      </c>
      <c r="AM148" s="45"/>
      <c r="AN148" s="53">
        <v>0</v>
      </c>
      <c r="AO148" s="53"/>
      <c r="AP148" s="53">
        <v>0</v>
      </c>
      <c r="AQ148" s="53"/>
      <c r="AR148" s="53">
        <v>0</v>
      </c>
      <c r="AS148" s="53"/>
      <c r="AT148" s="45">
        <f t="shared" si="27"/>
        <v>0</v>
      </c>
      <c r="AU148" s="45"/>
      <c r="AV148" s="53">
        <v>0</v>
      </c>
      <c r="AW148" s="53"/>
      <c r="AX148" s="53">
        <v>0</v>
      </c>
      <c r="AY148" s="53"/>
      <c r="AZ148" s="53">
        <f t="shared" si="24"/>
        <v>0</v>
      </c>
      <c r="BA148" s="51"/>
      <c r="BB148" s="35" t="s">
        <v>365</v>
      </c>
      <c r="BC148" s="35"/>
      <c r="BD148" s="35" t="s">
        <v>45</v>
      </c>
      <c r="BE148" s="53"/>
      <c r="BF148" s="53">
        <v>0</v>
      </c>
      <c r="BG148" s="53"/>
      <c r="BH148" s="53">
        <v>0</v>
      </c>
      <c r="BI148" s="53"/>
      <c r="BJ148" s="53">
        <v>0</v>
      </c>
      <c r="BK148" s="53"/>
      <c r="BL148" s="53">
        <v>0</v>
      </c>
      <c r="BM148" s="53"/>
      <c r="BN148" s="53">
        <f t="shared" si="30"/>
        <v>0</v>
      </c>
      <c r="BO148" s="139"/>
      <c r="BS148" s="140"/>
      <c r="BT148" s="140"/>
      <c r="BU148" s="141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</row>
    <row r="149" spans="1:95" s="35" customFormat="1" ht="12.75" customHeight="1">
      <c r="A149" s="35" t="s">
        <v>175</v>
      </c>
      <c r="B149" s="51"/>
      <c r="C149" s="35" t="s">
        <v>176</v>
      </c>
      <c r="D149" s="44"/>
      <c r="E149" s="53">
        <f t="shared" si="28"/>
        <v>1714949</v>
      </c>
      <c r="F149" s="53"/>
      <c r="G149" s="53">
        <v>16833262</v>
      </c>
      <c r="H149" s="53"/>
      <c r="I149" s="53">
        <v>18548211</v>
      </c>
      <c r="J149" s="53"/>
      <c r="K149" s="53">
        <f t="shared" si="29"/>
        <v>1072022</v>
      </c>
      <c r="L149" s="53"/>
      <c r="M149" s="53">
        <v>8299266</v>
      </c>
      <c r="N149" s="53"/>
      <c r="O149" s="53">
        <v>9371288</v>
      </c>
      <c r="P149" s="53"/>
      <c r="Q149" s="53">
        <v>7235469</v>
      </c>
      <c r="R149" s="53"/>
      <c r="S149" s="53">
        <f>356786+442000</f>
        <v>798786</v>
      </c>
      <c r="T149" s="53"/>
      <c r="U149" s="53">
        <v>1142668</v>
      </c>
      <c r="V149" s="53"/>
      <c r="W149" s="53">
        <f t="shared" si="25"/>
        <v>9176923</v>
      </c>
      <c r="X149" s="51"/>
      <c r="Y149" s="51"/>
      <c r="Z149" s="35" t="s">
        <v>175</v>
      </c>
      <c r="AA149" s="53"/>
      <c r="AB149" s="35" t="s">
        <v>176</v>
      </c>
      <c r="AC149" s="51"/>
      <c r="AD149" s="53">
        <v>3392757</v>
      </c>
      <c r="AE149" s="53"/>
      <c r="AF149" s="53">
        <f>2920021-893549</f>
        <v>2026472</v>
      </c>
      <c r="AG149" s="53"/>
      <c r="AH149" s="53">
        <v>893549</v>
      </c>
      <c r="AI149" s="53"/>
      <c r="AJ149" s="45">
        <f t="shared" si="26"/>
        <v>472736</v>
      </c>
      <c r="AK149" s="45"/>
      <c r="AL149" s="53">
        <v>-425658</v>
      </c>
      <c r="AM149" s="45"/>
      <c r="AN149" s="53">
        <v>0</v>
      </c>
      <c r="AO149" s="53"/>
      <c r="AP149" s="53">
        <v>0</v>
      </c>
      <c r="AQ149" s="53"/>
      <c r="AR149" s="53">
        <v>0</v>
      </c>
      <c r="AS149" s="53"/>
      <c r="AT149" s="45">
        <f t="shared" si="27"/>
        <v>47078</v>
      </c>
      <c r="AU149" s="45"/>
      <c r="AV149" s="53">
        <v>0</v>
      </c>
      <c r="AW149" s="53"/>
      <c r="AX149" s="53">
        <v>0</v>
      </c>
      <c r="AY149" s="53"/>
      <c r="AZ149" s="53">
        <f t="shared" si="24"/>
        <v>642927</v>
      </c>
      <c r="BA149" s="51"/>
      <c r="BB149" s="35" t="s">
        <v>175</v>
      </c>
      <c r="BD149" s="35" t="s">
        <v>176</v>
      </c>
      <c r="BE149" s="53"/>
      <c r="BF149" s="53">
        <f>4472090+516675</f>
        <v>4988765</v>
      </c>
      <c r="BG149" s="53"/>
      <c r="BH149" s="53">
        <f>3620000+400000</f>
        <v>4020000</v>
      </c>
      <c r="BI149" s="53"/>
      <c r="BJ149" s="53">
        <f>115960+6268</f>
        <v>122228</v>
      </c>
      <c r="BK149" s="53"/>
      <c r="BL149" s="53">
        <f>46930+91216</f>
        <v>138146</v>
      </c>
      <c r="BM149" s="53"/>
      <c r="BN149" s="53">
        <f t="shared" si="30"/>
        <v>9269139</v>
      </c>
      <c r="BO149" s="54"/>
      <c r="BS149" s="55"/>
      <c r="BT149" s="55"/>
      <c r="BU149" s="84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</row>
    <row r="150" spans="1:95" s="35" customFormat="1" ht="12.75" customHeight="1">
      <c r="A150" s="35" t="s">
        <v>177</v>
      </c>
      <c r="B150" s="51"/>
      <c r="C150" s="35" t="s">
        <v>13</v>
      </c>
      <c r="D150" s="44"/>
      <c r="E150" s="53">
        <f t="shared" si="28"/>
        <v>2688925</v>
      </c>
      <c r="F150" s="53"/>
      <c r="G150" s="53">
        <v>2068939</v>
      </c>
      <c r="H150" s="53"/>
      <c r="I150" s="53">
        <v>4757864</v>
      </c>
      <c r="J150" s="53"/>
      <c r="K150" s="53">
        <f t="shared" si="29"/>
        <v>95229</v>
      </c>
      <c r="L150" s="53"/>
      <c r="M150" s="53">
        <v>275045</v>
      </c>
      <c r="N150" s="53"/>
      <c r="O150" s="53">
        <v>370274</v>
      </c>
      <c r="P150" s="53"/>
      <c r="Q150" s="53">
        <v>1709863</v>
      </c>
      <c r="R150" s="53"/>
      <c r="S150" s="53">
        <v>0</v>
      </c>
      <c r="T150" s="53"/>
      <c r="U150" s="53">
        <v>2677907</v>
      </c>
      <c r="V150" s="53"/>
      <c r="W150" s="53">
        <f t="shared" si="25"/>
        <v>4387770</v>
      </c>
      <c r="X150" s="51"/>
      <c r="Y150" s="51"/>
      <c r="Z150" s="35" t="s">
        <v>177</v>
      </c>
      <c r="AA150" s="53"/>
      <c r="AB150" s="35" t="s">
        <v>13</v>
      </c>
      <c r="AC150" s="51"/>
      <c r="AD150" s="53">
        <v>857380</v>
      </c>
      <c r="AE150" s="53"/>
      <c r="AF150" s="53">
        <f>707781-120097</f>
        <v>587684</v>
      </c>
      <c r="AG150" s="53"/>
      <c r="AH150" s="53">
        <v>120097</v>
      </c>
      <c r="AI150" s="53"/>
      <c r="AJ150" s="45">
        <f t="shared" si="26"/>
        <v>149599</v>
      </c>
      <c r="AK150" s="45"/>
      <c r="AL150" s="53">
        <v>-26689</v>
      </c>
      <c r="AM150" s="45"/>
      <c r="AN150" s="53">
        <v>0</v>
      </c>
      <c r="AO150" s="53"/>
      <c r="AP150" s="53">
        <v>1382</v>
      </c>
      <c r="AQ150" s="53"/>
      <c r="AR150" s="53">
        <v>0</v>
      </c>
      <c r="AS150" s="53"/>
      <c r="AT150" s="45">
        <f t="shared" si="27"/>
        <v>121528</v>
      </c>
      <c r="AU150" s="45"/>
      <c r="AV150" s="53">
        <v>0</v>
      </c>
      <c r="AW150" s="53"/>
      <c r="AX150" s="53">
        <v>0</v>
      </c>
      <c r="AY150" s="53"/>
      <c r="AZ150" s="53">
        <f t="shared" si="24"/>
        <v>2593696</v>
      </c>
      <c r="BA150" s="51"/>
      <c r="BB150" s="35" t="s">
        <v>177</v>
      </c>
      <c r="BD150" s="35" t="s">
        <v>13</v>
      </c>
      <c r="BE150" s="53"/>
      <c r="BF150" s="53">
        <f>275045+84211</f>
        <v>359256</v>
      </c>
      <c r="BG150" s="53"/>
      <c r="BH150" s="53">
        <v>0</v>
      </c>
      <c r="BI150" s="53"/>
      <c r="BJ150" s="53">
        <v>0</v>
      </c>
      <c r="BK150" s="53"/>
      <c r="BL150" s="53">
        <v>0</v>
      </c>
      <c r="BM150" s="53"/>
      <c r="BN150" s="53">
        <f t="shared" si="30"/>
        <v>359256</v>
      </c>
      <c r="BO150" s="54"/>
      <c r="BS150" s="55"/>
      <c r="BT150" s="55"/>
      <c r="BU150" s="84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</row>
    <row r="151" spans="1:95" s="35" customFormat="1" ht="12.75" customHeight="1">
      <c r="A151" s="35" t="s">
        <v>178</v>
      </c>
      <c r="B151" s="51"/>
      <c r="C151" s="35" t="s">
        <v>179</v>
      </c>
      <c r="D151" s="44"/>
      <c r="E151" s="53">
        <f t="shared" si="28"/>
        <v>-7859551</v>
      </c>
      <c r="F151" s="53"/>
      <c r="G151" s="53">
        <v>9013120</v>
      </c>
      <c r="H151" s="53"/>
      <c r="I151" s="53">
        <v>1153569</v>
      </c>
      <c r="J151" s="53"/>
      <c r="K151" s="53">
        <f t="shared" si="29"/>
        <v>390382</v>
      </c>
      <c r="L151" s="53"/>
      <c r="M151" s="53">
        <v>6212326</v>
      </c>
      <c r="N151" s="53"/>
      <c r="O151" s="53">
        <v>6602708</v>
      </c>
      <c r="P151" s="53"/>
      <c r="Q151" s="53">
        <v>3008783</v>
      </c>
      <c r="R151" s="53"/>
      <c r="S151" s="53">
        <v>0</v>
      </c>
      <c r="T151" s="53"/>
      <c r="U151" s="53">
        <v>1922078</v>
      </c>
      <c r="V151" s="53"/>
      <c r="W151" s="53">
        <f t="shared" si="25"/>
        <v>4930861</v>
      </c>
      <c r="X151" s="51"/>
      <c r="Y151" s="51"/>
      <c r="Z151" s="35" t="s">
        <v>178</v>
      </c>
      <c r="AA151" s="53"/>
      <c r="AB151" s="35" t="s">
        <v>179</v>
      </c>
      <c r="AC151" s="51"/>
      <c r="AD151" s="53">
        <v>2822576</v>
      </c>
      <c r="AE151" s="53"/>
      <c r="AF151" s="53">
        <f>2128499-233734</f>
        <v>1894765</v>
      </c>
      <c r="AG151" s="53"/>
      <c r="AH151" s="53">
        <v>233734</v>
      </c>
      <c r="AI151" s="53"/>
      <c r="AJ151" s="45">
        <f t="shared" si="26"/>
        <v>694077</v>
      </c>
      <c r="AK151" s="45"/>
      <c r="AL151" s="53">
        <v>-305763</v>
      </c>
      <c r="AM151" s="45"/>
      <c r="AN151" s="53">
        <v>50161</v>
      </c>
      <c r="AO151" s="53"/>
      <c r="AP151" s="53">
        <v>64630</v>
      </c>
      <c r="AQ151" s="53"/>
      <c r="AR151" s="53">
        <v>0</v>
      </c>
      <c r="AS151" s="53"/>
      <c r="AT151" s="45">
        <f t="shared" si="27"/>
        <v>373845</v>
      </c>
      <c r="AU151" s="45"/>
      <c r="AV151" s="53">
        <v>0</v>
      </c>
      <c r="AW151" s="53"/>
      <c r="AX151" s="53">
        <v>0</v>
      </c>
      <c r="AY151" s="53"/>
      <c r="AZ151" s="53">
        <f t="shared" si="24"/>
        <v>-8249933</v>
      </c>
      <c r="BA151" s="51"/>
      <c r="BB151" s="35" t="s">
        <v>178</v>
      </c>
      <c r="BD151" s="35" t="s">
        <v>179</v>
      </c>
      <c r="BE151" s="53"/>
      <c r="BF151" s="53">
        <f>1610000+130000</f>
        <v>1740000</v>
      </c>
      <c r="BG151" s="53"/>
      <c r="BH151" s="53">
        <f>3965000+140000</f>
        <v>4105000</v>
      </c>
      <c r="BI151" s="53"/>
      <c r="BJ151" s="53">
        <f>158166+39973</f>
        <v>198139</v>
      </c>
      <c r="BK151" s="53"/>
      <c r="BL151" s="53">
        <f>72349+23113</f>
        <v>95462</v>
      </c>
      <c r="BM151" s="53"/>
      <c r="BN151" s="53">
        <f t="shared" si="30"/>
        <v>6138601</v>
      </c>
      <c r="BO151" s="54"/>
      <c r="BS151" s="55"/>
      <c r="BT151" s="55"/>
      <c r="BU151" s="84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</row>
    <row r="152" spans="1:95" s="35" customFormat="1" ht="12.75" customHeight="1">
      <c r="A152" s="35" t="s">
        <v>180</v>
      </c>
      <c r="B152" s="51"/>
      <c r="C152" s="35" t="s">
        <v>20</v>
      </c>
      <c r="D152" s="44"/>
      <c r="E152" s="53">
        <f t="shared" si="28"/>
        <v>568600</v>
      </c>
      <c r="F152" s="53"/>
      <c r="G152" s="53">
        <v>2843269</v>
      </c>
      <c r="H152" s="53"/>
      <c r="I152" s="53">
        <v>3411869</v>
      </c>
      <c r="J152" s="53"/>
      <c r="K152" s="53">
        <f t="shared" si="29"/>
        <v>136689</v>
      </c>
      <c r="L152" s="53"/>
      <c r="M152" s="53">
        <v>445782</v>
      </c>
      <c r="N152" s="53"/>
      <c r="O152" s="53">
        <v>582471</v>
      </c>
      <c r="P152" s="53"/>
      <c r="Q152" s="53">
        <v>2399217</v>
      </c>
      <c r="R152" s="53"/>
      <c r="S152" s="53">
        <v>0</v>
      </c>
      <c r="T152" s="53"/>
      <c r="U152" s="53">
        <v>430181</v>
      </c>
      <c r="V152" s="53"/>
      <c r="W152" s="53">
        <f t="shared" si="25"/>
        <v>2829398</v>
      </c>
      <c r="X152" s="51"/>
      <c r="Y152" s="51"/>
      <c r="Z152" s="35" t="s">
        <v>180</v>
      </c>
      <c r="AA152" s="53"/>
      <c r="AB152" s="35" t="s">
        <v>20</v>
      </c>
      <c r="AC152" s="51"/>
      <c r="AD152" s="53">
        <v>1039824</v>
      </c>
      <c r="AE152" s="53"/>
      <c r="AF152" s="53">
        <f>990831-135410</f>
        <v>855421</v>
      </c>
      <c r="AG152" s="53"/>
      <c r="AH152" s="53">
        <v>135410</v>
      </c>
      <c r="AI152" s="53"/>
      <c r="AJ152" s="45">
        <f t="shared" si="26"/>
        <v>48993</v>
      </c>
      <c r="AK152" s="45"/>
      <c r="AL152" s="53">
        <v>-9000</v>
      </c>
      <c r="AM152" s="45"/>
      <c r="AN152" s="53">
        <v>40000</v>
      </c>
      <c r="AO152" s="53"/>
      <c r="AP152" s="53">
        <v>0</v>
      </c>
      <c r="AQ152" s="53"/>
      <c r="AR152" s="53">
        <v>42416</v>
      </c>
      <c r="AS152" s="53"/>
      <c r="AT152" s="45">
        <f t="shared" si="27"/>
        <v>122409</v>
      </c>
      <c r="AU152" s="45"/>
      <c r="AV152" s="53">
        <v>0</v>
      </c>
      <c r="AW152" s="53"/>
      <c r="AX152" s="53">
        <v>0</v>
      </c>
      <c r="AY152" s="53"/>
      <c r="AZ152" s="53">
        <f t="shared" si="24"/>
        <v>431911</v>
      </c>
      <c r="BA152" s="51"/>
      <c r="BB152" s="35" t="s">
        <v>180</v>
      </c>
      <c r="BD152" s="35" t="s">
        <v>20</v>
      </c>
      <c r="BE152" s="53"/>
      <c r="BF152" s="53">
        <v>0</v>
      </c>
      <c r="BG152" s="53"/>
      <c r="BH152" s="53">
        <v>0</v>
      </c>
      <c r="BI152" s="53"/>
      <c r="BJ152" s="53">
        <f>305841+104641+24319+9251</f>
        <v>444052</v>
      </c>
      <c r="BK152" s="53"/>
      <c r="BL152" s="53">
        <f>9821+35300</f>
        <v>45121</v>
      </c>
      <c r="BM152" s="53"/>
      <c r="BN152" s="53">
        <f t="shared" si="30"/>
        <v>489173</v>
      </c>
      <c r="BO152" s="54"/>
      <c r="BS152" s="55"/>
      <c r="BT152" s="55"/>
      <c r="BU152" s="84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</row>
    <row r="153" spans="1:95" s="35" customFormat="1" ht="12.75" customHeight="1">
      <c r="A153" s="35" t="s">
        <v>182</v>
      </c>
      <c r="C153" s="35" t="s">
        <v>183</v>
      </c>
      <c r="D153" s="44"/>
      <c r="E153" s="53">
        <f t="shared" si="28"/>
        <v>243388</v>
      </c>
      <c r="F153" s="53"/>
      <c r="G153" s="53">
        <v>2817353</v>
      </c>
      <c r="H153" s="53"/>
      <c r="I153" s="53">
        <v>3060741</v>
      </c>
      <c r="J153" s="53"/>
      <c r="K153" s="53">
        <f t="shared" si="29"/>
        <v>185604</v>
      </c>
      <c r="L153" s="53"/>
      <c r="M153" s="53">
        <v>2708098</v>
      </c>
      <c r="N153" s="53"/>
      <c r="O153" s="53">
        <v>2893702</v>
      </c>
      <c r="P153" s="53"/>
      <c r="Q153" s="53">
        <v>0</v>
      </c>
      <c r="R153" s="53"/>
      <c r="S153" s="53">
        <v>0</v>
      </c>
      <c r="T153" s="53"/>
      <c r="U153" s="53">
        <v>167039</v>
      </c>
      <c r="V153" s="53"/>
      <c r="W153" s="53">
        <f t="shared" si="25"/>
        <v>167039</v>
      </c>
      <c r="X153" s="51"/>
      <c r="Y153" s="51"/>
      <c r="Z153" s="35" t="s">
        <v>182</v>
      </c>
      <c r="AA153" s="53"/>
      <c r="AB153" s="35" t="s">
        <v>183</v>
      </c>
      <c r="AC153" s="51"/>
      <c r="AD153" s="53">
        <v>714491</v>
      </c>
      <c r="AE153" s="53"/>
      <c r="AF153" s="53">
        <f>836374-414403</f>
        <v>421971</v>
      </c>
      <c r="AG153" s="53"/>
      <c r="AH153" s="53">
        <v>414403</v>
      </c>
      <c r="AI153" s="53"/>
      <c r="AJ153" s="45">
        <f t="shared" si="26"/>
        <v>-121883</v>
      </c>
      <c r="AK153" s="45"/>
      <c r="AL153" s="53">
        <v>-21733</v>
      </c>
      <c r="AM153" s="45"/>
      <c r="AN153" s="53">
        <v>0</v>
      </c>
      <c r="AO153" s="53"/>
      <c r="AP153" s="53">
        <v>0</v>
      </c>
      <c r="AQ153" s="53"/>
      <c r="AR153" s="53">
        <v>0</v>
      </c>
      <c r="AS153" s="53"/>
      <c r="AT153" s="45">
        <f t="shared" si="27"/>
        <v>-143616</v>
      </c>
      <c r="AU153" s="45"/>
      <c r="AV153" s="53">
        <v>0</v>
      </c>
      <c r="AW153" s="53"/>
      <c r="AX153" s="53">
        <v>0</v>
      </c>
      <c r="AY153" s="53"/>
      <c r="AZ153" s="53">
        <f t="shared" si="24"/>
        <v>57784</v>
      </c>
      <c r="BA153" s="51"/>
      <c r="BB153" s="35" t="s">
        <v>182</v>
      </c>
      <c r="BD153" s="35" t="s">
        <v>183</v>
      </c>
      <c r="BE153" s="53"/>
      <c r="BF153" s="53">
        <v>0</v>
      </c>
      <c r="BG153" s="53"/>
      <c r="BH153" s="53">
        <v>0</v>
      </c>
      <c r="BI153" s="53"/>
      <c r="BJ153" s="53">
        <f>2692074+163920</f>
        <v>2855994</v>
      </c>
      <c r="BK153" s="53"/>
      <c r="BL153" s="53">
        <f>16024+5979</f>
        <v>22003</v>
      </c>
      <c r="BM153" s="53"/>
      <c r="BN153" s="53">
        <f t="shared" si="30"/>
        <v>2877997</v>
      </c>
      <c r="BO153" s="54"/>
      <c r="BS153" s="55"/>
      <c r="BT153" s="55"/>
      <c r="BU153" s="84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</row>
    <row r="154" spans="1:95" s="35" customFormat="1" ht="12.75" customHeight="1">
      <c r="A154" s="35" t="s">
        <v>184</v>
      </c>
      <c r="B154" s="51"/>
      <c r="C154" s="35" t="s">
        <v>89</v>
      </c>
      <c r="D154" s="44"/>
      <c r="E154" s="53">
        <f t="shared" si="28"/>
        <v>1799202</v>
      </c>
      <c r="F154" s="53"/>
      <c r="G154" s="53">
        <v>10403056</v>
      </c>
      <c r="H154" s="53"/>
      <c r="I154" s="53">
        <v>12202258</v>
      </c>
      <c r="J154" s="53"/>
      <c r="K154" s="53">
        <f t="shared" si="29"/>
        <v>129036</v>
      </c>
      <c r="L154" s="53"/>
      <c r="M154" s="53">
        <v>157582</v>
      </c>
      <c r="N154" s="53"/>
      <c r="O154" s="53">
        <v>286618</v>
      </c>
      <c r="P154" s="53"/>
      <c r="Q154" s="53">
        <v>10328056</v>
      </c>
      <c r="R154" s="53"/>
      <c r="S154" s="53">
        <v>0</v>
      </c>
      <c r="T154" s="53"/>
      <c r="U154" s="53">
        <v>1587584</v>
      </c>
      <c r="V154" s="53"/>
      <c r="W154" s="53">
        <f t="shared" si="25"/>
        <v>11915640</v>
      </c>
      <c r="X154" s="51"/>
      <c r="Y154" s="51"/>
      <c r="Z154" s="35" t="s">
        <v>184</v>
      </c>
      <c r="AA154" s="53"/>
      <c r="AB154" s="35" t="s">
        <v>89</v>
      </c>
      <c r="AC154" s="51"/>
      <c r="AD154" s="53">
        <v>2419518</v>
      </c>
      <c r="AE154" s="53"/>
      <c r="AF154" s="53">
        <f>2289863-454670</f>
        <v>1835193</v>
      </c>
      <c r="AG154" s="53"/>
      <c r="AH154" s="53">
        <v>454670</v>
      </c>
      <c r="AI154" s="53"/>
      <c r="AJ154" s="45">
        <f t="shared" si="26"/>
        <v>129655</v>
      </c>
      <c r="AK154" s="45"/>
      <c r="AL154" s="53">
        <v>254261</v>
      </c>
      <c r="AM154" s="45"/>
      <c r="AN154" s="53">
        <v>0</v>
      </c>
      <c r="AO154" s="53"/>
      <c r="AP154" s="53">
        <v>0</v>
      </c>
      <c r="AQ154" s="53"/>
      <c r="AR154" s="53">
        <v>0</v>
      </c>
      <c r="AS154" s="53"/>
      <c r="AT154" s="45">
        <f t="shared" si="27"/>
        <v>383916</v>
      </c>
      <c r="AU154" s="45"/>
      <c r="AV154" s="53">
        <v>0</v>
      </c>
      <c r="AW154" s="53"/>
      <c r="AX154" s="53">
        <v>0</v>
      </c>
      <c r="AY154" s="53"/>
      <c r="AZ154" s="53">
        <f t="shared" ref="AZ154:AZ184" si="31">E154-K154</f>
        <v>1670166</v>
      </c>
      <c r="BA154" s="51"/>
      <c r="BB154" s="35" t="s">
        <v>184</v>
      </c>
      <c r="BD154" s="35" t="s">
        <v>89</v>
      </c>
      <c r="BE154" s="53"/>
      <c r="BF154" s="53">
        <v>0</v>
      </c>
      <c r="BG154" s="53"/>
      <c r="BH154" s="53">
        <v>0</v>
      </c>
      <c r="BI154" s="53"/>
      <c r="BJ154" s="53">
        <f>71792+5000</f>
        <v>76792</v>
      </c>
      <c r="BK154" s="53"/>
      <c r="BL154" s="53">
        <f>85790+12205</f>
        <v>97995</v>
      </c>
      <c r="BM154" s="53"/>
      <c r="BN154" s="53">
        <f t="shared" si="30"/>
        <v>174787</v>
      </c>
      <c r="BO154" s="54"/>
      <c r="BS154" s="55"/>
      <c r="BT154" s="55"/>
      <c r="BU154" s="84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</row>
    <row r="155" spans="1:95" s="35" customFormat="1" ht="12.75" customHeight="1">
      <c r="A155" s="35" t="s">
        <v>181</v>
      </c>
      <c r="B155" s="51"/>
      <c r="C155" s="35" t="s">
        <v>125</v>
      </c>
      <c r="D155" s="44"/>
      <c r="E155" s="53">
        <f t="shared" si="28"/>
        <v>3882911</v>
      </c>
      <c r="F155" s="53"/>
      <c r="G155" s="53">
        <v>19448082</v>
      </c>
      <c r="H155" s="53"/>
      <c r="I155" s="53">
        <v>23330993</v>
      </c>
      <c r="J155" s="53"/>
      <c r="K155" s="53">
        <f t="shared" si="29"/>
        <v>1165906</v>
      </c>
      <c r="L155" s="53"/>
      <c r="M155" s="53">
        <v>10782314</v>
      </c>
      <c r="N155" s="53"/>
      <c r="O155" s="53">
        <v>11948220</v>
      </c>
      <c r="P155" s="53"/>
      <c r="Q155" s="53">
        <v>12522373</v>
      </c>
      <c r="R155" s="53"/>
      <c r="S155" s="53">
        <v>0</v>
      </c>
      <c r="T155" s="53"/>
      <c r="U155" s="53">
        <v>-1139600</v>
      </c>
      <c r="V155" s="53"/>
      <c r="W155" s="53">
        <f t="shared" si="25"/>
        <v>11382773</v>
      </c>
      <c r="X155" s="51"/>
      <c r="Y155" s="51"/>
      <c r="Z155" s="35" t="s">
        <v>181</v>
      </c>
      <c r="AA155" s="53"/>
      <c r="AB155" s="35" t="s">
        <v>125</v>
      </c>
      <c r="AC155" s="51"/>
      <c r="AD155" s="53">
        <v>6094605</v>
      </c>
      <c r="AE155" s="53"/>
      <c r="AF155" s="53">
        <f>5421424-799781</f>
        <v>4621643</v>
      </c>
      <c r="AG155" s="53"/>
      <c r="AH155" s="53">
        <v>799781</v>
      </c>
      <c r="AI155" s="53"/>
      <c r="AJ155" s="45">
        <f t="shared" si="26"/>
        <v>673181</v>
      </c>
      <c r="AK155" s="45"/>
      <c r="AL155" s="53">
        <v>-601714</v>
      </c>
      <c r="AM155" s="45"/>
      <c r="AN155" s="53">
        <v>0</v>
      </c>
      <c r="AO155" s="53"/>
      <c r="AP155" s="53">
        <v>0</v>
      </c>
      <c r="AQ155" s="53"/>
      <c r="AR155" s="53">
        <v>0</v>
      </c>
      <c r="AS155" s="53"/>
      <c r="AT155" s="45">
        <f t="shared" si="27"/>
        <v>71467</v>
      </c>
      <c r="AU155" s="45"/>
      <c r="AV155" s="53">
        <v>0</v>
      </c>
      <c r="AW155" s="53"/>
      <c r="AX155" s="53">
        <v>0</v>
      </c>
      <c r="AY155" s="53"/>
      <c r="AZ155" s="53">
        <f t="shared" si="31"/>
        <v>2717005</v>
      </c>
      <c r="BA155" s="51"/>
      <c r="BB155" s="35" t="s">
        <v>181</v>
      </c>
      <c r="BD155" s="35" t="s">
        <v>125</v>
      </c>
      <c r="BE155" s="53"/>
      <c r="BF155" s="53">
        <f>8432340+774290</f>
        <v>9206630</v>
      </c>
      <c r="BG155" s="53"/>
      <c r="BH155" s="53">
        <v>0</v>
      </c>
      <c r="BI155" s="53"/>
      <c r="BJ155" s="53">
        <v>1837896</v>
      </c>
      <c r="BK155" s="53"/>
      <c r="BL155" s="53">
        <f>352+275902+235824+125422+44093</f>
        <v>681593</v>
      </c>
      <c r="BM155" s="53"/>
      <c r="BN155" s="53">
        <f t="shared" ref="BN155" si="32">SUM(BF155:BL155)</f>
        <v>11726119</v>
      </c>
      <c r="BO155" s="54"/>
      <c r="BP155" s="55"/>
      <c r="BS155" s="55"/>
      <c r="BT155" s="55"/>
      <c r="BU155" s="84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</row>
    <row r="156" spans="1:95" s="35" customFormat="1" ht="12.75" customHeight="1">
      <c r="A156" s="35" t="s">
        <v>185</v>
      </c>
      <c r="C156" s="35" t="s">
        <v>80</v>
      </c>
      <c r="D156" s="44"/>
      <c r="E156" s="53">
        <f t="shared" si="28"/>
        <v>10423492</v>
      </c>
      <c r="F156" s="53"/>
      <c r="G156" s="53">
        <v>1570065</v>
      </c>
      <c r="H156" s="53"/>
      <c r="I156" s="53">
        <v>11993557</v>
      </c>
      <c r="J156" s="53"/>
      <c r="K156" s="53">
        <f t="shared" si="29"/>
        <v>3380574</v>
      </c>
      <c r="L156" s="53"/>
      <c r="M156" s="53">
        <v>896821</v>
      </c>
      <c r="N156" s="53"/>
      <c r="O156" s="53">
        <v>4277395</v>
      </c>
      <c r="P156" s="53"/>
      <c r="Q156" s="53">
        <v>338572</v>
      </c>
      <c r="R156" s="53"/>
      <c r="S156" s="53">
        <v>0</v>
      </c>
      <c r="T156" s="53"/>
      <c r="U156" s="53">
        <v>-2622410</v>
      </c>
      <c r="V156" s="53"/>
      <c r="W156" s="53">
        <f t="shared" si="25"/>
        <v>-2283838</v>
      </c>
      <c r="Z156" s="35" t="s">
        <v>185</v>
      </c>
      <c r="AA156" s="53"/>
      <c r="AB156" s="35" t="s">
        <v>80</v>
      </c>
      <c r="AD156" s="53">
        <v>4214674</v>
      </c>
      <c r="AE156" s="53"/>
      <c r="AF156" s="53">
        <f>5102232-76339</f>
        <v>5025893</v>
      </c>
      <c r="AG156" s="53"/>
      <c r="AH156" s="53">
        <v>76339</v>
      </c>
      <c r="AI156" s="53"/>
      <c r="AJ156" s="45">
        <f t="shared" si="26"/>
        <v>-887558</v>
      </c>
      <c r="AK156" s="45"/>
      <c r="AL156" s="53">
        <v>-417163</v>
      </c>
      <c r="AM156" s="45"/>
      <c r="AN156" s="53">
        <v>0</v>
      </c>
      <c r="AO156" s="53"/>
      <c r="AP156" s="53">
        <v>0</v>
      </c>
      <c r="AQ156" s="53"/>
      <c r="AR156" s="53">
        <v>0</v>
      </c>
      <c r="AS156" s="53"/>
      <c r="AT156" s="45">
        <f t="shared" si="27"/>
        <v>-1304721</v>
      </c>
      <c r="AU156" s="45"/>
      <c r="AV156" s="53">
        <v>0</v>
      </c>
      <c r="AW156" s="53"/>
      <c r="AX156" s="53">
        <v>0</v>
      </c>
      <c r="AY156" s="53"/>
      <c r="AZ156" s="53">
        <f t="shared" si="31"/>
        <v>7042918</v>
      </c>
      <c r="BA156" s="51"/>
      <c r="BB156" s="35" t="s">
        <v>185</v>
      </c>
      <c r="BD156" s="35" t="s">
        <v>80</v>
      </c>
      <c r="BE156" s="53"/>
      <c r="BF156" s="53">
        <v>0</v>
      </c>
      <c r="BG156" s="53"/>
      <c r="BH156" s="53">
        <v>0</v>
      </c>
      <c r="BI156" s="53"/>
      <c r="BJ156" s="53">
        <f>799813+159962</f>
        <v>959775</v>
      </c>
      <c r="BK156" s="53"/>
      <c r="BL156" s="53">
        <f>97008+8234</f>
        <v>105242</v>
      </c>
      <c r="BM156" s="53"/>
      <c r="BN156" s="53">
        <f t="shared" si="30"/>
        <v>1065017</v>
      </c>
      <c r="BO156" s="54"/>
      <c r="BP156" s="55"/>
      <c r="BS156" s="55"/>
      <c r="BT156" s="55"/>
      <c r="BU156" s="84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</row>
    <row r="157" spans="1:95" s="35" customFormat="1" ht="12.75" customHeight="1">
      <c r="A157" s="35" t="s">
        <v>186</v>
      </c>
      <c r="B157" s="51"/>
      <c r="C157" s="35" t="s">
        <v>15</v>
      </c>
      <c r="D157" s="44"/>
      <c r="E157" s="53">
        <f t="shared" si="28"/>
        <v>3865915</v>
      </c>
      <c r="F157" s="53"/>
      <c r="G157" s="53">
        <v>34773635</v>
      </c>
      <c r="H157" s="53"/>
      <c r="I157" s="53">
        <v>38639550</v>
      </c>
      <c r="J157" s="53"/>
      <c r="K157" s="53">
        <f t="shared" si="29"/>
        <v>2082145</v>
      </c>
      <c r="L157" s="53"/>
      <c r="M157" s="53">
        <v>13621451</v>
      </c>
      <c r="N157" s="53"/>
      <c r="O157" s="53">
        <v>15703596</v>
      </c>
      <c r="P157" s="53"/>
      <c r="Q157" s="53">
        <v>20236904</v>
      </c>
      <c r="R157" s="53"/>
      <c r="S157" s="53">
        <v>0</v>
      </c>
      <c r="T157" s="53"/>
      <c r="U157" s="53">
        <v>2699050</v>
      </c>
      <c r="V157" s="53"/>
      <c r="W157" s="53">
        <f t="shared" si="25"/>
        <v>22935954</v>
      </c>
      <c r="X157" s="51"/>
      <c r="Y157" s="51"/>
      <c r="Z157" s="35" t="s">
        <v>186</v>
      </c>
      <c r="AA157" s="53"/>
      <c r="AB157" s="35" t="s">
        <v>15</v>
      </c>
      <c r="AC157" s="51"/>
      <c r="AD157" s="53">
        <v>5948192</v>
      </c>
      <c r="AE157" s="53"/>
      <c r="AF157" s="53">
        <f>4742091-1689349</f>
        <v>3052742</v>
      </c>
      <c r="AG157" s="53"/>
      <c r="AH157" s="53">
        <v>1689349</v>
      </c>
      <c r="AI157" s="53"/>
      <c r="AJ157" s="45">
        <f t="shared" si="26"/>
        <v>1206101</v>
      </c>
      <c r="AK157" s="45"/>
      <c r="AL157" s="53">
        <v>-533179</v>
      </c>
      <c r="AM157" s="45"/>
      <c r="AN157" s="53">
        <v>0</v>
      </c>
      <c r="AO157" s="53"/>
      <c r="AP157" s="53">
        <v>50000</v>
      </c>
      <c r="AQ157" s="53"/>
      <c r="AR157" s="53">
        <v>240000</v>
      </c>
      <c r="AS157" s="53"/>
      <c r="AT157" s="45">
        <f t="shared" si="27"/>
        <v>862922</v>
      </c>
      <c r="AU157" s="45"/>
      <c r="AV157" s="53">
        <v>0</v>
      </c>
      <c r="AW157" s="53"/>
      <c r="AX157" s="53">
        <v>0</v>
      </c>
      <c r="AY157" s="53"/>
      <c r="AZ157" s="53">
        <f t="shared" si="31"/>
        <v>1783770</v>
      </c>
      <c r="BA157" s="51"/>
      <c r="BB157" s="35" t="s">
        <v>186</v>
      </c>
      <c r="BD157" s="35" t="s">
        <v>15</v>
      </c>
      <c r="BE157" s="53"/>
      <c r="BF157" s="53">
        <f>3640000+915000</f>
        <v>4555000</v>
      </c>
      <c r="BG157" s="53"/>
      <c r="BH157" s="53">
        <v>0</v>
      </c>
      <c r="BI157" s="53"/>
      <c r="BJ157" s="53">
        <v>10534076</v>
      </c>
      <c r="BK157" s="53"/>
      <c r="BL157" s="53">
        <v>0</v>
      </c>
      <c r="BM157" s="53"/>
      <c r="BN157" s="53">
        <f t="shared" si="30"/>
        <v>15089076</v>
      </c>
      <c r="BO157" s="54"/>
      <c r="BS157" s="55"/>
      <c r="BT157" s="55"/>
      <c r="BU157" s="84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</row>
    <row r="158" spans="1:95" s="126" customFormat="1" ht="12.75" hidden="1" customHeight="1">
      <c r="A158" s="35" t="s">
        <v>187</v>
      </c>
      <c r="B158" s="51"/>
      <c r="C158" s="35" t="s">
        <v>27</v>
      </c>
      <c r="D158" s="44"/>
      <c r="E158" s="53">
        <f t="shared" si="28"/>
        <v>0</v>
      </c>
      <c r="F158" s="53"/>
      <c r="G158" s="53">
        <v>0</v>
      </c>
      <c r="H158" s="53"/>
      <c r="I158" s="53">
        <v>0</v>
      </c>
      <c r="J158" s="53"/>
      <c r="K158" s="53">
        <f t="shared" si="29"/>
        <v>0</v>
      </c>
      <c r="L158" s="53"/>
      <c r="M158" s="53">
        <v>0</v>
      </c>
      <c r="N158" s="53"/>
      <c r="O158" s="53">
        <v>0</v>
      </c>
      <c r="P158" s="53"/>
      <c r="Q158" s="53">
        <v>0</v>
      </c>
      <c r="R158" s="53"/>
      <c r="S158" s="53">
        <v>0</v>
      </c>
      <c r="T158" s="53"/>
      <c r="U158" s="53">
        <v>0</v>
      </c>
      <c r="V158" s="53"/>
      <c r="W158" s="53">
        <f t="shared" si="25"/>
        <v>0</v>
      </c>
      <c r="X158" s="51"/>
      <c r="Y158" s="51"/>
      <c r="Z158" s="35" t="s">
        <v>187</v>
      </c>
      <c r="AA158" s="53"/>
      <c r="AB158" s="35" t="s">
        <v>27</v>
      </c>
      <c r="AC158" s="51"/>
      <c r="AD158" s="53">
        <v>0</v>
      </c>
      <c r="AE158" s="53"/>
      <c r="AF158" s="53">
        <v>0</v>
      </c>
      <c r="AG158" s="53"/>
      <c r="AH158" s="53">
        <v>0</v>
      </c>
      <c r="AI158" s="53"/>
      <c r="AJ158" s="45">
        <f t="shared" si="26"/>
        <v>0</v>
      </c>
      <c r="AK158" s="45"/>
      <c r="AL158" s="53">
        <v>0</v>
      </c>
      <c r="AM158" s="45"/>
      <c r="AN158" s="53">
        <v>0</v>
      </c>
      <c r="AO158" s="53"/>
      <c r="AP158" s="53">
        <v>0</v>
      </c>
      <c r="AQ158" s="53"/>
      <c r="AR158" s="53">
        <v>0</v>
      </c>
      <c r="AS158" s="53"/>
      <c r="AT158" s="45">
        <f t="shared" si="27"/>
        <v>0</v>
      </c>
      <c r="AU158" s="45"/>
      <c r="AV158" s="53">
        <v>0</v>
      </c>
      <c r="AW158" s="53"/>
      <c r="AX158" s="53">
        <v>0</v>
      </c>
      <c r="AY158" s="53"/>
      <c r="AZ158" s="53">
        <f t="shared" si="31"/>
        <v>0</v>
      </c>
      <c r="BA158" s="51"/>
      <c r="BB158" s="35" t="s">
        <v>187</v>
      </c>
      <c r="BC158" s="35"/>
      <c r="BD158" s="35" t="s">
        <v>27</v>
      </c>
      <c r="BE158" s="53"/>
      <c r="BF158" s="53">
        <v>0</v>
      </c>
      <c r="BG158" s="53"/>
      <c r="BH158" s="53">
        <v>0</v>
      </c>
      <c r="BI158" s="53"/>
      <c r="BJ158" s="53">
        <v>0</v>
      </c>
      <c r="BK158" s="53"/>
      <c r="BL158" s="53">
        <v>0</v>
      </c>
      <c r="BM158" s="79"/>
      <c r="BN158" s="79">
        <f t="shared" si="30"/>
        <v>0</v>
      </c>
      <c r="BO158" s="139"/>
      <c r="BS158" s="140"/>
      <c r="BT158" s="140"/>
      <c r="BU158" s="141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</row>
    <row r="159" spans="1:95" s="35" customFormat="1" ht="12.75" customHeight="1">
      <c r="A159" s="44" t="s">
        <v>189</v>
      </c>
      <c r="B159" s="51"/>
      <c r="C159" s="44" t="s">
        <v>17</v>
      </c>
      <c r="D159" s="44"/>
      <c r="E159" s="53">
        <f t="shared" si="28"/>
        <v>4978717</v>
      </c>
      <c r="F159" s="53"/>
      <c r="G159" s="53">
        <v>22225537</v>
      </c>
      <c r="H159" s="53"/>
      <c r="I159" s="53">
        <v>27204254</v>
      </c>
      <c r="J159" s="53"/>
      <c r="K159" s="53">
        <f t="shared" si="29"/>
        <v>1456279</v>
      </c>
      <c r="L159" s="53"/>
      <c r="M159" s="53">
        <v>6662392</v>
      </c>
      <c r="N159" s="53"/>
      <c r="O159" s="53">
        <v>8118671</v>
      </c>
      <c r="P159" s="53"/>
      <c r="Q159" s="53">
        <v>14785908</v>
      </c>
      <c r="R159" s="53"/>
      <c r="S159" s="53">
        <v>0</v>
      </c>
      <c r="T159" s="53"/>
      <c r="U159" s="53">
        <v>4299675</v>
      </c>
      <c r="V159" s="53"/>
      <c r="W159" s="53">
        <f t="shared" si="25"/>
        <v>19085583</v>
      </c>
      <c r="X159" s="51"/>
      <c r="Y159" s="51"/>
      <c r="Z159" s="44" t="s">
        <v>189</v>
      </c>
      <c r="AA159" s="53"/>
      <c r="AB159" s="44" t="s">
        <v>17</v>
      </c>
      <c r="AC159" s="51"/>
      <c r="AD159" s="53">
        <v>3806474</v>
      </c>
      <c r="AE159" s="53"/>
      <c r="AF159" s="53">
        <f>3227282-646756</f>
        <v>2580526</v>
      </c>
      <c r="AG159" s="53"/>
      <c r="AH159" s="53">
        <v>646756</v>
      </c>
      <c r="AI159" s="53"/>
      <c r="AJ159" s="45">
        <f t="shared" si="26"/>
        <v>579192</v>
      </c>
      <c r="AK159" s="45"/>
      <c r="AL159" s="53">
        <v>-292841</v>
      </c>
      <c r="AM159" s="45"/>
      <c r="AN159" s="53">
        <v>0</v>
      </c>
      <c r="AO159" s="53"/>
      <c r="AP159" s="53">
        <v>0</v>
      </c>
      <c r="AQ159" s="53"/>
      <c r="AR159" s="53">
        <v>446488</v>
      </c>
      <c r="AS159" s="53"/>
      <c r="AT159" s="45">
        <f t="shared" si="27"/>
        <v>732839</v>
      </c>
      <c r="AU159" s="45"/>
      <c r="AV159" s="53">
        <v>0</v>
      </c>
      <c r="AW159" s="53"/>
      <c r="AX159" s="53">
        <v>0</v>
      </c>
      <c r="AY159" s="53"/>
      <c r="AZ159" s="53">
        <f t="shared" si="31"/>
        <v>3522438</v>
      </c>
      <c r="BA159" s="51"/>
      <c r="BB159" s="44" t="s">
        <v>189</v>
      </c>
      <c r="BD159" s="44" t="s">
        <v>17</v>
      </c>
      <c r="BE159" s="53"/>
      <c r="BF159" s="53">
        <f>3965000+480000</f>
        <v>4445000</v>
      </c>
      <c r="BG159" s="53"/>
      <c r="BH159" s="53">
        <v>0</v>
      </c>
      <c r="BI159" s="53"/>
      <c r="BJ159" s="53">
        <f>2498829+160800</f>
        <v>2659629</v>
      </c>
      <c r="BK159" s="53"/>
      <c r="BL159" s="53">
        <f>1560+197003+435+21881</f>
        <v>220879</v>
      </c>
      <c r="BM159" s="53"/>
      <c r="BN159" s="53">
        <f t="shared" si="30"/>
        <v>7325508</v>
      </c>
      <c r="BO159" s="54"/>
      <c r="BS159" s="55"/>
      <c r="BT159" s="55"/>
      <c r="BU159" s="84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</row>
    <row r="160" spans="1:95" s="35" customFormat="1" ht="12.75" hidden="1" customHeight="1">
      <c r="A160" s="35" t="s">
        <v>188</v>
      </c>
      <c r="B160" s="51"/>
      <c r="C160" s="35" t="s">
        <v>27</v>
      </c>
      <c r="D160" s="44"/>
      <c r="E160" s="53">
        <f t="shared" si="28"/>
        <v>0</v>
      </c>
      <c r="F160" s="53"/>
      <c r="G160" s="53">
        <v>0</v>
      </c>
      <c r="H160" s="53"/>
      <c r="I160" s="53">
        <v>0</v>
      </c>
      <c r="J160" s="53"/>
      <c r="K160" s="53">
        <f t="shared" si="29"/>
        <v>0</v>
      </c>
      <c r="L160" s="53"/>
      <c r="M160" s="53">
        <v>0</v>
      </c>
      <c r="N160" s="53"/>
      <c r="O160" s="53">
        <v>0</v>
      </c>
      <c r="P160" s="53"/>
      <c r="Q160" s="53">
        <v>0</v>
      </c>
      <c r="R160" s="53"/>
      <c r="S160" s="53">
        <v>0</v>
      </c>
      <c r="T160" s="53"/>
      <c r="U160" s="53">
        <v>0</v>
      </c>
      <c r="V160" s="53"/>
      <c r="W160" s="53">
        <f t="shared" si="25"/>
        <v>0</v>
      </c>
      <c r="X160" s="51"/>
      <c r="Y160" s="51"/>
      <c r="Z160" s="35" t="s">
        <v>188</v>
      </c>
      <c r="AA160" s="53"/>
      <c r="AB160" s="35" t="s">
        <v>27</v>
      </c>
      <c r="AC160" s="51"/>
      <c r="AD160" s="53">
        <v>0</v>
      </c>
      <c r="AE160" s="53"/>
      <c r="AF160" s="53">
        <v>0</v>
      </c>
      <c r="AG160" s="53"/>
      <c r="AH160" s="53">
        <v>0</v>
      </c>
      <c r="AI160" s="53"/>
      <c r="AJ160" s="45">
        <f t="shared" si="26"/>
        <v>0</v>
      </c>
      <c r="AK160" s="45"/>
      <c r="AL160" s="53">
        <v>0</v>
      </c>
      <c r="AM160" s="45"/>
      <c r="AN160" s="53">
        <v>0</v>
      </c>
      <c r="AO160" s="53"/>
      <c r="AP160" s="53">
        <v>0</v>
      </c>
      <c r="AQ160" s="53"/>
      <c r="AR160" s="53">
        <v>0</v>
      </c>
      <c r="AS160" s="53"/>
      <c r="AT160" s="45">
        <f t="shared" si="27"/>
        <v>0</v>
      </c>
      <c r="AU160" s="45"/>
      <c r="AV160" s="53">
        <v>0</v>
      </c>
      <c r="AW160" s="53"/>
      <c r="AX160" s="53">
        <v>0</v>
      </c>
      <c r="AY160" s="53"/>
      <c r="AZ160" s="53">
        <f t="shared" si="31"/>
        <v>0</v>
      </c>
      <c r="BA160" s="51"/>
      <c r="BB160" s="35" t="s">
        <v>188</v>
      </c>
      <c r="BD160" s="35" t="s">
        <v>27</v>
      </c>
      <c r="BE160" s="53"/>
      <c r="BF160" s="53">
        <v>0</v>
      </c>
      <c r="BG160" s="53"/>
      <c r="BH160" s="53">
        <v>0</v>
      </c>
      <c r="BI160" s="53"/>
      <c r="BJ160" s="53">
        <v>0</v>
      </c>
      <c r="BK160" s="53"/>
      <c r="BL160" s="53">
        <v>0</v>
      </c>
      <c r="BM160" s="53"/>
      <c r="BN160" s="53">
        <f t="shared" si="30"/>
        <v>0</v>
      </c>
      <c r="BO160" s="54"/>
      <c r="BS160" s="55"/>
      <c r="BT160" s="55"/>
      <c r="BU160" s="84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</row>
    <row r="161" spans="1:95" s="126" customFormat="1" ht="12.75" hidden="1" customHeight="1">
      <c r="A161" s="35" t="s">
        <v>190</v>
      </c>
      <c r="B161" s="51"/>
      <c r="C161" s="35" t="s">
        <v>47</v>
      </c>
      <c r="D161" s="44"/>
      <c r="E161" s="53">
        <f t="shared" si="28"/>
        <v>0</v>
      </c>
      <c r="F161" s="53"/>
      <c r="G161" s="53">
        <v>0</v>
      </c>
      <c r="H161" s="53"/>
      <c r="I161" s="53">
        <v>0</v>
      </c>
      <c r="J161" s="53"/>
      <c r="K161" s="53">
        <f t="shared" si="29"/>
        <v>0</v>
      </c>
      <c r="L161" s="53"/>
      <c r="M161" s="53">
        <v>0</v>
      </c>
      <c r="N161" s="53"/>
      <c r="O161" s="53">
        <v>0</v>
      </c>
      <c r="P161" s="53"/>
      <c r="Q161" s="53">
        <v>0</v>
      </c>
      <c r="R161" s="53"/>
      <c r="S161" s="53">
        <v>0</v>
      </c>
      <c r="T161" s="53"/>
      <c r="U161" s="53">
        <v>0</v>
      </c>
      <c r="V161" s="53"/>
      <c r="W161" s="53">
        <f t="shared" si="25"/>
        <v>0</v>
      </c>
      <c r="X161" s="51"/>
      <c r="Y161" s="51"/>
      <c r="Z161" s="35" t="s">
        <v>190</v>
      </c>
      <c r="AA161" s="53"/>
      <c r="AB161" s="35" t="s">
        <v>47</v>
      </c>
      <c r="AC161" s="51"/>
      <c r="AD161" s="53">
        <v>0</v>
      </c>
      <c r="AE161" s="53"/>
      <c r="AF161" s="53">
        <v>0</v>
      </c>
      <c r="AG161" s="53"/>
      <c r="AH161" s="53">
        <v>0</v>
      </c>
      <c r="AI161" s="53"/>
      <c r="AJ161" s="45">
        <f t="shared" si="26"/>
        <v>0</v>
      </c>
      <c r="AK161" s="45"/>
      <c r="AL161" s="53">
        <v>0</v>
      </c>
      <c r="AM161" s="45"/>
      <c r="AN161" s="53">
        <v>0</v>
      </c>
      <c r="AO161" s="53"/>
      <c r="AP161" s="53">
        <v>0</v>
      </c>
      <c r="AQ161" s="53"/>
      <c r="AR161" s="53">
        <v>0</v>
      </c>
      <c r="AS161" s="53"/>
      <c r="AT161" s="45">
        <f t="shared" si="27"/>
        <v>0</v>
      </c>
      <c r="AU161" s="45"/>
      <c r="AV161" s="53">
        <v>0</v>
      </c>
      <c r="AW161" s="53"/>
      <c r="AX161" s="53">
        <v>0</v>
      </c>
      <c r="AY161" s="53"/>
      <c r="AZ161" s="53">
        <f t="shared" si="31"/>
        <v>0</v>
      </c>
      <c r="BA161" s="51"/>
      <c r="BB161" s="35" t="s">
        <v>190</v>
      </c>
      <c r="BC161" s="35"/>
      <c r="BD161" s="35" t="s">
        <v>47</v>
      </c>
      <c r="BE161" s="53"/>
      <c r="BF161" s="53">
        <v>0</v>
      </c>
      <c r="BG161" s="53"/>
      <c r="BH161" s="53">
        <v>0</v>
      </c>
      <c r="BI161" s="53"/>
      <c r="BJ161" s="53">
        <v>0</v>
      </c>
      <c r="BK161" s="53"/>
      <c r="BL161" s="53">
        <v>0</v>
      </c>
      <c r="BM161" s="53"/>
      <c r="BN161" s="53">
        <f t="shared" si="30"/>
        <v>0</v>
      </c>
      <c r="BO161" s="139"/>
      <c r="BS161" s="140"/>
      <c r="BT161" s="140"/>
      <c r="BU161" s="141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</row>
    <row r="162" spans="1:95" s="126" customFormat="1" ht="12.75" hidden="1" customHeight="1">
      <c r="A162" s="35" t="s">
        <v>191</v>
      </c>
      <c r="B162" s="51"/>
      <c r="C162" s="35" t="s">
        <v>13</v>
      </c>
      <c r="D162" s="44"/>
      <c r="E162" s="53">
        <f t="shared" si="28"/>
        <v>0</v>
      </c>
      <c r="F162" s="53"/>
      <c r="G162" s="53">
        <v>0</v>
      </c>
      <c r="H162" s="53"/>
      <c r="I162" s="53">
        <v>0</v>
      </c>
      <c r="J162" s="53"/>
      <c r="K162" s="53">
        <f t="shared" si="29"/>
        <v>0</v>
      </c>
      <c r="L162" s="53"/>
      <c r="M162" s="53">
        <v>0</v>
      </c>
      <c r="N162" s="53"/>
      <c r="O162" s="53">
        <v>0</v>
      </c>
      <c r="P162" s="53"/>
      <c r="Q162" s="53">
        <v>0</v>
      </c>
      <c r="R162" s="53"/>
      <c r="S162" s="53">
        <v>0</v>
      </c>
      <c r="T162" s="53"/>
      <c r="U162" s="53">
        <v>0</v>
      </c>
      <c r="V162" s="53"/>
      <c r="W162" s="53">
        <f t="shared" ref="W162:W184" si="33">SUM(Q162:U162)</f>
        <v>0</v>
      </c>
      <c r="X162" s="51"/>
      <c r="Y162" s="51"/>
      <c r="Z162" s="35" t="s">
        <v>191</v>
      </c>
      <c r="AA162" s="53"/>
      <c r="AB162" s="35" t="s">
        <v>13</v>
      </c>
      <c r="AC162" s="51"/>
      <c r="AD162" s="53">
        <v>0</v>
      </c>
      <c r="AE162" s="53"/>
      <c r="AF162" s="53">
        <v>0</v>
      </c>
      <c r="AG162" s="53"/>
      <c r="AH162" s="53">
        <v>0</v>
      </c>
      <c r="AI162" s="53"/>
      <c r="AJ162" s="45">
        <f t="shared" si="26"/>
        <v>0</v>
      </c>
      <c r="AK162" s="45"/>
      <c r="AL162" s="53">
        <v>0</v>
      </c>
      <c r="AM162" s="45"/>
      <c r="AN162" s="53">
        <v>0</v>
      </c>
      <c r="AO162" s="53"/>
      <c r="AP162" s="53">
        <v>0</v>
      </c>
      <c r="AQ162" s="53"/>
      <c r="AR162" s="53">
        <v>0</v>
      </c>
      <c r="AS162" s="53"/>
      <c r="AT162" s="45">
        <f t="shared" si="27"/>
        <v>0</v>
      </c>
      <c r="AU162" s="45"/>
      <c r="AV162" s="53">
        <v>0</v>
      </c>
      <c r="AW162" s="53"/>
      <c r="AX162" s="53">
        <v>0</v>
      </c>
      <c r="AY162" s="53"/>
      <c r="AZ162" s="53">
        <f t="shared" si="31"/>
        <v>0</v>
      </c>
      <c r="BA162" s="51"/>
      <c r="BB162" s="35" t="s">
        <v>191</v>
      </c>
      <c r="BC162" s="35"/>
      <c r="BD162" s="35" t="s">
        <v>13</v>
      </c>
      <c r="BE162" s="53"/>
      <c r="BF162" s="53">
        <v>0</v>
      </c>
      <c r="BG162" s="53"/>
      <c r="BH162" s="53">
        <v>0</v>
      </c>
      <c r="BI162" s="53"/>
      <c r="BJ162" s="53">
        <v>0</v>
      </c>
      <c r="BK162" s="53"/>
      <c r="BL162" s="53">
        <v>0</v>
      </c>
      <c r="BM162" s="53"/>
      <c r="BN162" s="53">
        <f t="shared" si="30"/>
        <v>0</v>
      </c>
      <c r="BO162" s="139"/>
      <c r="BS162" s="140"/>
      <c r="BT162" s="140"/>
      <c r="BU162" s="141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</row>
    <row r="163" spans="1:95" s="35" customFormat="1" ht="12.75" customHeight="1">
      <c r="B163" s="51"/>
      <c r="D163" s="44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 t="s">
        <v>484</v>
      </c>
      <c r="X163" s="51"/>
      <c r="Y163" s="51"/>
      <c r="AA163" s="53"/>
      <c r="AC163" s="51"/>
      <c r="AD163" s="53"/>
      <c r="AE163" s="53"/>
      <c r="AF163" s="53"/>
      <c r="AG163" s="53"/>
      <c r="AH163" s="53"/>
      <c r="AI163" s="53"/>
      <c r="AJ163" s="45"/>
      <c r="AK163" s="45"/>
      <c r="AL163" s="53"/>
      <c r="AM163" s="45"/>
      <c r="AN163" s="53"/>
      <c r="AO163" s="53"/>
      <c r="AP163" s="53"/>
      <c r="AQ163" s="53"/>
      <c r="AR163" s="53"/>
      <c r="AS163" s="53"/>
      <c r="AT163" s="45"/>
      <c r="AU163" s="45"/>
      <c r="AV163" s="53"/>
      <c r="AW163" s="53"/>
      <c r="AX163" s="53"/>
      <c r="AY163" s="53"/>
      <c r="AZ163" s="53" t="s">
        <v>484</v>
      </c>
      <c r="BA163" s="51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 t="s">
        <v>484</v>
      </c>
      <c r="BO163" s="54"/>
      <c r="BS163" s="55"/>
      <c r="BT163" s="55"/>
      <c r="BU163" s="84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</row>
    <row r="164" spans="1:95" s="64" customFormat="1" ht="12.75" customHeight="1">
      <c r="A164" s="64" t="s">
        <v>192</v>
      </c>
      <c r="C164" s="64" t="s">
        <v>38</v>
      </c>
      <c r="D164" s="46"/>
      <c r="E164" s="79">
        <f t="shared" si="28"/>
        <v>1599356</v>
      </c>
      <c r="F164" s="79"/>
      <c r="G164" s="79">
        <v>9186966</v>
      </c>
      <c r="H164" s="79"/>
      <c r="I164" s="79">
        <v>10786322</v>
      </c>
      <c r="J164" s="79"/>
      <c r="K164" s="79">
        <f t="shared" si="29"/>
        <v>539795</v>
      </c>
      <c r="L164" s="79"/>
      <c r="M164" s="79">
        <v>2105939</v>
      </c>
      <c r="N164" s="79"/>
      <c r="O164" s="79">
        <v>2645734</v>
      </c>
      <c r="P164" s="79"/>
      <c r="Q164" s="79">
        <v>6871330</v>
      </c>
      <c r="R164" s="79"/>
      <c r="S164" s="79">
        <v>0</v>
      </c>
      <c r="T164" s="79"/>
      <c r="U164" s="79">
        <v>1266258</v>
      </c>
      <c r="V164" s="79"/>
      <c r="W164" s="79">
        <f t="shared" si="33"/>
        <v>8137588</v>
      </c>
      <c r="X164" s="66"/>
      <c r="Y164" s="66"/>
      <c r="Z164" s="64" t="s">
        <v>192</v>
      </c>
      <c r="AA164" s="79"/>
      <c r="AB164" s="64" t="s">
        <v>38</v>
      </c>
      <c r="AD164" s="79">
        <v>2627474</v>
      </c>
      <c r="AE164" s="79"/>
      <c r="AF164" s="79">
        <f>2536435-528732</f>
        <v>2007703</v>
      </c>
      <c r="AG164" s="79"/>
      <c r="AH164" s="79">
        <v>528732</v>
      </c>
      <c r="AI164" s="79"/>
      <c r="AJ164" s="94">
        <f t="shared" si="26"/>
        <v>91039</v>
      </c>
      <c r="AK164" s="94"/>
      <c r="AL164" s="79">
        <v>-159255</v>
      </c>
      <c r="AM164" s="94"/>
      <c r="AN164" s="79">
        <v>0</v>
      </c>
      <c r="AO164" s="79"/>
      <c r="AP164" s="79">
        <v>0</v>
      </c>
      <c r="AQ164" s="79"/>
      <c r="AR164" s="79">
        <v>0</v>
      </c>
      <c r="AS164" s="79"/>
      <c r="AT164" s="94">
        <f t="shared" si="27"/>
        <v>-68216</v>
      </c>
      <c r="AU164" s="94"/>
      <c r="AV164" s="79">
        <v>0</v>
      </c>
      <c r="AW164" s="79"/>
      <c r="AX164" s="79">
        <v>0</v>
      </c>
      <c r="AY164" s="79"/>
      <c r="AZ164" s="79">
        <f t="shared" si="31"/>
        <v>1059561</v>
      </c>
      <c r="BA164" s="66"/>
      <c r="BB164" s="64" t="s">
        <v>192</v>
      </c>
      <c r="BD164" s="64" t="s">
        <v>38</v>
      </c>
      <c r="BE164" s="79"/>
      <c r="BF164" s="79">
        <f>1205000+260000-4991-98093</f>
        <v>1361916</v>
      </c>
      <c r="BG164" s="79"/>
      <c r="BH164" s="79">
        <v>0</v>
      </c>
      <c r="BI164" s="79"/>
      <c r="BJ164" s="79">
        <f>856562+40020</f>
        <v>896582</v>
      </c>
      <c r="BK164" s="79"/>
      <c r="BL164" s="79">
        <f>126279+21182+20182+60164</f>
        <v>227807</v>
      </c>
      <c r="BM164" s="79"/>
      <c r="BN164" s="79">
        <f t="shared" si="30"/>
        <v>2486305</v>
      </c>
      <c r="BO164" s="91"/>
      <c r="BS164" s="90"/>
      <c r="BT164" s="90"/>
      <c r="BU164" s="95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</row>
    <row r="165" spans="1:95" s="35" customFormat="1" ht="12.75" customHeight="1">
      <c r="A165" s="35" t="s">
        <v>193</v>
      </c>
      <c r="B165" s="51"/>
      <c r="C165" s="35" t="s">
        <v>45</v>
      </c>
      <c r="D165" s="44"/>
      <c r="E165" s="53">
        <f t="shared" si="28"/>
        <v>1304196</v>
      </c>
      <c r="F165" s="53"/>
      <c r="G165" s="53">
        <v>2231415</v>
      </c>
      <c r="H165" s="53"/>
      <c r="I165" s="53">
        <v>3535611</v>
      </c>
      <c r="J165" s="53"/>
      <c r="K165" s="53">
        <f t="shared" si="29"/>
        <v>69956</v>
      </c>
      <c r="L165" s="53"/>
      <c r="M165" s="53">
        <v>120464</v>
      </c>
      <c r="N165" s="53"/>
      <c r="O165" s="53">
        <v>190420</v>
      </c>
      <c r="P165" s="53"/>
      <c r="Q165" s="53">
        <v>2115105</v>
      </c>
      <c r="R165" s="53"/>
      <c r="S165" s="53">
        <v>0</v>
      </c>
      <c r="T165" s="53"/>
      <c r="U165" s="53">
        <v>1229086</v>
      </c>
      <c r="V165" s="53"/>
      <c r="W165" s="53">
        <f t="shared" si="33"/>
        <v>3344191</v>
      </c>
      <c r="X165" s="51"/>
      <c r="Y165" s="51"/>
      <c r="Z165" s="35" t="s">
        <v>193</v>
      </c>
      <c r="AA165" s="53"/>
      <c r="AB165" s="35" t="s">
        <v>45</v>
      </c>
      <c r="AC165" s="51"/>
      <c r="AD165" s="53">
        <v>3373602</v>
      </c>
      <c r="AE165" s="53"/>
      <c r="AF165" s="53">
        <f>3362341-63371</f>
        <v>3298970</v>
      </c>
      <c r="AG165" s="53"/>
      <c r="AH165" s="53">
        <v>63371</v>
      </c>
      <c r="AI165" s="53"/>
      <c r="AJ165" s="45">
        <f t="shared" si="26"/>
        <v>11261</v>
      </c>
      <c r="AK165" s="45"/>
      <c r="AL165" s="53">
        <v>528736</v>
      </c>
      <c r="AM165" s="45"/>
      <c r="AN165" s="53">
        <v>0</v>
      </c>
      <c r="AO165" s="53"/>
      <c r="AP165" s="53">
        <v>0</v>
      </c>
      <c r="AQ165" s="53"/>
      <c r="AR165" s="53">
        <v>0</v>
      </c>
      <c r="AS165" s="53"/>
      <c r="AT165" s="45">
        <f t="shared" si="27"/>
        <v>539997</v>
      </c>
      <c r="AU165" s="45"/>
      <c r="AV165" s="53">
        <v>0</v>
      </c>
      <c r="AW165" s="53"/>
      <c r="AX165" s="53">
        <v>0</v>
      </c>
      <c r="AY165" s="53"/>
      <c r="AZ165" s="53">
        <f t="shared" si="31"/>
        <v>1234240</v>
      </c>
      <c r="BA165" s="51"/>
      <c r="BB165" s="35" t="s">
        <v>193</v>
      </c>
      <c r="BD165" s="35" t="s">
        <v>45</v>
      </c>
      <c r="BE165" s="53"/>
      <c r="BF165" s="53">
        <v>0</v>
      </c>
      <c r="BG165" s="53"/>
      <c r="BH165" s="53">
        <v>0</v>
      </c>
      <c r="BI165" s="53"/>
      <c r="BJ165" s="53">
        <f>29434+19622</f>
        <v>49056</v>
      </c>
      <c r="BK165" s="53"/>
      <c r="BL165" s="53">
        <f>67254+23776+14789</f>
        <v>105819</v>
      </c>
      <c r="BM165" s="53"/>
      <c r="BN165" s="53">
        <f t="shared" si="30"/>
        <v>154875</v>
      </c>
      <c r="BO165" s="54"/>
      <c r="BS165" s="55"/>
      <c r="BT165" s="55"/>
      <c r="BU165" s="84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</row>
    <row r="166" spans="1:95" s="35" customFormat="1" ht="12.75" customHeight="1">
      <c r="A166" s="35" t="s">
        <v>194</v>
      </c>
      <c r="B166" s="51"/>
      <c r="C166" s="35" t="s">
        <v>66</v>
      </c>
      <c r="D166" s="44"/>
      <c r="E166" s="53">
        <f t="shared" si="28"/>
        <v>1612718</v>
      </c>
      <c r="F166" s="53"/>
      <c r="G166" s="53">
        <v>1463491</v>
      </c>
      <c r="H166" s="53"/>
      <c r="I166" s="53">
        <v>3076209</v>
      </c>
      <c r="J166" s="53"/>
      <c r="K166" s="53">
        <f t="shared" si="29"/>
        <v>41817</v>
      </c>
      <c r="L166" s="53"/>
      <c r="M166" s="53">
        <v>50635</v>
      </c>
      <c r="N166" s="53"/>
      <c r="O166" s="53">
        <v>92452</v>
      </c>
      <c r="P166" s="53"/>
      <c r="Q166" s="53">
        <v>1463491</v>
      </c>
      <c r="R166" s="53"/>
      <c r="S166" s="53">
        <v>0</v>
      </c>
      <c r="T166" s="53"/>
      <c r="U166" s="53">
        <v>1520266</v>
      </c>
      <c r="V166" s="53"/>
      <c r="W166" s="53">
        <f t="shared" si="33"/>
        <v>2983757</v>
      </c>
      <c r="X166" s="51"/>
      <c r="Y166" s="51"/>
      <c r="Z166" s="35" t="s">
        <v>194</v>
      </c>
      <c r="AA166" s="53"/>
      <c r="AB166" s="35" t="s">
        <v>66</v>
      </c>
      <c r="AC166" s="51"/>
      <c r="AD166" s="53">
        <v>985560</v>
      </c>
      <c r="AE166" s="53"/>
      <c r="AF166" s="53">
        <f>909426-71725</f>
        <v>837701</v>
      </c>
      <c r="AG166" s="53"/>
      <c r="AH166" s="53">
        <v>71725</v>
      </c>
      <c r="AI166" s="53"/>
      <c r="AJ166" s="45">
        <f t="shared" si="26"/>
        <v>76134</v>
      </c>
      <c r="AK166" s="45"/>
      <c r="AL166" s="53">
        <v>11490</v>
      </c>
      <c r="AM166" s="45"/>
      <c r="AN166" s="53">
        <v>0</v>
      </c>
      <c r="AO166" s="53"/>
      <c r="AP166" s="53">
        <v>0</v>
      </c>
      <c r="AQ166" s="53"/>
      <c r="AR166" s="53">
        <v>0</v>
      </c>
      <c r="AS166" s="53"/>
      <c r="AT166" s="45">
        <f t="shared" si="27"/>
        <v>87624</v>
      </c>
      <c r="AU166" s="45"/>
      <c r="AV166" s="53">
        <v>0</v>
      </c>
      <c r="AW166" s="53"/>
      <c r="AX166" s="53">
        <v>0</v>
      </c>
      <c r="AY166" s="53"/>
      <c r="AZ166" s="53">
        <f t="shared" si="31"/>
        <v>1570901</v>
      </c>
      <c r="BA166" s="51"/>
      <c r="BB166" s="35" t="s">
        <v>194</v>
      </c>
      <c r="BD166" s="35" t="s">
        <v>66</v>
      </c>
      <c r="BE166" s="53"/>
      <c r="BF166" s="53">
        <v>0</v>
      </c>
      <c r="BG166" s="53"/>
      <c r="BH166" s="53">
        <v>0</v>
      </c>
      <c r="BI166" s="53"/>
      <c r="BJ166" s="53">
        <v>0</v>
      </c>
      <c r="BK166" s="53"/>
      <c r="BL166" s="53">
        <f>50635+12659</f>
        <v>63294</v>
      </c>
      <c r="BM166" s="53"/>
      <c r="BN166" s="53">
        <f t="shared" si="30"/>
        <v>63294</v>
      </c>
      <c r="BO166" s="54"/>
      <c r="BS166" s="55"/>
      <c r="BT166" s="55"/>
      <c r="BU166" s="84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</row>
    <row r="167" spans="1:95" s="35" customFormat="1" ht="12.75" customHeight="1">
      <c r="A167" s="35" t="s">
        <v>195</v>
      </c>
      <c r="B167" s="51"/>
      <c r="C167" s="35" t="s">
        <v>17</v>
      </c>
      <c r="D167" s="44"/>
      <c r="E167" s="53">
        <f t="shared" si="28"/>
        <v>2911237</v>
      </c>
      <c r="F167" s="53"/>
      <c r="G167" s="53">
        <v>11856107</v>
      </c>
      <c r="H167" s="53"/>
      <c r="I167" s="53">
        <v>14767344</v>
      </c>
      <c r="J167" s="53"/>
      <c r="K167" s="53">
        <f t="shared" si="29"/>
        <v>71549</v>
      </c>
      <c r="L167" s="53"/>
      <c r="M167" s="53">
        <f>93060+4643348</f>
        <v>4736408</v>
      </c>
      <c r="N167" s="53"/>
      <c r="O167" s="53">
        <v>4807957</v>
      </c>
      <c r="P167" s="53"/>
      <c r="Q167" s="53">
        <v>7212759</v>
      </c>
      <c r="R167" s="53"/>
      <c r="S167" s="53">
        <v>0</v>
      </c>
      <c r="T167" s="53"/>
      <c r="U167" s="53">
        <v>2746628</v>
      </c>
      <c r="V167" s="53"/>
      <c r="W167" s="53">
        <f t="shared" si="33"/>
        <v>9959387</v>
      </c>
      <c r="X167" s="51"/>
      <c r="Y167" s="51"/>
      <c r="Z167" s="35" t="s">
        <v>195</v>
      </c>
      <c r="AA167" s="53"/>
      <c r="AB167" s="35" t="s">
        <v>17</v>
      </c>
      <c r="AC167" s="51"/>
      <c r="AD167" s="53">
        <v>1923341</v>
      </c>
      <c r="AE167" s="53"/>
      <c r="AF167" s="53">
        <f>1184285-3093</f>
        <v>1181192</v>
      </c>
      <c r="AG167" s="53"/>
      <c r="AH167" s="53">
        <v>3093</v>
      </c>
      <c r="AI167" s="53"/>
      <c r="AJ167" s="45">
        <f t="shared" si="26"/>
        <v>739056</v>
      </c>
      <c r="AK167" s="45"/>
      <c r="AL167" s="53">
        <v>-161144</v>
      </c>
      <c r="AM167" s="45"/>
      <c r="AN167" s="53">
        <v>0</v>
      </c>
      <c r="AO167" s="53"/>
      <c r="AP167" s="53">
        <v>0</v>
      </c>
      <c r="AQ167" s="53"/>
      <c r="AR167" s="53">
        <v>0</v>
      </c>
      <c r="AS167" s="53"/>
      <c r="AT167" s="45">
        <f t="shared" si="27"/>
        <v>577912</v>
      </c>
      <c r="AU167" s="45"/>
      <c r="AV167" s="53">
        <v>0</v>
      </c>
      <c r="AW167" s="53"/>
      <c r="AX167" s="53">
        <v>0</v>
      </c>
      <c r="AY167" s="53"/>
      <c r="AZ167" s="53">
        <f t="shared" si="31"/>
        <v>2839688</v>
      </c>
      <c r="BA167" s="51"/>
      <c r="BB167" s="35" t="s">
        <v>195</v>
      </c>
      <c r="BD167" s="35" t="s">
        <v>17</v>
      </c>
      <c r="BE167" s="53"/>
      <c r="BF167" s="53">
        <v>0</v>
      </c>
      <c r="BG167" s="53"/>
      <c r="BH167" s="53">
        <v>0</v>
      </c>
      <c r="BI167" s="53"/>
      <c r="BJ167" s="53">
        <v>4643348</v>
      </c>
      <c r="BK167" s="53"/>
      <c r="BL167" s="53">
        <v>93060</v>
      </c>
      <c r="BM167" s="53"/>
      <c r="BN167" s="53">
        <f t="shared" si="30"/>
        <v>4736408</v>
      </c>
      <c r="BO167" s="54"/>
      <c r="BS167" s="55"/>
      <c r="BT167" s="55"/>
      <c r="BU167" s="84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</row>
    <row r="168" spans="1:95" s="126" customFormat="1" ht="12.75" hidden="1" customHeight="1">
      <c r="A168" s="35" t="s">
        <v>196</v>
      </c>
      <c r="B168" s="51"/>
      <c r="C168" s="35" t="s">
        <v>27</v>
      </c>
      <c r="D168" s="44"/>
      <c r="E168" s="53">
        <f t="shared" si="28"/>
        <v>0</v>
      </c>
      <c r="F168" s="53"/>
      <c r="G168" s="53">
        <v>0</v>
      </c>
      <c r="H168" s="53"/>
      <c r="I168" s="53">
        <v>0</v>
      </c>
      <c r="J168" s="53"/>
      <c r="K168" s="53">
        <f t="shared" si="29"/>
        <v>0</v>
      </c>
      <c r="L168" s="53"/>
      <c r="M168" s="53">
        <v>0</v>
      </c>
      <c r="N168" s="53"/>
      <c r="O168" s="53">
        <v>0</v>
      </c>
      <c r="P168" s="53"/>
      <c r="Q168" s="53">
        <v>0</v>
      </c>
      <c r="R168" s="53"/>
      <c r="S168" s="53">
        <v>0</v>
      </c>
      <c r="T168" s="53"/>
      <c r="U168" s="53">
        <v>0</v>
      </c>
      <c r="V168" s="53"/>
      <c r="W168" s="53">
        <f t="shared" si="33"/>
        <v>0</v>
      </c>
      <c r="X168" s="51"/>
      <c r="Y168" s="51"/>
      <c r="Z168" s="35" t="s">
        <v>196</v>
      </c>
      <c r="AA168" s="53"/>
      <c r="AB168" s="35" t="s">
        <v>27</v>
      </c>
      <c r="AC168" s="51"/>
      <c r="AD168" s="53">
        <v>0</v>
      </c>
      <c r="AE168" s="53"/>
      <c r="AF168" s="53">
        <v>0</v>
      </c>
      <c r="AG168" s="53"/>
      <c r="AH168" s="53">
        <v>0</v>
      </c>
      <c r="AI168" s="53"/>
      <c r="AJ168" s="45">
        <f t="shared" si="26"/>
        <v>0</v>
      </c>
      <c r="AK168" s="45"/>
      <c r="AL168" s="53">
        <v>0</v>
      </c>
      <c r="AM168" s="45"/>
      <c r="AN168" s="53">
        <v>0</v>
      </c>
      <c r="AO168" s="53"/>
      <c r="AP168" s="53">
        <v>0</v>
      </c>
      <c r="AQ168" s="53"/>
      <c r="AR168" s="53">
        <v>0</v>
      </c>
      <c r="AS168" s="53"/>
      <c r="AT168" s="45">
        <f t="shared" si="27"/>
        <v>0</v>
      </c>
      <c r="AU168" s="45"/>
      <c r="AV168" s="53">
        <v>0</v>
      </c>
      <c r="AW168" s="53"/>
      <c r="AX168" s="53">
        <v>0</v>
      </c>
      <c r="AY168" s="53"/>
      <c r="AZ168" s="53">
        <f t="shared" si="31"/>
        <v>0</v>
      </c>
      <c r="BA168" s="51"/>
      <c r="BB168" s="35" t="s">
        <v>196</v>
      </c>
      <c r="BC168" s="35"/>
      <c r="BD168" s="35" t="s">
        <v>27</v>
      </c>
      <c r="BE168" s="53"/>
      <c r="BF168" s="53">
        <v>0</v>
      </c>
      <c r="BG168" s="53"/>
      <c r="BH168" s="53">
        <v>0</v>
      </c>
      <c r="BI168" s="53"/>
      <c r="BJ168" s="53">
        <v>0</v>
      </c>
      <c r="BK168" s="53"/>
      <c r="BL168" s="53">
        <v>0</v>
      </c>
      <c r="BM168" s="53"/>
      <c r="BN168" s="53">
        <f t="shared" si="30"/>
        <v>0</v>
      </c>
      <c r="BO168" s="139"/>
      <c r="BS168" s="140"/>
      <c r="BT168" s="140"/>
      <c r="BU168" s="141"/>
      <c r="BV168" s="140"/>
      <c r="BW168" s="140"/>
      <c r="BX168" s="140"/>
      <c r="BY168" s="140"/>
      <c r="BZ168" s="140"/>
      <c r="CA168" s="140"/>
      <c r="CB168" s="140"/>
      <c r="CC168" s="140"/>
      <c r="CD168" s="140"/>
      <c r="CE168" s="140"/>
      <c r="CF168" s="140"/>
      <c r="CG168" s="140"/>
      <c r="CH168" s="140"/>
      <c r="CI168" s="140"/>
      <c r="CJ168" s="140"/>
      <c r="CK168" s="140"/>
      <c r="CL168" s="140"/>
      <c r="CM168" s="140"/>
      <c r="CN168" s="140"/>
      <c r="CO168" s="140"/>
      <c r="CP168" s="140"/>
      <c r="CQ168" s="140"/>
    </row>
    <row r="169" spans="1:95" s="35" customFormat="1" ht="12.75" customHeight="1">
      <c r="A169" s="35" t="s">
        <v>402</v>
      </c>
      <c r="B169" s="51"/>
      <c r="C169" s="35" t="s">
        <v>153</v>
      </c>
      <c r="D169" s="44"/>
      <c r="E169" s="53">
        <f t="shared" si="28"/>
        <v>2191507</v>
      </c>
      <c r="F169" s="53"/>
      <c r="G169" s="53">
        <v>5105452</v>
      </c>
      <c r="H169" s="53"/>
      <c r="I169" s="53">
        <v>7296959</v>
      </c>
      <c r="J169" s="53"/>
      <c r="K169" s="53">
        <f t="shared" si="29"/>
        <v>30185</v>
      </c>
      <c r="L169" s="53"/>
      <c r="M169" s="53">
        <v>47882</v>
      </c>
      <c r="N169" s="53"/>
      <c r="O169" s="53">
        <v>78067</v>
      </c>
      <c r="P169" s="53"/>
      <c r="Q169" s="53">
        <v>5087994</v>
      </c>
      <c r="R169" s="53"/>
      <c r="S169" s="53">
        <v>0</v>
      </c>
      <c r="T169" s="53"/>
      <c r="U169" s="53">
        <v>2130898</v>
      </c>
      <c r="V169" s="53"/>
      <c r="W169" s="53">
        <f t="shared" si="33"/>
        <v>7218892</v>
      </c>
      <c r="X169" s="51"/>
      <c r="Y169" s="51"/>
      <c r="Z169" s="35" t="s">
        <v>402</v>
      </c>
      <c r="AA169" s="53"/>
      <c r="AB169" s="35" t="s">
        <v>153</v>
      </c>
      <c r="AC169" s="51"/>
      <c r="AD169" s="53">
        <v>856371</v>
      </c>
      <c r="AE169" s="53"/>
      <c r="AF169" s="53">
        <f>900501-326416</f>
        <v>574085</v>
      </c>
      <c r="AG169" s="53"/>
      <c r="AH169" s="53">
        <v>326416</v>
      </c>
      <c r="AI169" s="53"/>
      <c r="AJ169" s="45">
        <f t="shared" si="26"/>
        <v>-44130</v>
      </c>
      <c r="AK169" s="45"/>
      <c r="AL169" s="53">
        <v>0</v>
      </c>
      <c r="AM169" s="45"/>
      <c r="AN169" s="53">
        <v>2996</v>
      </c>
      <c r="AO169" s="53"/>
      <c r="AP169" s="53">
        <v>0</v>
      </c>
      <c r="AQ169" s="53"/>
      <c r="AR169" s="53">
        <v>0</v>
      </c>
      <c r="AS169" s="53"/>
      <c r="AT169" s="45">
        <f t="shared" si="27"/>
        <v>-41134</v>
      </c>
      <c r="AU169" s="45"/>
      <c r="AV169" s="53">
        <v>0</v>
      </c>
      <c r="AW169" s="53"/>
      <c r="AX169" s="53">
        <v>0</v>
      </c>
      <c r="AY169" s="53"/>
      <c r="AZ169" s="53">
        <f t="shared" si="31"/>
        <v>2161322</v>
      </c>
      <c r="BA169" s="51"/>
      <c r="BB169" s="35" t="s">
        <v>402</v>
      </c>
      <c r="BD169" s="35" t="s">
        <v>153</v>
      </c>
      <c r="BE169" s="53"/>
      <c r="BF169" s="53">
        <v>0</v>
      </c>
      <c r="BG169" s="53"/>
      <c r="BH169" s="53">
        <v>0</v>
      </c>
      <c r="BI169" s="53"/>
      <c r="BJ169" s="53">
        <f>15621+1837</f>
        <v>17458</v>
      </c>
      <c r="BK169" s="53"/>
      <c r="BL169" s="53">
        <f>32261+12335</f>
        <v>44596</v>
      </c>
      <c r="BM169" s="53"/>
      <c r="BN169" s="53">
        <f t="shared" si="30"/>
        <v>62054</v>
      </c>
      <c r="BO169" s="54"/>
      <c r="BS169" s="55"/>
      <c r="BT169" s="55"/>
      <c r="BU169" s="84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</row>
    <row r="170" spans="1:95" s="35" customFormat="1" ht="12.75" customHeight="1">
      <c r="A170" s="35" t="s">
        <v>197</v>
      </c>
      <c r="B170" s="51"/>
      <c r="C170" s="35" t="s">
        <v>163</v>
      </c>
      <c r="D170" s="44"/>
      <c r="E170" s="53">
        <f t="shared" si="28"/>
        <v>4754199</v>
      </c>
      <c r="F170" s="53"/>
      <c r="G170" s="53">
        <v>23217575</v>
      </c>
      <c r="H170" s="53"/>
      <c r="I170" s="53">
        <v>27971774</v>
      </c>
      <c r="J170" s="53"/>
      <c r="K170" s="53">
        <f t="shared" si="29"/>
        <v>164087</v>
      </c>
      <c r="L170" s="53"/>
      <c r="M170" s="53">
        <v>450567</v>
      </c>
      <c r="N170" s="53"/>
      <c r="O170" s="53">
        <v>614654</v>
      </c>
      <c r="P170" s="53"/>
      <c r="Q170" s="53">
        <v>15624392</v>
      </c>
      <c r="R170" s="53"/>
      <c r="S170" s="53">
        <v>0</v>
      </c>
      <c r="T170" s="53"/>
      <c r="U170" s="53">
        <v>11732728</v>
      </c>
      <c r="V170" s="53"/>
      <c r="W170" s="53">
        <f t="shared" si="33"/>
        <v>27357120</v>
      </c>
      <c r="Z170" s="35" t="s">
        <v>197</v>
      </c>
      <c r="AA170" s="53"/>
      <c r="AB170" s="35" t="s">
        <v>163</v>
      </c>
      <c r="AC170" s="51"/>
      <c r="AD170" s="53">
        <v>4489436</v>
      </c>
      <c r="AE170" s="53"/>
      <c r="AF170" s="53">
        <f>4695564-617096</f>
        <v>4078468</v>
      </c>
      <c r="AG170" s="53"/>
      <c r="AH170" s="53">
        <v>617096</v>
      </c>
      <c r="AI170" s="53"/>
      <c r="AJ170" s="45">
        <f t="shared" si="26"/>
        <v>-206128</v>
      </c>
      <c r="AK170" s="45"/>
      <c r="AL170" s="53">
        <v>-19003</v>
      </c>
      <c r="AM170" s="45"/>
      <c r="AN170" s="53">
        <v>443230</v>
      </c>
      <c r="AO170" s="53"/>
      <c r="AP170" s="53">
        <v>0</v>
      </c>
      <c r="AQ170" s="53"/>
      <c r="AR170" s="53">
        <v>3354116</v>
      </c>
      <c r="AS170" s="53"/>
      <c r="AT170" s="45">
        <f t="shared" si="27"/>
        <v>3572215</v>
      </c>
      <c r="AU170" s="45"/>
      <c r="AV170" s="53">
        <v>0</v>
      </c>
      <c r="AW170" s="53"/>
      <c r="AX170" s="53">
        <v>0</v>
      </c>
      <c r="AY170" s="53"/>
      <c r="AZ170" s="53">
        <f t="shared" si="31"/>
        <v>4590112</v>
      </c>
      <c r="BA170" s="51"/>
      <c r="BB170" s="35" t="s">
        <v>197</v>
      </c>
      <c r="BD170" s="35" t="s">
        <v>163</v>
      </c>
      <c r="BE170" s="53"/>
      <c r="BF170" s="53">
        <v>0</v>
      </c>
      <c r="BG170" s="53"/>
      <c r="BH170" s="53">
        <v>0</v>
      </c>
      <c r="BI170" s="53"/>
      <c r="BJ170" s="53">
        <v>0</v>
      </c>
      <c r="BK170" s="53"/>
      <c r="BL170" s="53">
        <v>450567</v>
      </c>
      <c r="BM170" s="53"/>
      <c r="BN170" s="53">
        <f t="shared" si="30"/>
        <v>450567</v>
      </c>
      <c r="BO170" s="54"/>
      <c r="BS170" s="55"/>
      <c r="BT170" s="55"/>
      <c r="BU170" s="84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</row>
    <row r="171" spans="1:95" s="35" customFormat="1" ht="12.75" customHeight="1">
      <c r="A171" s="35" t="s">
        <v>198</v>
      </c>
      <c r="B171" s="51"/>
      <c r="C171" s="35" t="s">
        <v>199</v>
      </c>
      <c r="D171" s="44"/>
      <c r="E171" s="53">
        <f t="shared" si="28"/>
        <v>2220096</v>
      </c>
      <c r="F171" s="53"/>
      <c r="G171" s="53">
        <v>17289046</v>
      </c>
      <c r="H171" s="53"/>
      <c r="I171" s="53">
        <v>19509142</v>
      </c>
      <c r="J171" s="53"/>
      <c r="K171" s="53">
        <f t="shared" si="29"/>
        <v>952090</v>
      </c>
      <c r="L171" s="53"/>
      <c r="M171" s="53">
        <v>6161308</v>
      </c>
      <c r="N171" s="53"/>
      <c r="O171" s="53">
        <v>7113398</v>
      </c>
      <c r="P171" s="53"/>
      <c r="Q171" s="53">
        <v>9451414</v>
      </c>
      <c r="R171" s="53"/>
      <c r="S171" s="53">
        <f>800000+758544</f>
        <v>1558544</v>
      </c>
      <c r="T171" s="53"/>
      <c r="U171" s="53">
        <v>1385786</v>
      </c>
      <c r="V171" s="53"/>
      <c r="W171" s="53">
        <f t="shared" si="33"/>
        <v>12395744</v>
      </c>
      <c r="X171" s="51"/>
      <c r="Y171" s="51"/>
      <c r="Z171" s="35" t="s">
        <v>198</v>
      </c>
      <c r="AA171" s="53"/>
      <c r="AB171" s="35" t="s">
        <v>199</v>
      </c>
      <c r="AC171" s="51"/>
      <c r="AD171" s="53">
        <v>2868316</v>
      </c>
      <c r="AE171" s="53"/>
      <c r="AF171" s="53">
        <f>2202482-855558</f>
        <v>1346924</v>
      </c>
      <c r="AG171" s="53"/>
      <c r="AH171" s="53">
        <v>855558</v>
      </c>
      <c r="AI171" s="53"/>
      <c r="AJ171" s="45">
        <f t="shared" si="26"/>
        <v>665834</v>
      </c>
      <c r="AK171" s="45"/>
      <c r="AL171" s="53">
        <v>-283473</v>
      </c>
      <c r="AM171" s="45"/>
      <c r="AN171" s="53">
        <v>0</v>
      </c>
      <c r="AO171" s="53"/>
      <c r="AP171" s="53">
        <v>0</v>
      </c>
      <c r="AQ171" s="53"/>
      <c r="AR171" s="53">
        <v>0</v>
      </c>
      <c r="AS171" s="53"/>
      <c r="AT171" s="45">
        <f t="shared" si="27"/>
        <v>382361</v>
      </c>
      <c r="AU171" s="45"/>
      <c r="AV171" s="53">
        <v>0</v>
      </c>
      <c r="AW171" s="53"/>
      <c r="AX171" s="53">
        <v>0</v>
      </c>
      <c r="AY171" s="53"/>
      <c r="AZ171" s="53">
        <f t="shared" si="31"/>
        <v>1268006</v>
      </c>
      <c r="BA171" s="51"/>
      <c r="BB171" s="35" t="s">
        <v>198</v>
      </c>
      <c r="BD171" s="35" t="s">
        <v>199</v>
      </c>
      <c r="BE171" s="53"/>
      <c r="BF171" s="53">
        <v>0</v>
      </c>
      <c r="BG171" s="53"/>
      <c r="BH171" s="53">
        <f>3765654+495000</f>
        <v>4260654</v>
      </c>
      <c r="BI171" s="53"/>
      <c r="BJ171" s="53">
        <f>1484469+82110</f>
        <v>1566579</v>
      </c>
      <c r="BK171" s="53"/>
      <c r="BL171" s="53">
        <f>1400000+48392+64891+100000</f>
        <v>1613283</v>
      </c>
      <c r="BM171" s="53"/>
      <c r="BN171" s="53">
        <f t="shared" si="30"/>
        <v>7440516</v>
      </c>
      <c r="BO171" s="54"/>
      <c r="BS171" s="55"/>
      <c r="BT171" s="55"/>
      <c r="BU171" s="84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</row>
    <row r="172" spans="1:95" s="35" customFormat="1" ht="12.75" customHeight="1">
      <c r="A172" s="35" t="s">
        <v>200</v>
      </c>
      <c r="B172" s="51"/>
      <c r="C172" s="35" t="s">
        <v>103</v>
      </c>
      <c r="D172" s="44"/>
      <c r="E172" s="53">
        <v>5727661</v>
      </c>
      <c r="F172" s="53"/>
      <c r="G172" s="53">
        <v>11441945</v>
      </c>
      <c r="H172" s="53"/>
      <c r="I172" s="53">
        <v>17169606</v>
      </c>
      <c r="J172" s="53"/>
      <c r="K172" s="53">
        <v>900389</v>
      </c>
      <c r="L172" s="53"/>
      <c r="M172" s="53">
        <v>2588508</v>
      </c>
      <c r="N172" s="53"/>
      <c r="O172" s="53">
        <v>3488897</v>
      </c>
      <c r="P172" s="53"/>
      <c r="Q172" s="53">
        <v>8166050</v>
      </c>
      <c r="R172" s="53"/>
      <c r="S172" s="53">
        <v>830175</v>
      </c>
      <c r="T172" s="53"/>
      <c r="U172" s="53">
        <v>4684484</v>
      </c>
      <c r="V172" s="53"/>
      <c r="W172" s="53">
        <f t="shared" si="33"/>
        <v>13680709</v>
      </c>
      <c r="X172" s="51"/>
      <c r="Y172" s="51"/>
      <c r="Z172" s="35" t="s">
        <v>200</v>
      </c>
      <c r="AA172" s="53"/>
      <c r="AB172" s="35" t="s">
        <v>103</v>
      </c>
      <c r="AC172" s="51"/>
      <c r="AD172" s="53">
        <v>2667022</v>
      </c>
      <c r="AE172" s="53"/>
      <c r="AF172" s="53">
        <v>1714347</v>
      </c>
      <c r="AG172" s="53"/>
      <c r="AH172" s="53">
        <v>438811</v>
      </c>
      <c r="AI172" s="53"/>
      <c r="AJ172" s="45">
        <f t="shared" si="26"/>
        <v>513864</v>
      </c>
      <c r="AK172" s="45"/>
      <c r="AL172" s="53">
        <v>-123434</v>
      </c>
      <c r="AM172" s="45"/>
      <c r="AN172" s="53">
        <v>0</v>
      </c>
      <c r="AO172" s="53"/>
      <c r="AP172" s="53">
        <v>0</v>
      </c>
      <c r="AQ172" s="53"/>
      <c r="AR172" s="53">
        <v>312530</v>
      </c>
      <c r="AS172" s="53"/>
      <c r="AT172" s="45">
        <f t="shared" si="27"/>
        <v>702960</v>
      </c>
      <c r="AU172" s="45"/>
      <c r="AV172" s="53">
        <v>0</v>
      </c>
      <c r="AW172" s="53"/>
      <c r="AX172" s="53">
        <v>0</v>
      </c>
      <c r="AY172" s="53"/>
      <c r="AZ172" s="53">
        <f t="shared" si="31"/>
        <v>4827272</v>
      </c>
      <c r="BA172" s="51"/>
      <c r="BB172" s="35" t="s">
        <v>200</v>
      </c>
      <c r="BD172" s="35" t="s">
        <v>103</v>
      </c>
      <c r="BE172" s="53"/>
      <c r="BF172" s="53">
        <v>1041088</v>
      </c>
      <c r="BG172" s="53"/>
      <c r="BH172" s="53">
        <v>0</v>
      </c>
      <c r="BI172" s="53"/>
      <c r="BJ172" s="53">
        <v>0</v>
      </c>
      <c r="BK172" s="53"/>
      <c r="BL172" s="53">
        <v>174302</v>
      </c>
      <c r="BM172" s="53"/>
      <c r="BN172" s="53">
        <f t="shared" si="30"/>
        <v>1215390</v>
      </c>
      <c r="BO172" s="54"/>
      <c r="BS172" s="55"/>
      <c r="BT172" s="55"/>
      <c r="BU172" s="84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</row>
    <row r="173" spans="1:95" s="35" customFormat="1" ht="12.75" customHeight="1">
      <c r="A173" s="35" t="s">
        <v>201</v>
      </c>
      <c r="C173" s="35" t="s">
        <v>92</v>
      </c>
      <c r="D173" s="44"/>
      <c r="E173" s="53">
        <f t="shared" si="28"/>
        <v>2566433</v>
      </c>
      <c r="F173" s="53"/>
      <c r="G173" s="53">
        <v>22811557</v>
      </c>
      <c r="H173" s="53"/>
      <c r="I173" s="53">
        <v>25377990</v>
      </c>
      <c r="J173" s="53"/>
      <c r="K173" s="53">
        <f t="shared" si="29"/>
        <v>2529613</v>
      </c>
      <c r="L173" s="53"/>
      <c r="M173" s="53">
        <v>6475458</v>
      </c>
      <c r="N173" s="53"/>
      <c r="O173" s="53">
        <v>9005071</v>
      </c>
      <c r="P173" s="53"/>
      <c r="Q173" s="53">
        <v>14361211</v>
      </c>
      <c r="R173" s="53"/>
      <c r="S173" s="53">
        <v>0</v>
      </c>
      <c r="T173" s="53"/>
      <c r="U173" s="53">
        <v>2011708</v>
      </c>
      <c r="V173" s="53"/>
      <c r="W173" s="53">
        <f t="shared" si="33"/>
        <v>16372919</v>
      </c>
      <c r="Z173" s="35" t="s">
        <v>201</v>
      </c>
      <c r="AA173" s="53"/>
      <c r="AB173" s="35" t="s">
        <v>92</v>
      </c>
      <c r="AD173" s="53">
        <v>4882968</v>
      </c>
      <c r="AE173" s="53"/>
      <c r="AF173" s="53">
        <f>4477187-922977</f>
        <v>3554210</v>
      </c>
      <c r="AG173" s="53"/>
      <c r="AH173" s="53">
        <v>922977</v>
      </c>
      <c r="AI173" s="53"/>
      <c r="AJ173" s="45">
        <f t="shared" si="26"/>
        <v>405781</v>
      </c>
      <c r="AK173" s="45"/>
      <c r="AL173" s="53">
        <v>-282082</v>
      </c>
      <c r="AM173" s="45"/>
      <c r="AN173" s="53">
        <v>0</v>
      </c>
      <c r="AO173" s="53"/>
      <c r="AP173" s="53">
        <v>66800</v>
      </c>
      <c r="AQ173" s="53"/>
      <c r="AR173" s="53">
        <v>0</v>
      </c>
      <c r="AS173" s="53"/>
      <c r="AT173" s="45">
        <f t="shared" si="27"/>
        <v>56899</v>
      </c>
      <c r="AU173" s="45"/>
      <c r="AV173" s="53">
        <v>0</v>
      </c>
      <c r="AW173" s="53"/>
      <c r="AX173" s="53">
        <v>0</v>
      </c>
      <c r="AY173" s="53"/>
      <c r="AZ173" s="53">
        <f t="shared" si="31"/>
        <v>36820</v>
      </c>
      <c r="BA173" s="65"/>
      <c r="BB173" s="35" t="s">
        <v>201</v>
      </c>
      <c r="BD173" s="35" t="s">
        <v>92</v>
      </c>
      <c r="BE173" s="53"/>
      <c r="BF173" s="53">
        <f>2025000+515000</f>
        <v>2540000</v>
      </c>
      <c r="BG173" s="53"/>
      <c r="BH173" s="53">
        <v>0</v>
      </c>
      <c r="BI173" s="53"/>
      <c r="BJ173" s="53">
        <f>786536+225332+79600+101357</f>
        <v>1192825</v>
      </c>
      <c r="BK173" s="53"/>
      <c r="BL173" s="53">
        <f>3173323+265267+74723+151535</f>
        <v>3664848</v>
      </c>
      <c r="BM173" s="53"/>
      <c r="BN173" s="53">
        <f t="shared" si="30"/>
        <v>7397673</v>
      </c>
      <c r="BO173" s="54"/>
      <c r="BS173" s="55"/>
      <c r="BT173" s="55"/>
      <c r="BU173" s="84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</row>
    <row r="174" spans="1:95" s="126" customFormat="1" ht="12" hidden="1" customHeight="1">
      <c r="A174" s="35" t="s">
        <v>202</v>
      </c>
      <c r="B174" s="51"/>
      <c r="C174" s="35" t="s">
        <v>27</v>
      </c>
      <c r="D174" s="44"/>
      <c r="E174" s="53">
        <f t="shared" si="28"/>
        <v>0</v>
      </c>
      <c r="F174" s="53"/>
      <c r="G174" s="53">
        <v>0</v>
      </c>
      <c r="H174" s="53"/>
      <c r="I174" s="53">
        <v>0</v>
      </c>
      <c r="J174" s="53"/>
      <c r="K174" s="53">
        <f t="shared" si="29"/>
        <v>0</v>
      </c>
      <c r="L174" s="53"/>
      <c r="M174" s="53">
        <v>0</v>
      </c>
      <c r="N174" s="53"/>
      <c r="O174" s="53">
        <v>0</v>
      </c>
      <c r="P174" s="53"/>
      <c r="Q174" s="53">
        <v>0</v>
      </c>
      <c r="R174" s="53"/>
      <c r="S174" s="53">
        <v>0</v>
      </c>
      <c r="T174" s="53"/>
      <c r="U174" s="53">
        <v>0</v>
      </c>
      <c r="V174" s="53"/>
      <c r="W174" s="53">
        <f t="shared" si="33"/>
        <v>0</v>
      </c>
      <c r="X174" s="51"/>
      <c r="Y174" s="51"/>
      <c r="Z174" s="35" t="s">
        <v>202</v>
      </c>
      <c r="AA174" s="53"/>
      <c r="AB174" s="35" t="s">
        <v>27</v>
      </c>
      <c r="AC174" s="51"/>
      <c r="AD174" s="53">
        <v>0</v>
      </c>
      <c r="AE174" s="53"/>
      <c r="AF174" s="53">
        <v>0</v>
      </c>
      <c r="AG174" s="53"/>
      <c r="AH174" s="53">
        <v>0</v>
      </c>
      <c r="AI174" s="53"/>
      <c r="AJ174" s="45">
        <f t="shared" si="26"/>
        <v>0</v>
      </c>
      <c r="AK174" s="45"/>
      <c r="AL174" s="53">
        <v>0</v>
      </c>
      <c r="AM174" s="45"/>
      <c r="AN174" s="53">
        <v>0</v>
      </c>
      <c r="AO174" s="53"/>
      <c r="AP174" s="53">
        <v>0</v>
      </c>
      <c r="AQ174" s="53"/>
      <c r="AR174" s="53">
        <v>0</v>
      </c>
      <c r="AS174" s="53"/>
      <c r="AT174" s="45">
        <f t="shared" si="27"/>
        <v>0</v>
      </c>
      <c r="AU174" s="45"/>
      <c r="AV174" s="53">
        <v>0</v>
      </c>
      <c r="AW174" s="53"/>
      <c r="AX174" s="53">
        <v>0</v>
      </c>
      <c r="AY174" s="53"/>
      <c r="AZ174" s="53">
        <f t="shared" si="31"/>
        <v>0</v>
      </c>
      <c r="BA174" s="51"/>
      <c r="BB174" s="35" t="s">
        <v>202</v>
      </c>
      <c r="BC174" s="35"/>
      <c r="BD174" s="35" t="s">
        <v>27</v>
      </c>
      <c r="BE174" s="53"/>
      <c r="BF174" s="53">
        <v>0</v>
      </c>
      <c r="BG174" s="53"/>
      <c r="BH174" s="53">
        <v>0</v>
      </c>
      <c r="BI174" s="53"/>
      <c r="BJ174" s="53">
        <v>0</v>
      </c>
      <c r="BK174" s="53"/>
      <c r="BL174" s="53">
        <v>0</v>
      </c>
      <c r="BM174" s="53"/>
      <c r="BN174" s="53">
        <f t="shared" si="30"/>
        <v>0</v>
      </c>
      <c r="BO174" s="139"/>
      <c r="BS174" s="140"/>
      <c r="BT174" s="140"/>
      <c r="BU174" s="141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</row>
    <row r="175" spans="1:95" s="126" customFormat="1" ht="12.75" hidden="1" customHeight="1">
      <c r="A175" s="35" t="s">
        <v>203</v>
      </c>
      <c r="B175" s="51"/>
      <c r="C175" s="35" t="s">
        <v>27</v>
      </c>
      <c r="D175" s="44"/>
      <c r="E175" s="53">
        <f t="shared" si="28"/>
        <v>0</v>
      </c>
      <c r="F175" s="53"/>
      <c r="G175" s="53">
        <v>0</v>
      </c>
      <c r="H175" s="53"/>
      <c r="I175" s="53">
        <v>0</v>
      </c>
      <c r="J175" s="53"/>
      <c r="K175" s="53">
        <f t="shared" si="29"/>
        <v>0</v>
      </c>
      <c r="L175" s="53"/>
      <c r="M175" s="53">
        <v>0</v>
      </c>
      <c r="N175" s="53"/>
      <c r="O175" s="53">
        <v>0</v>
      </c>
      <c r="P175" s="53"/>
      <c r="Q175" s="53">
        <v>0</v>
      </c>
      <c r="R175" s="53"/>
      <c r="S175" s="53">
        <v>0</v>
      </c>
      <c r="T175" s="53"/>
      <c r="U175" s="53">
        <v>0</v>
      </c>
      <c r="V175" s="53"/>
      <c r="W175" s="53">
        <f t="shared" si="33"/>
        <v>0</v>
      </c>
      <c r="X175" s="51"/>
      <c r="Y175" s="51"/>
      <c r="Z175" s="35" t="s">
        <v>203</v>
      </c>
      <c r="AA175" s="53"/>
      <c r="AB175" s="35" t="s">
        <v>27</v>
      </c>
      <c r="AC175" s="51"/>
      <c r="AD175" s="53">
        <v>0</v>
      </c>
      <c r="AE175" s="53"/>
      <c r="AF175" s="53">
        <v>0</v>
      </c>
      <c r="AG175" s="53"/>
      <c r="AH175" s="53">
        <v>0</v>
      </c>
      <c r="AI175" s="53"/>
      <c r="AJ175" s="45">
        <f t="shared" si="26"/>
        <v>0</v>
      </c>
      <c r="AK175" s="45"/>
      <c r="AL175" s="53">
        <v>0</v>
      </c>
      <c r="AM175" s="45"/>
      <c r="AN175" s="53">
        <v>0</v>
      </c>
      <c r="AO175" s="53"/>
      <c r="AP175" s="53">
        <v>0</v>
      </c>
      <c r="AQ175" s="53"/>
      <c r="AR175" s="53">
        <v>0</v>
      </c>
      <c r="AS175" s="53"/>
      <c r="AT175" s="45">
        <f t="shared" si="27"/>
        <v>0</v>
      </c>
      <c r="AU175" s="45"/>
      <c r="AV175" s="53">
        <v>0</v>
      </c>
      <c r="AW175" s="53"/>
      <c r="AX175" s="53">
        <v>0</v>
      </c>
      <c r="AY175" s="53"/>
      <c r="AZ175" s="53">
        <f t="shared" si="31"/>
        <v>0</v>
      </c>
      <c r="BA175" s="51"/>
      <c r="BB175" s="35" t="s">
        <v>203</v>
      </c>
      <c r="BC175" s="35"/>
      <c r="BD175" s="35" t="s">
        <v>27</v>
      </c>
      <c r="BE175" s="53"/>
      <c r="BF175" s="53">
        <v>0</v>
      </c>
      <c r="BG175" s="53"/>
      <c r="BH175" s="53">
        <v>0</v>
      </c>
      <c r="BI175" s="53"/>
      <c r="BJ175" s="53">
        <v>0</v>
      </c>
      <c r="BK175" s="53"/>
      <c r="BL175" s="53">
        <v>0</v>
      </c>
      <c r="BM175" s="53"/>
      <c r="BN175" s="53">
        <f t="shared" si="30"/>
        <v>0</v>
      </c>
      <c r="BO175" s="139"/>
      <c r="BS175" s="140"/>
      <c r="BT175" s="140"/>
      <c r="BU175" s="141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</row>
    <row r="176" spans="1:95" s="35" customFormat="1" ht="12.75" customHeight="1">
      <c r="A176" s="35" t="s">
        <v>204</v>
      </c>
      <c r="B176" s="51"/>
      <c r="C176" s="35" t="s">
        <v>125</v>
      </c>
      <c r="D176" s="44"/>
      <c r="E176" s="53">
        <f t="shared" si="28"/>
        <v>922791</v>
      </c>
      <c r="F176" s="53"/>
      <c r="G176" s="53">
        <v>6612655</v>
      </c>
      <c r="H176" s="53"/>
      <c r="I176" s="53">
        <v>7535446</v>
      </c>
      <c r="J176" s="53"/>
      <c r="K176" s="53">
        <f t="shared" si="29"/>
        <v>407019</v>
      </c>
      <c r="L176" s="53"/>
      <c r="M176" s="53">
        <v>6259362</v>
      </c>
      <c r="N176" s="53"/>
      <c r="O176" s="53">
        <v>6666381</v>
      </c>
      <c r="P176" s="53"/>
      <c r="Q176" s="53">
        <v>71280</v>
      </c>
      <c r="R176" s="53"/>
      <c r="S176" s="53">
        <v>0</v>
      </c>
      <c r="T176" s="53"/>
      <c r="U176" s="53">
        <v>797785</v>
      </c>
      <c r="V176" s="53"/>
      <c r="W176" s="53">
        <f t="shared" si="33"/>
        <v>869065</v>
      </c>
      <c r="X176" s="51"/>
      <c r="Y176" s="51"/>
      <c r="Z176" s="35" t="s">
        <v>204</v>
      </c>
      <c r="AA176" s="53"/>
      <c r="AB176" s="35" t="s">
        <v>125</v>
      </c>
      <c r="AC176" s="51"/>
      <c r="AD176" s="53">
        <v>788378</v>
      </c>
      <c r="AE176" s="53"/>
      <c r="AF176" s="53">
        <f>1012874-287943</f>
        <v>724931</v>
      </c>
      <c r="AG176" s="53"/>
      <c r="AH176" s="53">
        <v>287943</v>
      </c>
      <c r="AI176" s="53"/>
      <c r="AJ176" s="45">
        <f t="shared" si="26"/>
        <v>-224496</v>
      </c>
      <c r="AK176" s="45"/>
      <c r="AL176" s="53">
        <v>-323973</v>
      </c>
      <c r="AM176" s="45"/>
      <c r="AN176" s="53">
        <v>0</v>
      </c>
      <c r="AO176" s="53"/>
      <c r="AP176" s="53">
        <v>0</v>
      </c>
      <c r="AQ176" s="53"/>
      <c r="AR176" s="53">
        <v>0</v>
      </c>
      <c r="AS176" s="53"/>
      <c r="AT176" s="45">
        <f t="shared" si="27"/>
        <v>-548469</v>
      </c>
      <c r="AU176" s="45"/>
      <c r="AV176" s="53">
        <v>0</v>
      </c>
      <c r="AW176" s="53"/>
      <c r="AX176" s="53">
        <v>0</v>
      </c>
      <c r="AY176" s="53"/>
      <c r="AZ176" s="53">
        <f t="shared" si="31"/>
        <v>515772</v>
      </c>
      <c r="BA176" s="51"/>
      <c r="BB176" s="35" t="s">
        <v>204</v>
      </c>
      <c r="BD176" s="35" t="s">
        <v>125</v>
      </c>
      <c r="BE176" s="53"/>
      <c r="BF176" s="53">
        <f>6259322+150000</f>
        <v>6409322</v>
      </c>
      <c r="BG176" s="53"/>
      <c r="BH176" s="53">
        <v>0</v>
      </c>
      <c r="BI176" s="53"/>
      <c r="BJ176" s="53">
        <v>0</v>
      </c>
      <c r="BK176" s="53"/>
      <c r="BL176" s="53">
        <f>40+4519</f>
        <v>4559</v>
      </c>
      <c r="BM176" s="53"/>
      <c r="BN176" s="53">
        <f t="shared" si="30"/>
        <v>6413881</v>
      </c>
      <c r="BO176" s="54"/>
      <c r="BS176" s="55"/>
      <c r="BT176" s="55"/>
      <c r="BU176" s="84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</row>
    <row r="177" spans="1:95" s="126" customFormat="1" ht="12.75" hidden="1" customHeight="1">
      <c r="A177" s="35" t="s">
        <v>205</v>
      </c>
      <c r="B177" s="51"/>
      <c r="C177" s="35" t="s">
        <v>27</v>
      </c>
      <c r="D177" s="44"/>
      <c r="E177" s="53">
        <f t="shared" si="28"/>
        <v>0</v>
      </c>
      <c r="F177" s="53"/>
      <c r="G177" s="53">
        <v>0</v>
      </c>
      <c r="H177" s="53"/>
      <c r="I177" s="53">
        <v>0</v>
      </c>
      <c r="J177" s="53"/>
      <c r="K177" s="53">
        <f t="shared" si="29"/>
        <v>0</v>
      </c>
      <c r="L177" s="53"/>
      <c r="M177" s="53">
        <v>0</v>
      </c>
      <c r="N177" s="53"/>
      <c r="O177" s="53">
        <v>0</v>
      </c>
      <c r="P177" s="53"/>
      <c r="Q177" s="53">
        <v>0</v>
      </c>
      <c r="R177" s="53"/>
      <c r="S177" s="53">
        <v>0</v>
      </c>
      <c r="T177" s="53"/>
      <c r="U177" s="53">
        <v>0</v>
      </c>
      <c r="V177" s="53"/>
      <c r="W177" s="53">
        <f t="shared" si="33"/>
        <v>0</v>
      </c>
      <c r="X177" s="51"/>
      <c r="Y177" s="51"/>
      <c r="Z177" s="35" t="s">
        <v>205</v>
      </c>
      <c r="AA177" s="53"/>
      <c r="AB177" s="35" t="s">
        <v>27</v>
      </c>
      <c r="AC177" s="51"/>
      <c r="AD177" s="53">
        <v>0</v>
      </c>
      <c r="AE177" s="53"/>
      <c r="AF177" s="53">
        <v>0</v>
      </c>
      <c r="AG177" s="53"/>
      <c r="AH177" s="53">
        <v>0</v>
      </c>
      <c r="AI177" s="53"/>
      <c r="AJ177" s="45">
        <f t="shared" si="26"/>
        <v>0</v>
      </c>
      <c r="AK177" s="45"/>
      <c r="AL177" s="53">
        <v>0</v>
      </c>
      <c r="AM177" s="45"/>
      <c r="AN177" s="53">
        <v>0</v>
      </c>
      <c r="AO177" s="53"/>
      <c r="AP177" s="53">
        <v>0</v>
      </c>
      <c r="AQ177" s="53"/>
      <c r="AR177" s="53">
        <v>0</v>
      </c>
      <c r="AS177" s="53"/>
      <c r="AT177" s="45">
        <f t="shared" si="27"/>
        <v>0</v>
      </c>
      <c r="AU177" s="45"/>
      <c r="AV177" s="53">
        <v>0</v>
      </c>
      <c r="AW177" s="53"/>
      <c r="AX177" s="53">
        <v>0</v>
      </c>
      <c r="AY177" s="53"/>
      <c r="AZ177" s="53">
        <f t="shared" si="31"/>
        <v>0</v>
      </c>
      <c r="BA177" s="51"/>
      <c r="BB177" s="35" t="s">
        <v>205</v>
      </c>
      <c r="BC177" s="35"/>
      <c r="BD177" s="35" t="s">
        <v>27</v>
      </c>
      <c r="BE177" s="53"/>
      <c r="BF177" s="53">
        <v>0</v>
      </c>
      <c r="BG177" s="53"/>
      <c r="BH177" s="53">
        <v>0</v>
      </c>
      <c r="BI177" s="53"/>
      <c r="BJ177" s="53">
        <v>0</v>
      </c>
      <c r="BK177" s="53"/>
      <c r="BL177" s="53">
        <v>0</v>
      </c>
      <c r="BM177" s="53"/>
      <c r="BN177" s="53">
        <f t="shared" si="30"/>
        <v>0</v>
      </c>
      <c r="BO177" s="139"/>
      <c r="BS177" s="140"/>
      <c r="BT177" s="140"/>
      <c r="BU177" s="141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</row>
    <row r="178" spans="1:95" s="35" customFormat="1" ht="12.75" customHeight="1">
      <c r="A178" s="35" t="s">
        <v>206</v>
      </c>
      <c r="C178" s="35" t="s">
        <v>47</v>
      </c>
      <c r="D178" s="44"/>
      <c r="E178" s="53">
        <f t="shared" si="28"/>
        <v>3404892</v>
      </c>
      <c r="F178" s="53"/>
      <c r="G178" s="53">
        <v>13973736</v>
      </c>
      <c r="H178" s="53"/>
      <c r="I178" s="53">
        <v>17378628</v>
      </c>
      <c r="J178" s="53"/>
      <c r="K178" s="53">
        <f t="shared" si="29"/>
        <v>51563</v>
      </c>
      <c r="L178" s="53"/>
      <c r="M178" s="53">
        <v>123389</v>
      </c>
      <c r="N178" s="53"/>
      <c r="O178" s="53">
        <v>174952</v>
      </c>
      <c r="P178" s="53"/>
      <c r="Q178" s="53">
        <v>13973736</v>
      </c>
      <c r="R178" s="53"/>
      <c r="S178" s="53">
        <v>0</v>
      </c>
      <c r="T178" s="53"/>
      <c r="U178" s="53">
        <v>3229940</v>
      </c>
      <c r="V178" s="53"/>
      <c r="W178" s="53">
        <f t="shared" si="33"/>
        <v>17203676</v>
      </c>
      <c r="X178" s="51"/>
      <c r="Y178" s="51"/>
      <c r="Z178" s="35" t="s">
        <v>206</v>
      </c>
      <c r="AA178" s="53"/>
      <c r="AB178" s="35" t="s">
        <v>47</v>
      </c>
      <c r="AD178" s="53">
        <v>3814339</v>
      </c>
      <c r="AE178" s="53"/>
      <c r="AF178" s="53">
        <f>3485153-521250</f>
        <v>2963903</v>
      </c>
      <c r="AG178" s="53"/>
      <c r="AH178" s="53">
        <v>521250</v>
      </c>
      <c r="AI178" s="53"/>
      <c r="AJ178" s="45">
        <f t="shared" si="26"/>
        <v>329186</v>
      </c>
      <c r="AK178" s="45"/>
      <c r="AL178" s="53">
        <v>400</v>
      </c>
      <c r="AM178" s="45"/>
      <c r="AN178" s="53">
        <v>0</v>
      </c>
      <c r="AO178" s="53"/>
      <c r="AP178" s="53">
        <v>0</v>
      </c>
      <c r="AQ178" s="53"/>
      <c r="AR178" s="53">
        <v>378303</v>
      </c>
      <c r="AS178" s="53"/>
      <c r="AT178" s="45">
        <f t="shared" si="27"/>
        <v>707889</v>
      </c>
      <c r="AU178" s="45"/>
      <c r="AV178" s="53">
        <v>0</v>
      </c>
      <c r="AW178" s="53"/>
      <c r="AX178" s="53">
        <v>0</v>
      </c>
      <c r="AY178" s="53"/>
      <c r="AZ178" s="53">
        <f t="shared" si="31"/>
        <v>3353329</v>
      </c>
      <c r="BA178" s="51"/>
      <c r="BB178" s="35" t="s">
        <v>206</v>
      </c>
      <c r="BD178" s="35" t="s">
        <v>47</v>
      </c>
      <c r="BE178" s="53"/>
      <c r="BF178" s="53">
        <v>0</v>
      </c>
      <c r="BG178" s="53"/>
      <c r="BH178" s="53">
        <v>0</v>
      </c>
      <c r="BI178" s="53"/>
      <c r="BJ178" s="53">
        <v>0</v>
      </c>
      <c r="BK178" s="53"/>
      <c r="BL178" s="53">
        <v>123389</v>
      </c>
      <c r="BM178" s="53"/>
      <c r="BN178" s="53">
        <f t="shared" si="30"/>
        <v>123389</v>
      </c>
      <c r="BO178" s="54"/>
      <c r="BS178" s="55"/>
      <c r="BT178" s="55"/>
      <c r="BU178" s="84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</row>
    <row r="179" spans="1:95" s="35" customFormat="1" ht="12.75" customHeight="1">
      <c r="A179" s="35" t="s">
        <v>207</v>
      </c>
      <c r="B179" s="51"/>
      <c r="C179" s="35" t="s">
        <v>102</v>
      </c>
      <c r="D179" s="44"/>
      <c r="E179" s="53">
        <f t="shared" si="28"/>
        <v>3209451</v>
      </c>
      <c r="F179" s="53"/>
      <c r="G179" s="53">
        <v>20159655</v>
      </c>
      <c r="H179" s="53"/>
      <c r="I179" s="53">
        <v>23369106</v>
      </c>
      <c r="J179" s="53"/>
      <c r="K179" s="53">
        <f t="shared" si="29"/>
        <v>852298</v>
      </c>
      <c r="L179" s="53"/>
      <c r="M179" s="53">
        <v>3491929</v>
      </c>
      <c r="N179" s="53"/>
      <c r="O179" s="53">
        <v>4344227</v>
      </c>
      <c r="P179" s="53"/>
      <c r="Q179" s="53">
        <v>16802625</v>
      </c>
      <c r="R179" s="53"/>
      <c r="S179" s="53">
        <v>0</v>
      </c>
      <c r="T179" s="53"/>
      <c r="U179" s="53">
        <v>2222254</v>
      </c>
      <c r="V179" s="53"/>
      <c r="W179" s="53">
        <f t="shared" si="33"/>
        <v>19024879</v>
      </c>
      <c r="X179" s="51"/>
      <c r="Y179" s="51"/>
      <c r="Z179" s="35" t="s">
        <v>207</v>
      </c>
      <c r="AA179" s="53"/>
      <c r="AB179" s="35" t="s">
        <v>102</v>
      </c>
      <c r="AC179" s="51"/>
      <c r="AD179" s="53">
        <v>2007822</v>
      </c>
      <c r="AE179" s="53"/>
      <c r="AF179" s="53">
        <f>2124803-531564</f>
        <v>1593239</v>
      </c>
      <c r="AG179" s="53"/>
      <c r="AH179" s="53">
        <v>531564</v>
      </c>
      <c r="AI179" s="53"/>
      <c r="AJ179" s="45">
        <f t="shared" si="26"/>
        <v>-116981</v>
      </c>
      <c r="AK179" s="45"/>
      <c r="AL179" s="53">
        <v>-39900</v>
      </c>
      <c r="AM179" s="45"/>
      <c r="AN179" s="53">
        <v>0</v>
      </c>
      <c r="AO179" s="53"/>
      <c r="AP179" s="53">
        <v>0</v>
      </c>
      <c r="AQ179" s="53"/>
      <c r="AR179" s="53">
        <f>457600+289429+1185054</f>
        <v>1932083</v>
      </c>
      <c r="AS179" s="53"/>
      <c r="AT179" s="45">
        <f t="shared" si="27"/>
        <v>1775202</v>
      </c>
      <c r="AU179" s="45"/>
      <c r="AV179" s="53">
        <v>0</v>
      </c>
      <c r="AW179" s="53"/>
      <c r="AX179" s="53">
        <v>0</v>
      </c>
      <c r="AY179" s="53"/>
      <c r="AZ179" s="53">
        <f t="shared" si="31"/>
        <v>2357153</v>
      </c>
      <c r="BA179" s="51"/>
      <c r="BB179" s="35" t="s">
        <v>207</v>
      </c>
      <c r="BD179" s="35" t="s">
        <v>102</v>
      </c>
      <c r="BE179" s="53"/>
      <c r="BF179" s="53">
        <f>308065+110000</f>
        <v>418065</v>
      </c>
      <c r="BG179" s="53"/>
      <c r="BH179" s="53">
        <v>0</v>
      </c>
      <c r="BI179" s="53"/>
      <c r="BJ179" s="53">
        <v>0</v>
      </c>
      <c r="BK179" s="53"/>
      <c r="BL179" s="53">
        <f>11460+62165+3100000+10239+33762+5599</f>
        <v>3223225</v>
      </c>
      <c r="BM179" s="53"/>
      <c r="BN179" s="53">
        <f t="shared" si="30"/>
        <v>3641290</v>
      </c>
      <c r="BO179" s="54"/>
      <c r="BS179" s="55"/>
      <c r="BT179" s="55"/>
      <c r="BU179" s="84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</row>
    <row r="180" spans="1:95" s="35" customFormat="1" ht="12.75" customHeight="1">
      <c r="A180" s="35" t="s">
        <v>208</v>
      </c>
      <c r="B180" s="65"/>
      <c r="C180" s="35" t="s">
        <v>209</v>
      </c>
      <c r="D180" s="44"/>
      <c r="E180" s="53">
        <f t="shared" ref="E180:E210" si="34">I180-G180</f>
        <v>2770257</v>
      </c>
      <c r="F180" s="53"/>
      <c r="G180" s="53">
        <v>10620320</v>
      </c>
      <c r="H180" s="53"/>
      <c r="I180" s="53">
        <v>13390577</v>
      </c>
      <c r="J180" s="53"/>
      <c r="K180" s="53">
        <f t="shared" ref="K180:K210" si="35">O180-M180</f>
        <v>369480</v>
      </c>
      <c r="L180" s="53"/>
      <c r="M180" s="53">
        <v>626407</v>
      </c>
      <c r="N180" s="53"/>
      <c r="O180" s="53">
        <v>995887</v>
      </c>
      <c r="P180" s="53"/>
      <c r="Q180" s="53">
        <v>10012106</v>
      </c>
      <c r="R180" s="53"/>
      <c r="S180" s="53">
        <v>0</v>
      </c>
      <c r="T180" s="53"/>
      <c r="U180" s="53">
        <v>2382584</v>
      </c>
      <c r="V180" s="53"/>
      <c r="W180" s="53">
        <f t="shared" si="33"/>
        <v>12394690</v>
      </c>
      <c r="X180" s="65"/>
      <c r="Y180" s="65"/>
      <c r="Z180" s="35" t="s">
        <v>208</v>
      </c>
      <c r="AA180" s="53"/>
      <c r="AB180" s="35" t="s">
        <v>209</v>
      </c>
      <c r="AC180" s="65"/>
      <c r="AD180" s="53">
        <v>3271356</v>
      </c>
      <c r="AE180" s="53"/>
      <c r="AF180" s="53">
        <f>2897708-381726</f>
        <v>2515982</v>
      </c>
      <c r="AG180" s="53"/>
      <c r="AH180" s="53">
        <v>381726</v>
      </c>
      <c r="AI180" s="53"/>
      <c r="AJ180" s="45">
        <f t="shared" ref="AJ180:AJ222" si="36">+AD180-AF180-AH180</f>
        <v>373648</v>
      </c>
      <c r="AK180" s="45"/>
      <c r="AL180" s="53">
        <v>43341</v>
      </c>
      <c r="AM180" s="45"/>
      <c r="AN180" s="53">
        <v>0</v>
      </c>
      <c r="AO180" s="53"/>
      <c r="AP180" s="53">
        <v>0</v>
      </c>
      <c r="AQ180" s="53"/>
      <c r="AR180" s="53">
        <v>0</v>
      </c>
      <c r="AS180" s="53"/>
      <c r="AT180" s="45">
        <f t="shared" ref="AT180:AT217" si="37">+AJ180+AL180+AN180-AP180+AR180</f>
        <v>416989</v>
      </c>
      <c r="AU180" s="45"/>
      <c r="AV180" s="53">
        <v>0</v>
      </c>
      <c r="AW180" s="53"/>
      <c r="AX180" s="53">
        <v>0</v>
      </c>
      <c r="AY180" s="53"/>
      <c r="AZ180" s="53">
        <f t="shared" si="31"/>
        <v>2400777</v>
      </c>
      <c r="BA180" s="65"/>
      <c r="BB180" s="35" t="s">
        <v>208</v>
      </c>
      <c r="BD180" s="35" t="s">
        <v>209</v>
      </c>
      <c r="BE180" s="53"/>
      <c r="BF180" s="53">
        <f>481085+127129</f>
        <v>608214</v>
      </c>
      <c r="BG180" s="53"/>
      <c r="BH180" s="53">
        <v>0</v>
      </c>
      <c r="BI180" s="53"/>
      <c r="BJ180" s="53">
        <v>0</v>
      </c>
      <c r="BK180" s="53"/>
      <c r="BL180" s="53">
        <f>145332+74622</f>
        <v>219954</v>
      </c>
      <c r="BM180" s="53"/>
      <c r="BN180" s="53">
        <f t="shared" si="30"/>
        <v>828168</v>
      </c>
      <c r="BO180" s="54"/>
      <c r="BS180" s="55"/>
      <c r="BT180" s="55"/>
      <c r="BU180" s="84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</row>
    <row r="181" spans="1:95" s="35" customFormat="1" ht="12.75" customHeight="1">
      <c r="A181" s="44" t="s">
        <v>210</v>
      </c>
      <c r="B181" s="51"/>
      <c r="C181" s="44" t="s">
        <v>211</v>
      </c>
      <c r="D181" s="44"/>
      <c r="E181" s="53">
        <f t="shared" si="34"/>
        <v>740892</v>
      </c>
      <c r="F181" s="53"/>
      <c r="G181" s="53">
        <v>2899544</v>
      </c>
      <c r="H181" s="53"/>
      <c r="I181" s="53">
        <v>3640436</v>
      </c>
      <c r="J181" s="53"/>
      <c r="K181" s="53">
        <f t="shared" si="35"/>
        <v>96227</v>
      </c>
      <c r="L181" s="53"/>
      <c r="M181" s="53">
        <v>985294</v>
      </c>
      <c r="N181" s="53"/>
      <c r="O181" s="53">
        <v>1081521</v>
      </c>
      <c r="P181" s="53"/>
      <c r="Q181" s="53">
        <v>1869683</v>
      </c>
      <c r="R181" s="53"/>
      <c r="S181" s="53">
        <v>0</v>
      </c>
      <c r="T181" s="53"/>
      <c r="U181" s="53">
        <v>689232</v>
      </c>
      <c r="V181" s="53"/>
      <c r="W181" s="53">
        <f t="shared" si="33"/>
        <v>2558915</v>
      </c>
      <c r="X181" s="66"/>
      <c r="Y181" s="64"/>
      <c r="Z181" s="44" t="s">
        <v>210</v>
      </c>
      <c r="AA181" s="53"/>
      <c r="AB181" s="44" t="s">
        <v>211</v>
      </c>
      <c r="AC181" s="51"/>
      <c r="AD181" s="53">
        <v>1599443</v>
      </c>
      <c r="AE181" s="53"/>
      <c r="AF181" s="53">
        <f>1396166-80383</f>
        <v>1315783</v>
      </c>
      <c r="AG181" s="53"/>
      <c r="AH181" s="53">
        <v>80383</v>
      </c>
      <c r="AI181" s="53"/>
      <c r="AJ181" s="45">
        <f t="shared" si="36"/>
        <v>203277</v>
      </c>
      <c r="AK181" s="45"/>
      <c r="AL181" s="53">
        <v>-66640</v>
      </c>
      <c r="AM181" s="45"/>
      <c r="AN181" s="53">
        <v>0</v>
      </c>
      <c r="AO181" s="53"/>
      <c r="AP181" s="53">
        <v>0</v>
      </c>
      <c r="AQ181" s="53"/>
      <c r="AR181" s="53">
        <v>262896</v>
      </c>
      <c r="AS181" s="53"/>
      <c r="AT181" s="45">
        <f t="shared" si="37"/>
        <v>399533</v>
      </c>
      <c r="AU181" s="45"/>
      <c r="AV181" s="53">
        <v>0</v>
      </c>
      <c r="AW181" s="53"/>
      <c r="AX181" s="53">
        <v>0</v>
      </c>
      <c r="AY181" s="53"/>
      <c r="AZ181" s="53">
        <f t="shared" si="31"/>
        <v>644665</v>
      </c>
      <c r="BA181" s="66"/>
      <c r="BB181" s="44" t="s">
        <v>210</v>
      </c>
      <c r="BD181" s="44" t="s">
        <v>211</v>
      </c>
      <c r="BE181" s="53"/>
      <c r="BF181" s="53">
        <v>0</v>
      </c>
      <c r="BG181" s="53"/>
      <c r="BH181" s="53">
        <v>0</v>
      </c>
      <c r="BI181" s="53"/>
      <c r="BJ181" s="53">
        <f>836011+42278+1514+53367</f>
        <v>933170</v>
      </c>
      <c r="BK181" s="53"/>
      <c r="BL181" s="53">
        <f>66233+19789+20983+4206+7669</f>
        <v>118880</v>
      </c>
      <c r="BM181" s="53"/>
      <c r="BN181" s="53">
        <f t="shared" si="30"/>
        <v>1052050</v>
      </c>
      <c r="BO181" s="54"/>
      <c r="BS181" s="55"/>
      <c r="BT181" s="55"/>
      <c r="BU181" s="84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</row>
    <row r="182" spans="1:95" s="35" customFormat="1" ht="12.75" customHeight="1">
      <c r="A182" s="44" t="s">
        <v>212</v>
      </c>
      <c r="B182" s="51"/>
      <c r="C182" s="44" t="s">
        <v>213</v>
      </c>
      <c r="D182" s="44"/>
      <c r="E182" s="53">
        <f t="shared" si="34"/>
        <v>2227102</v>
      </c>
      <c r="F182" s="53"/>
      <c r="G182" s="53">
        <v>19055246</v>
      </c>
      <c r="H182" s="53"/>
      <c r="I182" s="53">
        <v>21282348</v>
      </c>
      <c r="J182" s="53"/>
      <c r="K182" s="53">
        <f t="shared" si="35"/>
        <v>1726445</v>
      </c>
      <c r="L182" s="53"/>
      <c r="M182" s="53">
        <v>9402131</v>
      </c>
      <c r="N182" s="53"/>
      <c r="O182" s="53">
        <v>11128576</v>
      </c>
      <c r="P182" s="53"/>
      <c r="Q182" s="53">
        <v>7301411</v>
      </c>
      <c r="R182" s="53"/>
      <c r="S182" s="53">
        <v>930461</v>
      </c>
      <c r="T182" s="53"/>
      <c r="U182" s="53">
        <v>1921900</v>
      </c>
      <c r="V182" s="53"/>
      <c r="W182" s="53">
        <f t="shared" si="33"/>
        <v>10153772</v>
      </c>
      <c r="X182" s="51"/>
      <c r="Y182" s="51"/>
      <c r="Z182" s="44" t="s">
        <v>212</v>
      </c>
      <c r="AA182" s="53"/>
      <c r="AB182" s="44" t="s">
        <v>213</v>
      </c>
      <c r="AC182" s="51"/>
      <c r="AD182" s="53">
        <v>6264508</v>
      </c>
      <c r="AE182" s="53"/>
      <c r="AF182" s="53">
        <f>6192356-1075190</f>
        <v>5117166</v>
      </c>
      <c r="AG182" s="53"/>
      <c r="AH182" s="53">
        <v>1075190</v>
      </c>
      <c r="AI182" s="53"/>
      <c r="AJ182" s="45">
        <f t="shared" si="36"/>
        <v>72152</v>
      </c>
      <c r="AK182" s="45"/>
      <c r="AL182" s="53">
        <v>-462461</v>
      </c>
      <c r="AM182" s="45"/>
      <c r="AN182" s="53">
        <v>717976</v>
      </c>
      <c r="AO182" s="53"/>
      <c r="AP182" s="53">
        <v>0</v>
      </c>
      <c r="AQ182" s="53"/>
      <c r="AR182" s="53">
        <v>49582</v>
      </c>
      <c r="AS182" s="53"/>
      <c r="AT182" s="45">
        <f t="shared" si="37"/>
        <v>377249</v>
      </c>
      <c r="AU182" s="45"/>
      <c r="AV182" s="53">
        <v>0</v>
      </c>
      <c r="AW182" s="53"/>
      <c r="AX182" s="53">
        <v>0</v>
      </c>
      <c r="AY182" s="53"/>
      <c r="AZ182" s="53">
        <f t="shared" si="31"/>
        <v>500657</v>
      </c>
      <c r="BA182" s="51"/>
      <c r="BB182" s="44" t="s">
        <v>212</v>
      </c>
      <c r="BD182" s="44" t="s">
        <v>213</v>
      </c>
      <c r="BE182" s="53"/>
      <c r="BF182" s="53">
        <v>0</v>
      </c>
      <c r="BG182" s="53"/>
      <c r="BH182" s="53">
        <f>2100000+475000</f>
        <v>2575000</v>
      </c>
      <c r="BI182" s="53"/>
      <c r="BJ182" s="53">
        <f>3206047+151343</f>
        <v>3357390</v>
      </c>
      <c r="BK182" s="53"/>
      <c r="BL182" s="53">
        <f>4048551+47533+541195+6138</f>
        <v>4643417</v>
      </c>
      <c r="BM182" s="53"/>
      <c r="BN182" s="53">
        <f t="shared" si="30"/>
        <v>10575807</v>
      </c>
      <c r="BO182" s="54"/>
      <c r="BP182" s="55"/>
      <c r="BS182" s="55"/>
      <c r="BT182" s="55"/>
      <c r="BU182" s="84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</row>
    <row r="183" spans="1:95" s="126" customFormat="1" ht="12.75" hidden="1" customHeight="1">
      <c r="A183" s="44" t="s">
        <v>214</v>
      </c>
      <c r="B183" s="51"/>
      <c r="C183" s="44" t="s">
        <v>86</v>
      </c>
      <c r="D183" s="44"/>
      <c r="E183" s="53">
        <f t="shared" si="34"/>
        <v>0</v>
      </c>
      <c r="F183" s="53"/>
      <c r="G183" s="53">
        <v>0</v>
      </c>
      <c r="H183" s="53"/>
      <c r="I183" s="53">
        <v>0</v>
      </c>
      <c r="J183" s="53"/>
      <c r="K183" s="53">
        <f t="shared" si="35"/>
        <v>0</v>
      </c>
      <c r="L183" s="53"/>
      <c r="M183" s="53">
        <v>0</v>
      </c>
      <c r="N183" s="53"/>
      <c r="O183" s="53">
        <v>0</v>
      </c>
      <c r="P183" s="53"/>
      <c r="Q183" s="53">
        <v>0</v>
      </c>
      <c r="R183" s="53"/>
      <c r="S183" s="53">
        <v>0</v>
      </c>
      <c r="T183" s="53"/>
      <c r="U183" s="53">
        <v>0</v>
      </c>
      <c r="V183" s="53"/>
      <c r="W183" s="53">
        <f t="shared" si="33"/>
        <v>0</v>
      </c>
      <c r="X183" s="51"/>
      <c r="Y183" s="51"/>
      <c r="Z183" s="44" t="s">
        <v>214</v>
      </c>
      <c r="AA183" s="53"/>
      <c r="AB183" s="44" t="s">
        <v>86</v>
      </c>
      <c r="AC183" s="51"/>
      <c r="AD183" s="53">
        <v>0</v>
      </c>
      <c r="AE183" s="53"/>
      <c r="AF183" s="53">
        <v>0</v>
      </c>
      <c r="AG183" s="53"/>
      <c r="AH183" s="53">
        <v>0</v>
      </c>
      <c r="AI183" s="53"/>
      <c r="AJ183" s="45">
        <f t="shared" si="36"/>
        <v>0</v>
      </c>
      <c r="AK183" s="45"/>
      <c r="AL183" s="53">
        <v>0</v>
      </c>
      <c r="AM183" s="45"/>
      <c r="AN183" s="53">
        <v>0</v>
      </c>
      <c r="AO183" s="53"/>
      <c r="AP183" s="53">
        <v>0</v>
      </c>
      <c r="AQ183" s="53"/>
      <c r="AR183" s="53">
        <v>0</v>
      </c>
      <c r="AS183" s="53"/>
      <c r="AT183" s="45">
        <f t="shared" si="37"/>
        <v>0</v>
      </c>
      <c r="AU183" s="45"/>
      <c r="AV183" s="53">
        <v>0</v>
      </c>
      <c r="AW183" s="53"/>
      <c r="AX183" s="53">
        <v>0</v>
      </c>
      <c r="AY183" s="53"/>
      <c r="AZ183" s="53">
        <f t="shared" si="31"/>
        <v>0</v>
      </c>
      <c r="BA183" s="51"/>
      <c r="BB183" s="44" t="s">
        <v>214</v>
      </c>
      <c r="BC183" s="35"/>
      <c r="BD183" s="44" t="s">
        <v>86</v>
      </c>
      <c r="BE183" s="53"/>
      <c r="BF183" s="53">
        <v>0</v>
      </c>
      <c r="BG183" s="53"/>
      <c r="BH183" s="53">
        <v>0</v>
      </c>
      <c r="BI183" s="53"/>
      <c r="BJ183" s="53">
        <v>0</v>
      </c>
      <c r="BK183" s="53"/>
      <c r="BL183" s="53">
        <v>0</v>
      </c>
      <c r="BM183" s="53"/>
      <c r="BN183" s="53">
        <f t="shared" si="30"/>
        <v>0</v>
      </c>
      <c r="BO183" s="139"/>
      <c r="BS183" s="140"/>
      <c r="BT183" s="140"/>
      <c r="BU183" s="141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0"/>
      <c r="CP183" s="140"/>
      <c r="CQ183" s="140"/>
    </row>
    <row r="184" spans="1:95" s="35" customFormat="1" ht="12.75" customHeight="1">
      <c r="A184" s="35" t="s">
        <v>215</v>
      </c>
      <c r="C184" s="35" t="s">
        <v>22</v>
      </c>
      <c r="D184" s="44"/>
      <c r="E184" s="53">
        <f t="shared" si="34"/>
        <v>3755146</v>
      </c>
      <c r="F184" s="53"/>
      <c r="G184" s="53">
        <v>18198343</v>
      </c>
      <c r="H184" s="53"/>
      <c r="I184" s="53">
        <v>21953489</v>
      </c>
      <c r="J184" s="53"/>
      <c r="K184" s="53">
        <f t="shared" si="35"/>
        <v>223269</v>
      </c>
      <c r="L184" s="53"/>
      <c r="M184" s="53">
        <v>1657440</v>
      </c>
      <c r="N184" s="53"/>
      <c r="O184" s="53">
        <v>1880709</v>
      </c>
      <c r="P184" s="53"/>
      <c r="Q184" s="53">
        <v>16542885</v>
      </c>
      <c r="R184" s="53"/>
      <c r="S184" s="53">
        <v>0</v>
      </c>
      <c r="T184" s="53"/>
      <c r="U184" s="53">
        <v>3529895</v>
      </c>
      <c r="V184" s="53"/>
      <c r="W184" s="53">
        <f t="shared" si="33"/>
        <v>20072780</v>
      </c>
      <c r="X184" s="51"/>
      <c r="Y184" s="51"/>
      <c r="Z184" s="35" t="s">
        <v>215</v>
      </c>
      <c r="AB184" s="35" t="s">
        <v>22</v>
      </c>
      <c r="AC184" s="51"/>
      <c r="AD184" s="53">
        <v>2849620</v>
      </c>
      <c r="AE184" s="53"/>
      <c r="AF184" s="53">
        <f>3528494-526272</f>
        <v>3002222</v>
      </c>
      <c r="AG184" s="53"/>
      <c r="AH184" s="53">
        <v>526272</v>
      </c>
      <c r="AI184" s="53"/>
      <c r="AJ184" s="45">
        <f t="shared" si="36"/>
        <v>-678874</v>
      </c>
      <c r="AK184" s="45"/>
      <c r="AL184" s="53">
        <v>1076691</v>
      </c>
      <c r="AM184" s="45"/>
      <c r="AN184" s="53">
        <v>0</v>
      </c>
      <c r="AO184" s="53"/>
      <c r="AP184" s="53">
        <v>0</v>
      </c>
      <c r="AQ184" s="53"/>
      <c r="AR184" s="53">
        <v>0</v>
      </c>
      <c r="AS184" s="53"/>
      <c r="AT184" s="45">
        <f t="shared" si="37"/>
        <v>397817</v>
      </c>
      <c r="AU184" s="45"/>
      <c r="AV184" s="53">
        <v>0</v>
      </c>
      <c r="AW184" s="53"/>
      <c r="AX184" s="53">
        <v>0</v>
      </c>
      <c r="AY184" s="53"/>
      <c r="AZ184" s="53">
        <f t="shared" si="31"/>
        <v>3531877</v>
      </c>
      <c r="BA184" s="51"/>
      <c r="BB184" s="35" t="s">
        <v>215</v>
      </c>
      <c r="BD184" s="35" t="s">
        <v>22</v>
      </c>
      <c r="BE184" s="53"/>
      <c r="BF184" s="53">
        <v>0</v>
      </c>
      <c r="BG184" s="53"/>
      <c r="BH184" s="53">
        <v>0</v>
      </c>
      <c r="BI184" s="53"/>
      <c r="BJ184" s="53">
        <f>227292+1310673+27823+89670</f>
        <v>1655458</v>
      </c>
      <c r="BK184" s="53"/>
      <c r="BL184" s="53">
        <f>24905+119475</f>
        <v>144380</v>
      </c>
      <c r="BM184" s="53"/>
      <c r="BN184" s="53">
        <f>SUM(BF184:BL184)</f>
        <v>1799838</v>
      </c>
      <c r="BO184" s="54"/>
      <c r="BS184" s="55"/>
      <c r="BT184" s="55"/>
      <c r="BU184" s="84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</row>
    <row r="185" spans="1:95" s="35" customFormat="1" ht="12.75" customHeight="1">
      <c r="A185" s="35" t="s">
        <v>216</v>
      </c>
      <c r="B185" s="51"/>
      <c r="C185" s="35" t="s">
        <v>45</v>
      </c>
      <c r="D185" s="44"/>
      <c r="E185" s="53">
        <f t="shared" si="34"/>
        <v>468686</v>
      </c>
      <c r="F185" s="53"/>
      <c r="G185" s="53">
        <f>6135+776953</f>
        <v>783088</v>
      </c>
      <c r="H185" s="53"/>
      <c r="I185" s="53">
        <v>1251774</v>
      </c>
      <c r="J185" s="53"/>
      <c r="K185" s="53">
        <f t="shared" si="35"/>
        <v>192925</v>
      </c>
      <c r="L185" s="53"/>
      <c r="M185" s="53">
        <f>79402+48000+11070</f>
        <v>138472</v>
      </c>
      <c r="N185" s="53"/>
      <c r="O185" s="53">
        <v>331397</v>
      </c>
      <c r="P185" s="53"/>
      <c r="Q185" s="53">
        <v>641558</v>
      </c>
      <c r="R185" s="53"/>
      <c r="S185" s="53">
        <v>0</v>
      </c>
      <c r="T185" s="53"/>
      <c r="U185" s="53">
        <v>278819</v>
      </c>
      <c r="V185" s="53"/>
      <c r="W185" s="53">
        <f t="shared" ref="W185:W190" si="38">SUM(Q185:U185)</f>
        <v>920377</v>
      </c>
      <c r="X185" s="51"/>
      <c r="Y185" s="51"/>
      <c r="Z185" s="35" t="s">
        <v>216</v>
      </c>
      <c r="AA185" s="53"/>
      <c r="AB185" s="35" t="s">
        <v>45</v>
      </c>
      <c r="AC185" s="51"/>
      <c r="AD185" s="53">
        <v>1433709</v>
      </c>
      <c r="AE185" s="53"/>
      <c r="AF185" s="53">
        <f>1372804-38772</f>
        <v>1334032</v>
      </c>
      <c r="AG185" s="53"/>
      <c r="AH185" s="53">
        <v>38772</v>
      </c>
      <c r="AI185" s="53"/>
      <c r="AJ185" s="45">
        <f t="shared" si="36"/>
        <v>60905</v>
      </c>
      <c r="AK185" s="45"/>
      <c r="AL185" s="53">
        <v>-12432</v>
      </c>
      <c r="AM185" s="45"/>
      <c r="AN185" s="53">
        <v>0</v>
      </c>
      <c r="AO185" s="53"/>
      <c r="AP185" s="53">
        <v>0</v>
      </c>
      <c r="AQ185" s="53"/>
      <c r="AR185" s="53">
        <v>0</v>
      </c>
      <c r="AS185" s="53"/>
      <c r="AT185" s="45">
        <f t="shared" si="37"/>
        <v>48473</v>
      </c>
      <c r="AU185" s="45"/>
      <c r="AV185" s="53">
        <v>0</v>
      </c>
      <c r="AW185" s="53"/>
      <c r="AX185" s="53">
        <v>0</v>
      </c>
      <c r="AY185" s="53"/>
      <c r="AZ185" s="53">
        <f t="shared" ref="AZ185:AZ190" si="39">E185-K185</f>
        <v>275761</v>
      </c>
      <c r="BA185" s="51"/>
      <c r="BB185" s="35" t="s">
        <v>216</v>
      </c>
      <c r="BD185" s="35" t="s">
        <v>45</v>
      </c>
      <c r="BE185" s="53"/>
      <c r="BF185" s="53">
        <f>48000+82460</f>
        <v>130460</v>
      </c>
      <c r="BG185" s="53"/>
      <c r="BH185" s="53">
        <v>0</v>
      </c>
      <c r="BI185" s="53"/>
      <c r="BJ185" s="53">
        <v>0</v>
      </c>
      <c r="BK185" s="53"/>
      <c r="BL185" s="53">
        <f>79402+11070+18553</f>
        <v>109025</v>
      </c>
      <c r="BM185" s="53"/>
      <c r="BN185" s="53">
        <f t="shared" si="30"/>
        <v>239485</v>
      </c>
      <c r="BO185" s="54"/>
      <c r="BS185" s="55"/>
      <c r="BT185" s="55"/>
      <c r="BU185" s="84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</row>
    <row r="186" spans="1:95" s="35" customFormat="1" ht="12.75" customHeight="1">
      <c r="A186" s="35" t="s">
        <v>217</v>
      </c>
      <c r="B186" s="65"/>
      <c r="C186" s="35" t="s">
        <v>43</v>
      </c>
      <c r="D186" s="44"/>
      <c r="E186" s="53">
        <f t="shared" si="34"/>
        <v>2239719</v>
      </c>
      <c r="F186" s="53"/>
      <c r="G186" s="53">
        <v>23167822</v>
      </c>
      <c r="H186" s="53"/>
      <c r="I186" s="53">
        <v>25407541</v>
      </c>
      <c r="J186" s="53"/>
      <c r="K186" s="53">
        <f t="shared" si="35"/>
        <v>1388547</v>
      </c>
      <c r="L186" s="53"/>
      <c r="M186" s="53">
        <v>1838806</v>
      </c>
      <c r="N186" s="53"/>
      <c r="O186" s="53">
        <v>3227353</v>
      </c>
      <c r="P186" s="53"/>
      <c r="Q186" s="53">
        <v>21639021</v>
      </c>
      <c r="R186" s="53"/>
      <c r="S186" s="53">
        <v>0</v>
      </c>
      <c r="T186" s="53"/>
      <c r="U186" s="53">
        <v>541167</v>
      </c>
      <c r="V186" s="53"/>
      <c r="W186" s="53">
        <f t="shared" si="38"/>
        <v>22180188</v>
      </c>
      <c r="X186" s="65"/>
      <c r="Y186" s="65"/>
      <c r="Z186" s="35" t="s">
        <v>217</v>
      </c>
      <c r="AA186" s="53"/>
      <c r="AB186" s="35" t="s">
        <v>43</v>
      </c>
      <c r="AC186" s="65"/>
      <c r="AD186" s="53">
        <v>4654152</v>
      </c>
      <c r="AE186" s="53"/>
      <c r="AF186" s="53">
        <f>5322268-632651</f>
        <v>4689617</v>
      </c>
      <c r="AG186" s="53"/>
      <c r="AH186" s="53">
        <v>632651</v>
      </c>
      <c r="AI186" s="53"/>
      <c r="AJ186" s="45">
        <f t="shared" si="36"/>
        <v>-668116</v>
      </c>
      <c r="AK186" s="45"/>
      <c r="AL186" s="53">
        <v>-84639</v>
      </c>
      <c r="AM186" s="45"/>
      <c r="AN186" s="53">
        <v>0</v>
      </c>
      <c r="AO186" s="53"/>
      <c r="AP186" s="53">
        <v>0</v>
      </c>
      <c r="AQ186" s="53"/>
      <c r="AR186" s="53">
        <f>38470+740349</f>
        <v>778819</v>
      </c>
      <c r="AS186" s="53"/>
      <c r="AT186" s="45">
        <f t="shared" si="37"/>
        <v>26064</v>
      </c>
      <c r="AU186" s="45"/>
      <c r="AV186" s="53">
        <v>0</v>
      </c>
      <c r="AW186" s="53"/>
      <c r="AX186" s="53">
        <v>0</v>
      </c>
      <c r="AY186" s="53"/>
      <c r="AZ186" s="53">
        <f t="shared" si="39"/>
        <v>851172</v>
      </c>
      <c r="BA186" s="65"/>
      <c r="BB186" s="35" t="s">
        <v>217</v>
      </c>
      <c r="BD186" s="35" t="s">
        <v>43</v>
      </c>
      <c r="BE186" s="53"/>
      <c r="BF186" s="53">
        <f>845645+280674</f>
        <v>1126319</v>
      </c>
      <c r="BG186" s="53"/>
      <c r="BH186" s="53">
        <v>0</v>
      </c>
      <c r="BI186" s="53"/>
      <c r="BJ186" s="53">
        <f>873883+59693</f>
        <v>933576</v>
      </c>
      <c r="BK186" s="53"/>
      <c r="BL186" s="53">
        <f>71361+47917+19064</f>
        <v>138342</v>
      </c>
      <c r="BM186" s="53"/>
      <c r="BN186" s="53">
        <f t="shared" si="30"/>
        <v>2198237</v>
      </c>
      <c r="BO186" s="54"/>
      <c r="BS186" s="55"/>
      <c r="BT186" s="55"/>
      <c r="BU186" s="84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</row>
    <row r="187" spans="1:95" s="126" customFormat="1" ht="12.75" hidden="1" customHeight="1">
      <c r="A187" s="35" t="s">
        <v>218</v>
      </c>
      <c r="B187" s="51"/>
      <c r="C187" s="35" t="s">
        <v>27</v>
      </c>
      <c r="D187" s="44"/>
      <c r="E187" s="53">
        <f t="shared" si="34"/>
        <v>0</v>
      </c>
      <c r="F187" s="53"/>
      <c r="G187" s="53">
        <v>0</v>
      </c>
      <c r="H187" s="53"/>
      <c r="I187" s="53">
        <v>0</v>
      </c>
      <c r="J187" s="53"/>
      <c r="K187" s="53">
        <f t="shared" si="35"/>
        <v>0</v>
      </c>
      <c r="L187" s="53"/>
      <c r="M187" s="53">
        <v>0</v>
      </c>
      <c r="N187" s="53"/>
      <c r="O187" s="53">
        <v>0</v>
      </c>
      <c r="P187" s="53"/>
      <c r="Q187" s="53">
        <v>0</v>
      </c>
      <c r="R187" s="53"/>
      <c r="S187" s="53">
        <v>0</v>
      </c>
      <c r="T187" s="53"/>
      <c r="U187" s="53">
        <v>0</v>
      </c>
      <c r="V187" s="53"/>
      <c r="W187" s="53">
        <f t="shared" si="38"/>
        <v>0</v>
      </c>
      <c r="X187" s="51"/>
      <c r="Y187" s="51"/>
      <c r="Z187" s="35" t="s">
        <v>218</v>
      </c>
      <c r="AA187" s="53"/>
      <c r="AB187" s="35" t="s">
        <v>27</v>
      </c>
      <c r="AC187" s="51"/>
      <c r="AD187" s="53">
        <v>0</v>
      </c>
      <c r="AE187" s="53"/>
      <c r="AF187" s="53">
        <v>0</v>
      </c>
      <c r="AG187" s="53"/>
      <c r="AH187" s="53">
        <v>0</v>
      </c>
      <c r="AI187" s="53"/>
      <c r="AJ187" s="45">
        <f t="shared" si="36"/>
        <v>0</v>
      </c>
      <c r="AK187" s="45"/>
      <c r="AL187" s="53">
        <v>0</v>
      </c>
      <c r="AM187" s="45"/>
      <c r="AN187" s="53">
        <v>0</v>
      </c>
      <c r="AO187" s="53"/>
      <c r="AP187" s="53">
        <v>0</v>
      </c>
      <c r="AQ187" s="53"/>
      <c r="AR187" s="53">
        <v>0</v>
      </c>
      <c r="AS187" s="53"/>
      <c r="AT187" s="45">
        <f t="shared" si="37"/>
        <v>0</v>
      </c>
      <c r="AU187" s="45"/>
      <c r="AV187" s="53">
        <v>0</v>
      </c>
      <c r="AW187" s="53"/>
      <c r="AX187" s="53">
        <v>0</v>
      </c>
      <c r="AY187" s="53"/>
      <c r="AZ187" s="53">
        <f t="shared" si="39"/>
        <v>0</v>
      </c>
      <c r="BA187" s="51"/>
      <c r="BB187" s="35" t="s">
        <v>218</v>
      </c>
      <c r="BC187" s="35"/>
      <c r="BD187" s="35" t="s">
        <v>27</v>
      </c>
      <c r="BE187" s="53"/>
      <c r="BF187" s="53">
        <v>0</v>
      </c>
      <c r="BG187" s="53"/>
      <c r="BH187" s="53">
        <v>0</v>
      </c>
      <c r="BI187" s="53"/>
      <c r="BJ187" s="53">
        <v>0</v>
      </c>
      <c r="BK187" s="53"/>
      <c r="BL187" s="53">
        <v>0</v>
      </c>
      <c r="BM187" s="53"/>
      <c r="BN187" s="53">
        <f t="shared" si="30"/>
        <v>0</v>
      </c>
      <c r="BO187" s="139"/>
      <c r="BS187" s="140"/>
      <c r="BT187" s="140"/>
      <c r="BU187" s="141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</row>
    <row r="188" spans="1:95" s="35" customFormat="1" ht="12.75" customHeight="1">
      <c r="A188" s="35" t="s">
        <v>219</v>
      </c>
      <c r="B188" s="51"/>
      <c r="C188" s="35" t="s">
        <v>199</v>
      </c>
      <c r="D188" s="44"/>
      <c r="E188" s="53">
        <f t="shared" si="34"/>
        <v>701017</v>
      </c>
      <c r="F188" s="53"/>
      <c r="G188" s="53">
        <v>5333249</v>
      </c>
      <c r="H188" s="53"/>
      <c r="I188" s="53">
        <v>6034266</v>
      </c>
      <c r="J188" s="53"/>
      <c r="K188" s="53">
        <f t="shared" si="35"/>
        <v>179717</v>
      </c>
      <c r="L188" s="53"/>
      <c r="M188" s="53">
        <v>1322530</v>
      </c>
      <c r="N188" s="53"/>
      <c r="O188" s="53">
        <v>1502247</v>
      </c>
      <c r="P188" s="53"/>
      <c r="Q188" s="53">
        <v>3926394</v>
      </c>
      <c r="R188" s="53"/>
      <c r="S188" s="53">
        <v>0</v>
      </c>
      <c r="T188" s="53"/>
      <c r="U188" s="53">
        <v>605625</v>
      </c>
      <c r="V188" s="53"/>
      <c r="W188" s="53">
        <f t="shared" si="38"/>
        <v>4532019</v>
      </c>
      <c r="X188" s="51"/>
      <c r="Y188" s="51"/>
      <c r="Z188" s="35" t="s">
        <v>219</v>
      </c>
      <c r="AA188" s="53"/>
      <c r="AB188" s="35" t="s">
        <v>199</v>
      </c>
      <c r="AC188" s="51"/>
      <c r="AD188" s="53">
        <v>361578</v>
      </c>
      <c r="AE188" s="53"/>
      <c r="AF188" s="53">
        <f>910363-178201</f>
        <v>732162</v>
      </c>
      <c r="AG188" s="53"/>
      <c r="AH188" s="53">
        <v>178201</v>
      </c>
      <c r="AI188" s="53"/>
      <c r="AJ188" s="45">
        <f t="shared" si="36"/>
        <v>-548785</v>
      </c>
      <c r="AK188" s="45"/>
      <c r="AL188" s="53">
        <v>304575</v>
      </c>
      <c r="AM188" s="45"/>
      <c r="AN188" s="53">
        <v>0</v>
      </c>
      <c r="AO188" s="53"/>
      <c r="AP188" s="53">
        <v>0</v>
      </c>
      <c r="AQ188" s="53"/>
      <c r="AR188" s="53">
        <v>17777</v>
      </c>
      <c r="AS188" s="53"/>
      <c r="AT188" s="45">
        <f t="shared" si="37"/>
        <v>-226433</v>
      </c>
      <c r="AU188" s="45"/>
      <c r="AV188" s="53">
        <v>0</v>
      </c>
      <c r="AW188" s="53"/>
      <c r="AX188" s="53">
        <v>0</v>
      </c>
      <c r="AY188" s="53"/>
      <c r="AZ188" s="53">
        <f t="shared" si="39"/>
        <v>521300</v>
      </c>
      <c r="BA188" s="51"/>
      <c r="BB188" s="35" t="s">
        <v>219</v>
      </c>
      <c r="BD188" s="35" t="s">
        <v>199</v>
      </c>
      <c r="BE188" s="53"/>
      <c r="BF188" s="53">
        <f>1130000+65000</f>
        <v>1195000</v>
      </c>
      <c r="BG188" s="53"/>
      <c r="BH188" s="53">
        <v>0</v>
      </c>
      <c r="BI188" s="53"/>
      <c r="BJ188" s="53">
        <f>175000+12500</f>
        <v>187500</v>
      </c>
      <c r="BK188" s="53"/>
      <c r="BL188" s="53">
        <f>17530+17678</f>
        <v>35208</v>
      </c>
      <c r="BM188" s="53"/>
      <c r="BN188" s="53">
        <f t="shared" si="30"/>
        <v>1417708</v>
      </c>
      <c r="BO188" s="54"/>
      <c r="BS188" s="55"/>
      <c r="BT188" s="55"/>
      <c r="BU188" s="84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</row>
    <row r="189" spans="1:95" s="126" customFormat="1" ht="12.75" hidden="1" customHeight="1">
      <c r="A189" s="35" t="s">
        <v>220</v>
      </c>
      <c r="B189" s="51"/>
      <c r="C189" s="35" t="s">
        <v>66</v>
      </c>
      <c r="D189" s="44"/>
      <c r="E189" s="53">
        <f t="shared" si="34"/>
        <v>0</v>
      </c>
      <c r="F189" s="53"/>
      <c r="G189" s="53">
        <v>0</v>
      </c>
      <c r="H189" s="53"/>
      <c r="I189" s="53">
        <v>0</v>
      </c>
      <c r="J189" s="53"/>
      <c r="K189" s="53">
        <f t="shared" si="35"/>
        <v>0</v>
      </c>
      <c r="L189" s="53"/>
      <c r="M189" s="53">
        <v>0</v>
      </c>
      <c r="N189" s="53"/>
      <c r="O189" s="53">
        <v>0</v>
      </c>
      <c r="P189" s="53"/>
      <c r="Q189" s="53">
        <v>0</v>
      </c>
      <c r="R189" s="53"/>
      <c r="S189" s="53">
        <v>0</v>
      </c>
      <c r="T189" s="53"/>
      <c r="U189" s="53">
        <v>0</v>
      </c>
      <c r="V189" s="53"/>
      <c r="W189" s="53">
        <f t="shared" si="38"/>
        <v>0</v>
      </c>
      <c r="X189" s="51"/>
      <c r="Y189" s="51"/>
      <c r="Z189" s="35" t="s">
        <v>220</v>
      </c>
      <c r="AA189" s="53"/>
      <c r="AB189" s="35" t="s">
        <v>66</v>
      </c>
      <c r="AC189" s="51"/>
      <c r="AD189" s="53">
        <v>0</v>
      </c>
      <c r="AE189" s="53"/>
      <c r="AF189" s="53">
        <v>0</v>
      </c>
      <c r="AG189" s="53"/>
      <c r="AH189" s="53">
        <v>0</v>
      </c>
      <c r="AI189" s="53"/>
      <c r="AJ189" s="45">
        <f t="shared" si="36"/>
        <v>0</v>
      </c>
      <c r="AK189" s="45"/>
      <c r="AL189" s="53">
        <v>0</v>
      </c>
      <c r="AM189" s="45"/>
      <c r="AN189" s="53">
        <v>0</v>
      </c>
      <c r="AO189" s="53"/>
      <c r="AP189" s="53">
        <v>0</v>
      </c>
      <c r="AQ189" s="53"/>
      <c r="AR189" s="53">
        <v>0</v>
      </c>
      <c r="AS189" s="53"/>
      <c r="AT189" s="45">
        <f t="shared" si="37"/>
        <v>0</v>
      </c>
      <c r="AU189" s="45"/>
      <c r="AV189" s="53">
        <v>0</v>
      </c>
      <c r="AW189" s="53"/>
      <c r="AX189" s="53">
        <v>0</v>
      </c>
      <c r="AY189" s="53"/>
      <c r="AZ189" s="53">
        <f t="shared" si="39"/>
        <v>0</v>
      </c>
      <c r="BA189" s="51"/>
      <c r="BB189" s="35" t="s">
        <v>220</v>
      </c>
      <c r="BC189" s="35"/>
      <c r="BD189" s="35" t="s">
        <v>66</v>
      </c>
      <c r="BE189" s="53"/>
      <c r="BF189" s="53">
        <v>0</v>
      </c>
      <c r="BG189" s="53"/>
      <c r="BH189" s="53">
        <v>0</v>
      </c>
      <c r="BI189" s="53"/>
      <c r="BJ189" s="53">
        <v>0</v>
      </c>
      <c r="BK189" s="53"/>
      <c r="BL189" s="53">
        <v>0</v>
      </c>
      <c r="BM189" s="53"/>
      <c r="BN189" s="53">
        <f t="shared" si="30"/>
        <v>0</v>
      </c>
      <c r="BO189" s="139"/>
      <c r="BS189" s="140"/>
      <c r="BT189" s="140"/>
      <c r="BU189" s="141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40"/>
      <c r="CK189" s="140"/>
      <c r="CL189" s="140"/>
      <c r="CM189" s="140"/>
      <c r="CN189" s="140"/>
      <c r="CO189" s="140"/>
      <c r="CP189" s="140"/>
      <c r="CQ189" s="140"/>
    </row>
    <row r="190" spans="1:95" s="126" customFormat="1" ht="12.75" hidden="1" customHeight="1">
      <c r="A190" s="35" t="s">
        <v>221</v>
      </c>
      <c r="B190" s="51"/>
      <c r="C190" s="35" t="s">
        <v>27</v>
      </c>
      <c r="D190" s="44"/>
      <c r="E190" s="53">
        <f t="shared" si="34"/>
        <v>0</v>
      </c>
      <c r="F190" s="53"/>
      <c r="G190" s="53">
        <v>0</v>
      </c>
      <c r="H190" s="53"/>
      <c r="I190" s="53">
        <v>0</v>
      </c>
      <c r="J190" s="53"/>
      <c r="K190" s="53">
        <f t="shared" si="35"/>
        <v>0</v>
      </c>
      <c r="L190" s="53"/>
      <c r="M190" s="53">
        <v>0</v>
      </c>
      <c r="N190" s="53"/>
      <c r="O190" s="53">
        <v>0</v>
      </c>
      <c r="P190" s="53"/>
      <c r="Q190" s="53">
        <v>0</v>
      </c>
      <c r="R190" s="53"/>
      <c r="S190" s="53">
        <v>0</v>
      </c>
      <c r="T190" s="53"/>
      <c r="U190" s="53">
        <v>0</v>
      </c>
      <c r="V190" s="53"/>
      <c r="W190" s="53">
        <f t="shared" si="38"/>
        <v>0</v>
      </c>
      <c r="X190" s="51"/>
      <c r="Y190" s="51"/>
      <c r="Z190" s="35" t="s">
        <v>221</v>
      </c>
      <c r="AA190" s="53"/>
      <c r="AB190" s="35" t="s">
        <v>27</v>
      </c>
      <c r="AC190" s="51"/>
      <c r="AD190" s="53">
        <v>0</v>
      </c>
      <c r="AE190" s="53"/>
      <c r="AF190" s="53">
        <v>0</v>
      </c>
      <c r="AG190" s="53"/>
      <c r="AH190" s="53">
        <v>0</v>
      </c>
      <c r="AI190" s="53"/>
      <c r="AJ190" s="45">
        <f t="shared" si="36"/>
        <v>0</v>
      </c>
      <c r="AK190" s="45"/>
      <c r="AL190" s="53">
        <v>0</v>
      </c>
      <c r="AM190" s="45"/>
      <c r="AN190" s="53">
        <v>0</v>
      </c>
      <c r="AO190" s="53"/>
      <c r="AP190" s="53">
        <v>0</v>
      </c>
      <c r="AQ190" s="53"/>
      <c r="AR190" s="53">
        <v>0</v>
      </c>
      <c r="AS190" s="53"/>
      <c r="AT190" s="45">
        <f t="shared" si="37"/>
        <v>0</v>
      </c>
      <c r="AU190" s="45"/>
      <c r="AV190" s="53">
        <v>0</v>
      </c>
      <c r="AW190" s="53"/>
      <c r="AX190" s="53">
        <v>0</v>
      </c>
      <c r="AY190" s="53"/>
      <c r="AZ190" s="53">
        <f t="shared" si="39"/>
        <v>0</v>
      </c>
      <c r="BA190" s="51"/>
      <c r="BB190" s="35" t="s">
        <v>221</v>
      </c>
      <c r="BC190" s="35"/>
      <c r="BD190" s="35" t="s">
        <v>27</v>
      </c>
      <c r="BE190" s="53"/>
      <c r="BF190" s="53">
        <v>0</v>
      </c>
      <c r="BG190" s="53"/>
      <c r="BH190" s="53">
        <v>0</v>
      </c>
      <c r="BI190" s="53"/>
      <c r="BJ190" s="53">
        <v>0</v>
      </c>
      <c r="BK190" s="53"/>
      <c r="BL190" s="53">
        <v>0</v>
      </c>
      <c r="BM190" s="53"/>
      <c r="BN190" s="53">
        <f t="shared" si="30"/>
        <v>0</v>
      </c>
      <c r="BO190" s="139"/>
      <c r="BS190" s="140"/>
      <c r="BT190" s="140"/>
      <c r="BU190" s="141"/>
      <c r="BV190" s="140"/>
      <c r="BW190" s="140"/>
      <c r="BX190" s="140"/>
      <c r="BY190" s="140"/>
      <c r="BZ190" s="140"/>
      <c r="CA190" s="140"/>
      <c r="CB190" s="140"/>
      <c r="CC190" s="140"/>
      <c r="CD190" s="140"/>
      <c r="CE190" s="140"/>
      <c r="CF190" s="140"/>
      <c r="CG190" s="140"/>
      <c r="CH190" s="140"/>
      <c r="CI190" s="140"/>
      <c r="CJ190" s="140"/>
      <c r="CK190" s="140"/>
      <c r="CL190" s="140"/>
      <c r="CM190" s="140"/>
      <c r="CN190" s="140"/>
      <c r="CO190" s="140"/>
      <c r="CP190" s="140"/>
      <c r="CQ190" s="140"/>
    </row>
    <row r="191" spans="1:95" s="35" customFormat="1" ht="12.75" customHeight="1">
      <c r="A191" s="35" t="s">
        <v>222</v>
      </c>
      <c r="B191" s="51"/>
      <c r="C191" s="35" t="s">
        <v>47</v>
      </c>
      <c r="D191" s="44"/>
      <c r="E191" s="53">
        <f t="shared" si="34"/>
        <v>327431</v>
      </c>
      <c r="F191" s="53"/>
      <c r="G191" s="53">
        <v>2389738</v>
      </c>
      <c r="H191" s="53"/>
      <c r="I191" s="53">
        <v>2717169</v>
      </c>
      <c r="J191" s="53"/>
      <c r="K191" s="53">
        <f t="shared" si="35"/>
        <v>69792</v>
      </c>
      <c r="L191" s="53"/>
      <c r="M191" s="53">
        <v>1395591</v>
      </c>
      <c r="N191" s="53"/>
      <c r="O191" s="53">
        <v>1465383</v>
      </c>
      <c r="P191" s="53"/>
      <c r="Q191" s="53">
        <v>930263</v>
      </c>
      <c r="R191" s="53"/>
      <c r="S191" s="53">
        <v>0</v>
      </c>
      <c r="T191" s="53"/>
      <c r="U191" s="53">
        <v>321523</v>
      </c>
      <c r="V191" s="53"/>
      <c r="W191" s="53">
        <f t="shared" ref="W191:W255" si="40">SUM(Q191:U191)</f>
        <v>1251786</v>
      </c>
      <c r="X191" s="51"/>
      <c r="Y191" s="51"/>
      <c r="Z191" s="35" t="s">
        <v>222</v>
      </c>
      <c r="AA191" s="53"/>
      <c r="AB191" s="35" t="s">
        <v>47</v>
      </c>
      <c r="AC191" s="51"/>
      <c r="AD191" s="53">
        <v>150995</v>
      </c>
      <c r="AE191" s="53"/>
      <c r="AF191" s="53">
        <f>198845-74256</f>
        <v>124589</v>
      </c>
      <c r="AG191" s="53"/>
      <c r="AH191" s="53">
        <v>74256</v>
      </c>
      <c r="AI191" s="53"/>
      <c r="AJ191" s="45">
        <f t="shared" si="36"/>
        <v>-47850</v>
      </c>
      <c r="AK191" s="45"/>
      <c r="AL191" s="53">
        <v>-74349</v>
      </c>
      <c r="AM191" s="45"/>
      <c r="AN191" s="53">
        <v>175414</v>
      </c>
      <c r="AO191" s="53"/>
      <c r="AP191" s="53">
        <v>0</v>
      </c>
      <c r="AQ191" s="53"/>
      <c r="AR191" s="53">
        <v>0</v>
      </c>
      <c r="AS191" s="53"/>
      <c r="AT191" s="45">
        <f t="shared" si="37"/>
        <v>53215</v>
      </c>
      <c r="AU191" s="45"/>
      <c r="AV191" s="53">
        <v>0</v>
      </c>
      <c r="AW191" s="53"/>
      <c r="AX191" s="53">
        <v>0</v>
      </c>
      <c r="AY191" s="53"/>
      <c r="AZ191" s="53">
        <f t="shared" ref="AZ191:AZ255" si="41">E191-K191</f>
        <v>257639</v>
      </c>
      <c r="BA191" s="51"/>
      <c r="BB191" s="35" t="s">
        <v>222</v>
      </c>
      <c r="BD191" s="35" t="s">
        <v>47</v>
      </c>
      <c r="BE191" s="53"/>
      <c r="BF191" s="53">
        <f>1395591+63884</f>
        <v>1459475</v>
      </c>
      <c r="BG191" s="53"/>
      <c r="BH191" s="53">
        <v>0</v>
      </c>
      <c r="BI191" s="53"/>
      <c r="BJ191" s="53">
        <v>0</v>
      </c>
      <c r="BK191" s="53"/>
      <c r="BL191" s="53">
        <v>0</v>
      </c>
      <c r="BM191" s="53"/>
      <c r="BN191" s="53">
        <f t="shared" si="30"/>
        <v>1459475</v>
      </c>
      <c r="BO191" s="54"/>
      <c r="BS191" s="55"/>
      <c r="BT191" s="55"/>
      <c r="BU191" s="84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</row>
    <row r="192" spans="1:95" s="35" customFormat="1" ht="12.75" customHeight="1">
      <c r="A192" s="35" t="s">
        <v>223</v>
      </c>
      <c r="B192" s="51"/>
      <c r="C192" s="35" t="s">
        <v>94</v>
      </c>
      <c r="D192" s="44"/>
      <c r="E192" s="53">
        <f t="shared" si="34"/>
        <v>3930378</v>
      </c>
      <c r="F192" s="53"/>
      <c r="G192" s="53">
        <v>9271150</v>
      </c>
      <c r="H192" s="53"/>
      <c r="I192" s="53">
        <v>13201528</v>
      </c>
      <c r="J192" s="53"/>
      <c r="K192" s="53">
        <f t="shared" si="35"/>
        <v>242021</v>
      </c>
      <c r="L192" s="53"/>
      <c r="M192" s="53">
        <v>870252</v>
      </c>
      <c r="N192" s="53"/>
      <c r="O192" s="53">
        <v>1112273</v>
      </c>
      <c r="P192" s="53"/>
      <c r="Q192" s="53">
        <v>8392233</v>
      </c>
      <c r="R192" s="53"/>
      <c r="S192" s="53">
        <v>0</v>
      </c>
      <c r="T192" s="53"/>
      <c r="U192" s="53">
        <v>3697022</v>
      </c>
      <c r="V192" s="53"/>
      <c r="W192" s="53">
        <f t="shared" si="40"/>
        <v>12089255</v>
      </c>
      <c r="X192" s="51"/>
      <c r="Y192" s="51"/>
      <c r="Z192" s="35" t="s">
        <v>223</v>
      </c>
      <c r="AA192" s="53"/>
      <c r="AB192" s="35" t="s">
        <v>94</v>
      </c>
      <c r="AC192" s="51"/>
      <c r="AD192" s="53">
        <v>1565164</v>
      </c>
      <c r="AE192" s="53"/>
      <c r="AF192" s="53">
        <v>1940817</v>
      </c>
      <c r="AG192" s="53"/>
      <c r="AH192" s="53">
        <v>401497</v>
      </c>
      <c r="AI192" s="53"/>
      <c r="AJ192" s="45">
        <f t="shared" si="36"/>
        <v>-777150</v>
      </c>
      <c r="AK192" s="45"/>
      <c r="AL192" s="53">
        <v>-2469</v>
      </c>
      <c r="AM192" s="45"/>
      <c r="AN192" s="53">
        <v>5212</v>
      </c>
      <c r="AO192" s="53"/>
      <c r="AP192" s="53">
        <v>0</v>
      </c>
      <c r="AQ192" s="53"/>
      <c r="AR192" s="53">
        <v>0</v>
      </c>
      <c r="AS192" s="53"/>
      <c r="AT192" s="45">
        <f t="shared" si="37"/>
        <v>-774407</v>
      </c>
      <c r="AU192" s="45"/>
      <c r="AV192" s="53">
        <v>0</v>
      </c>
      <c r="AW192" s="53"/>
      <c r="AX192" s="53">
        <v>0</v>
      </c>
      <c r="AY192" s="53"/>
      <c r="AZ192" s="53">
        <f t="shared" si="41"/>
        <v>3688357</v>
      </c>
      <c r="BA192" s="51"/>
      <c r="BB192" s="35" t="s">
        <v>223</v>
      </c>
      <c r="BD192" s="35" t="s">
        <v>94</v>
      </c>
      <c r="BE192" s="53"/>
      <c r="BF192" s="53">
        <v>0</v>
      </c>
      <c r="BG192" s="53"/>
      <c r="BH192" s="53">
        <v>0</v>
      </c>
      <c r="BI192" s="53"/>
      <c r="BJ192" s="53">
        <v>878917</v>
      </c>
      <c r="BK192" s="53"/>
      <c r="BL192" s="53">
        <v>47823</v>
      </c>
      <c r="BM192" s="53"/>
      <c r="BN192" s="53">
        <f t="shared" si="30"/>
        <v>926740</v>
      </c>
      <c r="BO192" s="54"/>
      <c r="BS192" s="55"/>
      <c r="BT192" s="55"/>
      <c r="BU192" s="84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</row>
    <row r="193" spans="1:227" s="35" customFormat="1" ht="12.75" customHeight="1">
      <c r="A193" s="35" t="s">
        <v>76</v>
      </c>
      <c r="B193" s="51"/>
      <c r="C193" s="35" t="s">
        <v>132</v>
      </c>
      <c r="D193" s="44"/>
      <c r="E193" s="53">
        <f t="shared" si="34"/>
        <v>8483006</v>
      </c>
      <c r="F193" s="53"/>
      <c r="G193" s="53">
        <v>25805838</v>
      </c>
      <c r="H193" s="53"/>
      <c r="I193" s="53">
        <v>34288844</v>
      </c>
      <c r="J193" s="53"/>
      <c r="K193" s="53">
        <f t="shared" si="35"/>
        <v>1321908</v>
      </c>
      <c r="L193" s="53"/>
      <c r="M193" s="53">
        <v>13611745</v>
      </c>
      <c r="N193" s="53"/>
      <c r="O193" s="53">
        <v>14933653</v>
      </c>
      <c r="P193" s="53"/>
      <c r="Q193" s="53">
        <v>12098440</v>
      </c>
      <c r="R193" s="53"/>
      <c r="S193" s="53">
        <v>0</v>
      </c>
      <c r="T193" s="53"/>
      <c r="U193" s="53">
        <v>7256751</v>
      </c>
      <c r="V193" s="53"/>
      <c r="W193" s="53">
        <f t="shared" si="40"/>
        <v>19355191</v>
      </c>
      <c r="X193" s="51"/>
      <c r="Y193" s="51"/>
      <c r="Z193" s="35" t="s">
        <v>76</v>
      </c>
      <c r="AA193" s="53"/>
      <c r="AB193" s="35" t="s">
        <v>132</v>
      </c>
      <c r="AC193" s="51"/>
      <c r="AD193" s="53">
        <v>5135801</v>
      </c>
      <c r="AE193" s="53"/>
      <c r="AF193" s="53">
        <f>4198140-930594</f>
        <v>3267546</v>
      </c>
      <c r="AG193" s="53"/>
      <c r="AH193" s="53">
        <v>930594</v>
      </c>
      <c r="AI193" s="53"/>
      <c r="AJ193" s="45">
        <f t="shared" si="36"/>
        <v>937661</v>
      </c>
      <c r="AK193" s="45"/>
      <c r="AL193" s="53">
        <v>-169178</v>
      </c>
      <c r="AM193" s="45"/>
      <c r="AN193" s="53">
        <v>0</v>
      </c>
      <c r="AO193" s="53"/>
      <c r="AP193" s="53">
        <v>322838</v>
      </c>
      <c r="AQ193" s="53"/>
      <c r="AR193" s="53">
        <v>0</v>
      </c>
      <c r="AS193" s="53"/>
      <c r="AT193" s="45">
        <f t="shared" si="37"/>
        <v>445645</v>
      </c>
      <c r="AU193" s="45"/>
      <c r="AV193" s="53">
        <v>0</v>
      </c>
      <c r="AW193" s="53"/>
      <c r="AX193" s="53">
        <v>0</v>
      </c>
      <c r="AY193" s="53"/>
      <c r="AZ193" s="53">
        <f t="shared" si="41"/>
        <v>7161098</v>
      </c>
      <c r="BA193" s="51"/>
      <c r="BB193" s="35" t="s">
        <v>76</v>
      </c>
      <c r="BD193" s="35" t="s">
        <v>132</v>
      </c>
      <c r="BE193" s="53"/>
      <c r="BF193" s="53">
        <f>149102+85000</f>
        <v>234102</v>
      </c>
      <c r="BG193" s="53"/>
      <c r="BH193" s="53">
        <v>0</v>
      </c>
      <c r="BI193" s="53"/>
      <c r="BJ193" s="53">
        <f>12974752+272493+393269+39100</f>
        <v>13679614</v>
      </c>
      <c r="BK193" s="53"/>
      <c r="BL193" s="53">
        <f>215398+36973</f>
        <v>252371</v>
      </c>
      <c r="BM193" s="53"/>
      <c r="BN193" s="53">
        <f t="shared" si="30"/>
        <v>14166087</v>
      </c>
      <c r="BO193" s="54"/>
      <c r="BS193" s="55"/>
      <c r="BT193" s="55"/>
      <c r="BU193" s="84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</row>
    <row r="194" spans="1:227" s="126" customFormat="1" ht="12.75" hidden="1" customHeight="1">
      <c r="A194" s="35" t="s">
        <v>224</v>
      </c>
      <c r="B194" s="51"/>
      <c r="C194" s="35" t="s">
        <v>27</v>
      </c>
      <c r="D194" s="44"/>
      <c r="E194" s="53">
        <f t="shared" si="34"/>
        <v>0</v>
      </c>
      <c r="F194" s="53"/>
      <c r="G194" s="53">
        <v>0</v>
      </c>
      <c r="H194" s="53"/>
      <c r="I194" s="53">
        <v>0</v>
      </c>
      <c r="J194" s="53"/>
      <c r="K194" s="53">
        <f t="shared" si="35"/>
        <v>0</v>
      </c>
      <c r="L194" s="53"/>
      <c r="M194" s="53">
        <v>0</v>
      </c>
      <c r="N194" s="53"/>
      <c r="O194" s="53">
        <v>0</v>
      </c>
      <c r="P194" s="53"/>
      <c r="Q194" s="53">
        <v>0</v>
      </c>
      <c r="R194" s="53"/>
      <c r="S194" s="53">
        <v>0</v>
      </c>
      <c r="T194" s="53"/>
      <c r="U194" s="53">
        <v>0</v>
      </c>
      <c r="V194" s="53"/>
      <c r="W194" s="53">
        <f t="shared" si="40"/>
        <v>0</v>
      </c>
      <c r="X194" s="51"/>
      <c r="Y194" s="51"/>
      <c r="Z194" s="35" t="s">
        <v>224</v>
      </c>
      <c r="AA194" s="53"/>
      <c r="AB194" s="35" t="s">
        <v>27</v>
      </c>
      <c r="AC194" s="51"/>
      <c r="AD194" s="53">
        <v>0</v>
      </c>
      <c r="AE194" s="53"/>
      <c r="AF194" s="53">
        <v>0</v>
      </c>
      <c r="AG194" s="53"/>
      <c r="AH194" s="53">
        <v>0</v>
      </c>
      <c r="AI194" s="53"/>
      <c r="AJ194" s="45">
        <f t="shared" si="36"/>
        <v>0</v>
      </c>
      <c r="AK194" s="45"/>
      <c r="AL194" s="53">
        <v>0</v>
      </c>
      <c r="AM194" s="45"/>
      <c r="AN194" s="53">
        <v>0</v>
      </c>
      <c r="AO194" s="53"/>
      <c r="AP194" s="53">
        <v>0</v>
      </c>
      <c r="AQ194" s="53"/>
      <c r="AR194" s="53">
        <v>0</v>
      </c>
      <c r="AS194" s="53"/>
      <c r="AT194" s="45">
        <f t="shared" si="37"/>
        <v>0</v>
      </c>
      <c r="AU194" s="45"/>
      <c r="AV194" s="53">
        <v>0</v>
      </c>
      <c r="AW194" s="53"/>
      <c r="AX194" s="53">
        <v>0</v>
      </c>
      <c r="AY194" s="53"/>
      <c r="AZ194" s="53">
        <f t="shared" si="41"/>
        <v>0</v>
      </c>
      <c r="BA194" s="51"/>
      <c r="BB194" s="35" t="s">
        <v>224</v>
      </c>
      <c r="BC194" s="35"/>
      <c r="BD194" s="35" t="s">
        <v>27</v>
      </c>
      <c r="BE194" s="53"/>
      <c r="BF194" s="53">
        <v>0</v>
      </c>
      <c r="BG194" s="53"/>
      <c r="BH194" s="53">
        <v>0</v>
      </c>
      <c r="BI194" s="53"/>
      <c r="BJ194" s="53">
        <v>0</v>
      </c>
      <c r="BK194" s="53"/>
      <c r="BL194" s="53">
        <v>0</v>
      </c>
      <c r="BM194" s="53"/>
      <c r="BN194" s="53">
        <f t="shared" si="30"/>
        <v>0</v>
      </c>
      <c r="BO194" s="139"/>
      <c r="BS194" s="140"/>
      <c r="BT194" s="140"/>
      <c r="BU194" s="141"/>
      <c r="BV194" s="140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140"/>
      <c r="CG194" s="140"/>
      <c r="CH194" s="140"/>
      <c r="CI194" s="140"/>
      <c r="CJ194" s="140"/>
      <c r="CK194" s="140"/>
      <c r="CL194" s="140"/>
      <c r="CM194" s="140"/>
      <c r="CN194" s="140"/>
      <c r="CO194" s="140"/>
      <c r="CP194" s="140"/>
      <c r="CQ194" s="140"/>
    </row>
    <row r="195" spans="1:227" s="126" customFormat="1" ht="12.75" hidden="1" customHeight="1">
      <c r="A195" s="35" t="s">
        <v>225</v>
      </c>
      <c r="B195" s="51"/>
      <c r="C195" s="35" t="s">
        <v>27</v>
      </c>
      <c r="D195" s="44"/>
      <c r="E195" s="53">
        <f t="shared" si="34"/>
        <v>0</v>
      </c>
      <c r="F195" s="53"/>
      <c r="G195" s="53">
        <v>0</v>
      </c>
      <c r="H195" s="53"/>
      <c r="I195" s="53">
        <v>0</v>
      </c>
      <c r="J195" s="53"/>
      <c r="K195" s="53">
        <f t="shared" si="35"/>
        <v>0</v>
      </c>
      <c r="L195" s="53"/>
      <c r="M195" s="53">
        <v>0</v>
      </c>
      <c r="N195" s="53"/>
      <c r="O195" s="53">
        <v>0</v>
      </c>
      <c r="P195" s="53"/>
      <c r="Q195" s="53">
        <v>0</v>
      </c>
      <c r="R195" s="53"/>
      <c r="S195" s="53">
        <v>0</v>
      </c>
      <c r="T195" s="53"/>
      <c r="U195" s="53">
        <v>0</v>
      </c>
      <c r="V195" s="53"/>
      <c r="W195" s="53">
        <f t="shared" si="40"/>
        <v>0</v>
      </c>
      <c r="X195" s="51"/>
      <c r="Y195" s="51"/>
      <c r="Z195" s="35" t="s">
        <v>225</v>
      </c>
      <c r="AA195" s="53"/>
      <c r="AB195" s="35" t="s">
        <v>27</v>
      </c>
      <c r="AC195" s="51"/>
      <c r="AD195" s="53">
        <v>0</v>
      </c>
      <c r="AE195" s="53"/>
      <c r="AF195" s="53">
        <v>0</v>
      </c>
      <c r="AG195" s="53"/>
      <c r="AH195" s="53">
        <v>0</v>
      </c>
      <c r="AI195" s="53"/>
      <c r="AJ195" s="45">
        <f t="shared" si="36"/>
        <v>0</v>
      </c>
      <c r="AK195" s="45"/>
      <c r="AL195" s="53">
        <v>0</v>
      </c>
      <c r="AM195" s="45"/>
      <c r="AN195" s="53">
        <v>0</v>
      </c>
      <c r="AO195" s="53"/>
      <c r="AP195" s="53">
        <v>0</v>
      </c>
      <c r="AQ195" s="53"/>
      <c r="AR195" s="53">
        <v>0</v>
      </c>
      <c r="AS195" s="53"/>
      <c r="AT195" s="45">
        <f t="shared" si="37"/>
        <v>0</v>
      </c>
      <c r="AU195" s="45"/>
      <c r="AV195" s="53">
        <v>0</v>
      </c>
      <c r="AW195" s="53"/>
      <c r="AX195" s="53">
        <v>0</v>
      </c>
      <c r="AY195" s="53"/>
      <c r="AZ195" s="53">
        <f t="shared" si="41"/>
        <v>0</v>
      </c>
      <c r="BA195" s="51"/>
      <c r="BB195" s="35" t="s">
        <v>225</v>
      </c>
      <c r="BC195" s="35"/>
      <c r="BD195" s="35" t="s">
        <v>27</v>
      </c>
      <c r="BE195" s="53"/>
      <c r="BF195" s="53">
        <v>0</v>
      </c>
      <c r="BG195" s="53"/>
      <c r="BH195" s="53">
        <v>0</v>
      </c>
      <c r="BI195" s="53"/>
      <c r="BJ195" s="53">
        <v>0</v>
      </c>
      <c r="BK195" s="53"/>
      <c r="BL195" s="53">
        <v>0</v>
      </c>
      <c r="BM195" s="53"/>
      <c r="BN195" s="53">
        <f t="shared" si="30"/>
        <v>0</v>
      </c>
      <c r="BO195" s="139"/>
      <c r="BS195" s="140"/>
      <c r="BT195" s="140"/>
      <c r="BU195" s="141"/>
      <c r="BV195" s="140"/>
      <c r="BW195" s="140"/>
      <c r="BX195" s="140"/>
      <c r="BY195" s="140"/>
      <c r="BZ195" s="140"/>
      <c r="CA195" s="140"/>
      <c r="CB195" s="140"/>
      <c r="CC195" s="140"/>
      <c r="CD195" s="140"/>
      <c r="CE195" s="140"/>
      <c r="CF195" s="140"/>
      <c r="CG195" s="140"/>
      <c r="CH195" s="140"/>
      <c r="CI195" s="140"/>
      <c r="CJ195" s="140"/>
      <c r="CK195" s="140"/>
      <c r="CL195" s="140"/>
      <c r="CM195" s="140"/>
      <c r="CN195" s="140"/>
      <c r="CO195" s="140"/>
      <c r="CP195" s="140"/>
      <c r="CQ195" s="140"/>
    </row>
    <row r="196" spans="1:227" s="126" customFormat="1" ht="12.75" hidden="1" customHeight="1">
      <c r="A196" s="35" t="s">
        <v>226</v>
      </c>
      <c r="B196" s="51"/>
      <c r="C196" s="35" t="s">
        <v>45</v>
      </c>
      <c r="D196" s="44"/>
      <c r="E196" s="53">
        <f t="shared" si="34"/>
        <v>0</v>
      </c>
      <c r="F196" s="53"/>
      <c r="G196" s="53">
        <v>0</v>
      </c>
      <c r="H196" s="53"/>
      <c r="I196" s="53">
        <v>0</v>
      </c>
      <c r="J196" s="53"/>
      <c r="K196" s="53">
        <f t="shared" si="35"/>
        <v>0</v>
      </c>
      <c r="L196" s="53"/>
      <c r="M196" s="53">
        <v>0</v>
      </c>
      <c r="N196" s="53"/>
      <c r="O196" s="53">
        <v>0</v>
      </c>
      <c r="P196" s="53"/>
      <c r="Q196" s="53">
        <v>0</v>
      </c>
      <c r="R196" s="53"/>
      <c r="S196" s="53">
        <v>0</v>
      </c>
      <c r="T196" s="53"/>
      <c r="U196" s="53">
        <v>0</v>
      </c>
      <c r="V196" s="53"/>
      <c r="W196" s="53">
        <f t="shared" si="40"/>
        <v>0</v>
      </c>
      <c r="X196" s="51"/>
      <c r="Y196" s="51"/>
      <c r="Z196" s="35" t="s">
        <v>226</v>
      </c>
      <c r="AA196" s="53"/>
      <c r="AB196" s="35" t="s">
        <v>45</v>
      </c>
      <c r="AC196" s="51"/>
      <c r="AD196" s="53">
        <v>0</v>
      </c>
      <c r="AE196" s="53"/>
      <c r="AF196" s="53">
        <v>0</v>
      </c>
      <c r="AG196" s="53"/>
      <c r="AH196" s="53">
        <v>0</v>
      </c>
      <c r="AI196" s="53"/>
      <c r="AJ196" s="45">
        <f t="shared" si="36"/>
        <v>0</v>
      </c>
      <c r="AK196" s="45"/>
      <c r="AL196" s="53">
        <v>0</v>
      </c>
      <c r="AM196" s="45"/>
      <c r="AN196" s="53">
        <v>0</v>
      </c>
      <c r="AO196" s="53"/>
      <c r="AP196" s="53">
        <v>0</v>
      </c>
      <c r="AQ196" s="53"/>
      <c r="AR196" s="53">
        <v>0</v>
      </c>
      <c r="AS196" s="53"/>
      <c r="AT196" s="45">
        <f t="shared" si="37"/>
        <v>0</v>
      </c>
      <c r="AU196" s="45"/>
      <c r="AV196" s="53">
        <v>0</v>
      </c>
      <c r="AW196" s="53"/>
      <c r="AX196" s="53">
        <v>0</v>
      </c>
      <c r="AY196" s="53"/>
      <c r="AZ196" s="53">
        <f t="shared" si="41"/>
        <v>0</v>
      </c>
      <c r="BA196" s="51"/>
      <c r="BB196" s="35" t="s">
        <v>226</v>
      </c>
      <c r="BC196" s="35"/>
      <c r="BD196" s="35" t="s">
        <v>45</v>
      </c>
      <c r="BE196" s="53"/>
      <c r="BF196" s="53">
        <v>0</v>
      </c>
      <c r="BG196" s="53"/>
      <c r="BH196" s="53">
        <v>0</v>
      </c>
      <c r="BI196" s="53"/>
      <c r="BJ196" s="53">
        <v>0</v>
      </c>
      <c r="BK196" s="53"/>
      <c r="BL196" s="53">
        <v>0</v>
      </c>
      <c r="BM196" s="53"/>
      <c r="BN196" s="53">
        <f t="shared" si="30"/>
        <v>0</v>
      </c>
      <c r="BO196" s="139"/>
      <c r="BS196" s="140"/>
      <c r="BT196" s="140"/>
      <c r="BU196" s="141"/>
      <c r="BV196" s="140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140"/>
      <c r="CG196" s="140"/>
      <c r="CH196" s="140"/>
      <c r="CI196" s="140"/>
      <c r="CJ196" s="140"/>
      <c r="CK196" s="140"/>
      <c r="CL196" s="140"/>
      <c r="CM196" s="140"/>
      <c r="CN196" s="140"/>
      <c r="CO196" s="140"/>
      <c r="CP196" s="140"/>
      <c r="CQ196" s="140"/>
    </row>
    <row r="197" spans="1:227" s="35" customFormat="1" ht="12.75" customHeight="1">
      <c r="A197" s="35" t="s">
        <v>227</v>
      </c>
      <c r="C197" s="35" t="s">
        <v>17</v>
      </c>
      <c r="D197" s="44"/>
      <c r="E197" s="53">
        <f t="shared" si="34"/>
        <v>331091</v>
      </c>
      <c r="F197" s="53"/>
      <c r="G197" s="53">
        <v>519542</v>
      </c>
      <c r="H197" s="53"/>
      <c r="I197" s="53">
        <v>850633</v>
      </c>
      <c r="J197" s="53"/>
      <c r="K197" s="53">
        <f t="shared" si="35"/>
        <v>169093</v>
      </c>
      <c r="L197" s="53"/>
      <c r="M197" s="53">
        <v>24546</v>
      </c>
      <c r="N197" s="53"/>
      <c r="O197" s="53">
        <v>193639</v>
      </c>
      <c r="P197" s="53"/>
      <c r="Q197" s="53">
        <v>399542</v>
      </c>
      <c r="R197" s="53"/>
      <c r="S197" s="53">
        <v>0</v>
      </c>
      <c r="T197" s="53"/>
      <c r="U197" s="53">
        <v>257452</v>
      </c>
      <c r="V197" s="53"/>
      <c r="W197" s="53">
        <f t="shared" si="40"/>
        <v>656994</v>
      </c>
      <c r="X197" s="51"/>
      <c r="Y197" s="51"/>
      <c r="Z197" s="35" t="s">
        <v>227</v>
      </c>
      <c r="AA197" s="53"/>
      <c r="AB197" s="35" t="s">
        <v>17</v>
      </c>
      <c r="AD197" s="53">
        <v>677956</v>
      </c>
      <c r="AE197" s="53"/>
      <c r="AF197" s="53">
        <f>584250-16628</f>
        <v>567622</v>
      </c>
      <c r="AG197" s="53"/>
      <c r="AH197" s="53">
        <v>16628</v>
      </c>
      <c r="AI197" s="53"/>
      <c r="AJ197" s="45">
        <f t="shared" si="36"/>
        <v>93706</v>
      </c>
      <c r="AK197" s="45"/>
      <c r="AL197" s="53">
        <v>-4866</v>
      </c>
      <c r="AM197" s="45"/>
      <c r="AN197" s="53">
        <v>0</v>
      </c>
      <c r="AO197" s="53"/>
      <c r="AP197" s="53">
        <v>0</v>
      </c>
      <c r="AQ197" s="53"/>
      <c r="AR197" s="53">
        <v>0</v>
      </c>
      <c r="AS197" s="53"/>
      <c r="AT197" s="45">
        <f t="shared" si="37"/>
        <v>88840</v>
      </c>
      <c r="AU197" s="45"/>
      <c r="AV197" s="53">
        <v>0</v>
      </c>
      <c r="AW197" s="53"/>
      <c r="AX197" s="53">
        <v>0</v>
      </c>
      <c r="AY197" s="53"/>
      <c r="AZ197" s="53">
        <f t="shared" si="41"/>
        <v>161998</v>
      </c>
      <c r="BA197" s="51"/>
      <c r="BB197" s="35" t="s">
        <v>227</v>
      </c>
      <c r="BD197" s="35" t="s">
        <v>17</v>
      </c>
      <c r="BE197" s="53"/>
      <c r="BF197" s="53">
        <v>0</v>
      </c>
      <c r="BG197" s="53"/>
      <c r="BH197" s="53">
        <v>0</v>
      </c>
      <c r="BI197" s="53"/>
      <c r="BJ197" s="53">
        <v>0</v>
      </c>
      <c r="BK197" s="53"/>
      <c r="BL197" s="53">
        <v>24546</v>
      </c>
      <c r="BM197" s="53"/>
      <c r="BN197" s="53">
        <f t="shared" si="30"/>
        <v>24546</v>
      </c>
      <c r="BO197" s="54"/>
      <c r="BS197" s="55"/>
      <c r="BT197" s="55"/>
      <c r="BU197" s="84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</row>
    <row r="198" spans="1:227" s="35" customFormat="1" ht="12.75" customHeight="1">
      <c r="A198" s="35" t="s">
        <v>228</v>
      </c>
      <c r="B198" s="51"/>
      <c r="C198" s="35" t="s">
        <v>153</v>
      </c>
      <c r="D198" s="44"/>
      <c r="E198" s="53">
        <f t="shared" si="34"/>
        <v>1317955</v>
      </c>
      <c r="F198" s="53"/>
      <c r="G198" s="53">
        <v>10415295</v>
      </c>
      <c r="H198" s="53"/>
      <c r="I198" s="53">
        <v>11733250</v>
      </c>
      <c r="J198" s="53"/>
      <c r="K198" s="53">
        <f t="shared" si="35"/>
        <v>366008</v>
      </c>
      <c r="L198" s="53"/>
      <c r="M198" s="53">
        <v>2432676</v>
      </c>
      <c r="N198" s="53"/>
      <c r="O198" s="53">
        <v>2798684</v>
      </c>
      <c r="P198" s="53"/>
      <c r="Q198" s="53">
        <v>7806342</v>
      </c>
      <c r="R198" s="53"/>
      <c r="S198" s="53">
        <v>0</v>
      </c>
      <c r="T198" s="53"/>
      <c r="U198" s="53">
        <v>1128224</v>
      </c>
      <c r="V198" s="53"/>
      <c r="W198" s="53">
        <f t="shared" si="40"/>
        <v>8934566</v>
      </c>
      <c r="X198" s="51"/>
      <c r="Y198" s="51"/>
      <c r="Z198" s="35" t="s">
        <v>228</v>
      </c>
      <c r="AA198" s="53"/>
      <c r="AB198" s="35" t="s">
        <v>153</v>
      </c>
      <c r="AC198" s="51"/>
      <c r="AD198" s="53">
        <v>1958101</v>
      </c>
      <c r="AE198" s="53"/>
      <c r="AF198" s="53">
        <f>1824694-352963</f>
        <v>1471731</v>
      </c>
      <c r="AG198" s="53"/>
      <c r="AH198" s="53">
        <v>352963</v>
      </c>
      <c r="AI198" s="53"/>
      <c r="AJ198" s="45">
        <f t="shared" si="36"/>
        <v>133407</v>
      </c>
      <c r="AK198" s="45"/>
      <c r="AL198" s="53">
        <v>-19575</v>
      </c>
      <c r="AM198" s="45"/>
      <c r="AN198" s="53">
        <v>0</v>
      </c>
      <c r="AO198" s="53"/>
      <c r="AP198" s="53">
        <v>0</v>
      </c>
      <c r="AQ198" s="53"/>
      <c r="AR198" s="53">
        <v>0</v>
      </c>
      <c r="AS198" s="53"/>
      <c r="AT198" s="45">
        <f t="shared" si="37"/>
        <v>113832</v>
      </c>
      <c r="AU198" s="45"/>
      <c r="AV198" s="53">
        <v>0</v>
      </c>
      <c r="AW198" s="53"/>
      <c r="AX198" s="53">
        <v>0</v>
      </c>
      <c r="AY198" s="53"/>
      <c r="AZ198" s="53">
        <f t="shared" si="41"/>
        <v>951947</v>
      </c>
      <c r="BA198" s="51"/>
      <c r="BB198" s="35" t="s">
        <v>228</v>
      </c>
      <c r="BD198" s="35" t="s">
        <v>153</v>
      </c>
      <c r="BE198" s="53"/>
      <c r="BF198" s="53">
        <f>2391452+217504</f>
        <v>2608956</v>
      </c>
      <c r="BG198" s="53"/>
      <c r="BH198" s="53">
        <v>0</v>
      </c>
      <c r="BI198" s="53"/>
      <c r="BJ198" s="53">
        <v>0</v>
      </c>
      <c r="BK198" s="53"/>
      <c r="BL198" s="53">
        <f>41224+17001</f>
        <v>58225</v>
      </c>
      <c r="BM198" s="53"/>
      <c r="BN198" s="53">
        <f t="shared" si="30"/>
        <v>2667181</v>
      </c>
      <c r="BO198" s="54"/>
      <c r="BP198" s="55"/>
      <c r="BS198" s="55"/>
      <c r="BT198" s="55"/>
      <c r="BU198" s="84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</row>
    <row r="199" spans="1:227" s="35" customFormat="1" ht="12.75" customHeight="1">
      <c r="A199" s="35" t="s">
        <v>229</v>
      </c>
      <c r="B199" s="51"/>
      <c r="C199" s="35" t="s">
        <v>228</v>
      </c>
      <c r="D199" s="44"/>
      <c r="E199" s="53">
        <f t="shared" si="34"/>
        <v>5981610</v>
      </c>
      <c r="F199" s="53"/>
      <c r="G199" s="53">
        <v>14960436</v>
      </c>
      <c r="H199" s="53"/>
      <c r="I199" s="53">
        <v>20942046</v>
      </c>
      <c r="J199" s="53"/>
      <c r="K199" s="53">
        <f t="shared" si="35"/>
        <v>600903</v>
      </c>
      <c r="L199" s="53"/>
      <c r="M199" s="53">
        <v>7016856</v>
      </c>
      <c r="N199" s="53"/>
      <c r="O199" s="53">
        <v>7617759</v>
      </c>
      <c r="P199" s="53"/>
      <c r="Q199" s="53">
        <v>7774843</v>
      </c>
      <c r="R199" s="53"/>
      <c r="S199" s="53">
        <v>0</v>
      </c>
      <c r="T199" s="53"/>
      <c r="U199" s="53">
        <v>5549444</v>
      </c>
      <c r="V199" s="53"/>
      <c r="W199" s="53">
        <f t="shared" si="40"/>
        <v>13324287</v>
      </c>
      <c r="Z199" s="35" t="s">
        <v>229</v>
      </c>
      <c r="AA199" s="53"/>
      <c r="AB199" s="35" t="s">
        <v>228</v>
      </c>
      <c r="AC199" s="51"/>
      <c r="AD199" s="53">
        <v>3205559</v>
      </c>
      <c r="AE199" s="53"/>
      <c r="AF199" s="53">
        <f>3360178-398089</f>
        <v>2962089</v>
      </c>
      <c r="AG199" s="53"/>
      <c r="AH199" s="53">
        <v>398089</v>
      </c>
      <c r="AI199" s="53"/>
      <c r="AJ199" s="45">
        <f t="shared" si="36"/>
        <v>-154619</v>
      </c>
      <c r="AK199" s="45"/>
      <c r="AL199" s="53">
        <v>2544499</v>
      </c>
      <c r="AM199" s="45"/>
      <c r="AN199" s="53">
        <v>0</v>
      </c>
      <c r="AO199" s="53"/>
      <c r="AP199" s="53">
        <v>0</v>
      </c>
      <c r="AQ199" s="53"/>
      <c r="AR199" s="53">
        <v>0</v>
      </c>
      <c r="AS199" s="53"/>
      <c r="AT199" s="45">
        <f t="shared" si="37"/>
        <v>2389880</v>
      </c>
      <c r="AU199" s="45"/>
      <c r="AV199" s="53">
        <v>0</v>
      </c>
      <c r="AW199" s="53"/>
      <c r="AX199" s="53">
        <v>0</v>
      </c>
      <c r="AY199" s="53"/>
      <c r="AZ199" s="53">
        <f t="shared" si="41"/>
        <v>5380707</v>
      </c>
      <c r="BA199" s="51"/>
      <c r="BB199" s="35" t="s">
        <v>229</v>
      </c>
      <c r="BD199" s="35" t="s">
        <v>228</v>
      </c>
      <c r="BE199" s="53"/>
      <c r="BF199" s="53">
        <f>6831654+110761</f>
        <v>6942415</v>
      </c>
      <c r="BG199" s="53"/>
      <c r="BH199" s="53">
        <v>0</v>
      </c>
      <c r="BI199" s="53"/>
      <c r="BJ199" s="53">
        <v>0</v>
      </c>
      <c r="BK199" s="53"/>
      <c r="BL199" s="53">
        <f>185202+19271</f>
        <v>204473</v>
      </c>
      <c r="BM199" s="53"/>
      <c r="BN199" s="53">
        <f t="shared" si="30"/>
        <v>7146888</v>
      </c>
      <c r="BO199" s="54"/>
      <c r="BS199" s="55"/>
      <c r="BT199" s="55"/>
      <c r="BU199" s="84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</row>
    <row r="200" spans="1:227" s="126" customFormat="1" ht="12.75" hidden="1" customHeight="1">
      <c r="A200" s="35" t="s">
        <v>230</v>
      </c>
      <c r="B200" s="51"/>
      <c r="C200" s="35" t="s">
        <v>45</v>
      </c>
      <c r="D200" s="44"/>
      <c r="E200" s="53">
        <f t="shared" si="34"/>
        <v>0</v>
      </c>
      <c r="F200" s="53"/>
      <c r="G200" s="53">
        <v>0</v>
      </c>
      <c r="H200" s="53"/>
      <c r="I200" s="53">
        <v>0</v>
      </c>
      <c r="J200" s="53"/>
      <c r="K200" s="53">
        <f t="shared" si="35"/>
        <v>0</v>
      </c>
      <c r="L200" s="53"/>
      <c r="M200" s="53">
        <v>0</v>
      </c>
      <c r="N200" s="53"/>
      <c r="O200" s="53">
        <v>0</v>
      </c>
      <c r="P200" s="53"/>
      <c r="Q200" s="53">
        <v>0</v>
      </c>
      <c r="R200" s="53"/>
      <c r="S200" s="53">
        <v>0</v>
      </c>
      <c r="T200" s="53"/>
      <c r="U200" s="53">
        <v>0</v>
      </c>
      <c r="V200" s="53"/>
      <c r="W200" s="53">
        <f t="shared" si="40"/>
        <v>0</v>
      </c>
      <c r="X200" s="51"/>
      <c r="Y200" s="51"/>
      <c r="Z200" s="35" t="s">
        <v>230</v>
      </c>
      <c r="AA200" s="53"/>
      <c r="AB200" s="35" t="s">
        <v>45</v>
      </c>
      <c r="AC200" s="51"/>
      <c r="AD200" s="53">
        <v>0</v>
      </c>
      <c r="AE200" s="53"/>
      <c r="AF200" s="53">
        <v>0</v>
      </c>
      <c r="AG200" s="53"/>
      <c r="AH200" s="53">
        <v>0</v>
      </c>
      <c r="AI200" s="53"/>
      <c r="AJ200" s="45">
        <f t="shared" si="36"/>
        <v>0</v>
      </c>
      <c r="AK200" s="45"/>
      <c r="AL200" s="53">
        <v>0</v>
      </c>
      <c r="AM200" s="45"/>
      <c r="AN200" s="53">
        <v>0</v>
      </c>
      <c r="AO200" s="53"/>
      <c r="AP200" s="53">
        <v>0</v>
      </c>
      <c r="AQ200" s="53"/>
      <c r="AR200" s="53">
        <v>0</v>
      </c>
      <c r="AS200" s="53"/>
      <c r="AT200" s="45">
        <f t="shared" si="37"/>
        <v>0</v>
      </c>
      <c r="AU200" s="45"/>
      <c r="AV200" s="53">
        <v>0</v>
      </c>
      <c r="AW200" s="53"/>
      <c r="AX200" s="53">
        <v>0</v>
      </c>
      <c r="AY200" s="53"/>
      <c r="AZ200" s="53">
        <f t="shared" si="41"/>
        <v>0</v>
      </c>
      <c r="BA200" s="51"/>
      <c r="BB200" s="35" t="s">
        <v>230</v>
      </c>
      <c r="BC200" s="35"/>
      <c r="BD200" s="35" t="s">
        <v>45</v>
      </c>
      <c r="BE200" s="53"/>
      <c r="BF200" s="53">
        <v>0</v>
      </c>
      <c r="BG200" s="53"/>
      <c r="BH200" s="53">
        <v>0</v>
      </c>
      <c r="BI200" s="53"/>
      <c r="BJ200" s="53">
        <v>0</v>
      </c>
      <c r="BK200" s="53"/>
      <c r="BL200" s="53">
        <v>0</v>
      </c>
      <c r="BM200" s="53"/>
      <c r="BN200" s="53">
        <f t="shared" si="30"/>
        <v>0</v>
      </c>
      <c r="BO200" s="139"/>
      <c r="BS200" s="140"/>
      <c r="BT200" s="140"/>
      <c r="BU200" s="141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40"/>
      <c r="CK200" s="140"/>
      <c r="CL200" s="140"/>
      <c r="CM200" s="140"/>
      <c r="CN200" s="140"/>
      <c r="CO200" s="140"/>
      <c r="CP200" s="140"/>
      <c r="CQ200" s="140"/>
    </row>
    <row r="201" spans="1:227" s="64" customFormat="1" ht="12.75" customHeight="1">
      <c r="A201" s="35" t="s">
        <v>231</v>
      </c>
      <c r="B201" s="51"/>
      <c r="C201" s="35" t="s">
        <v>27</v>
      </c>
      <c r="D201" s="44"/>
      <c r="E201" s="53">
        <f t="shared" si="34"/>
        <v>5136011</v>
      </c>
      <c r="F201" s="53"/>
      <c r="G201" s="53">
        <v>59680716</v>
      </c>
      <c r="H201" s="53"/>
      <c r="I201" s="53">
        <v>64816727</v>
      </c>
      <c r="J201" s="53"/>
      <c r="K201" s="53">
        <f t="shared" si="35"/>
        <v>1942418</v>
      </c>
      <c r="L201" s="53"/>
      <c r="M201" s="53">
        <v>8829140</v>
      </c>
      <c r="N201" s="53"/>
      <c r="O201" s="53">
        <v>10771558</v>
      </c>
      <c r="P201" s="53"/>
      <c r="Q201" s="53">
        <v>49509130</v>
      </c>
      <c r="R201" s="53"/>
      <c r="S201" s="53">
        <v>0</v>
      </c>
      <c r="T201" s="53"/>
      <c r="U201" s="53">
        <v>4536039</v>
      </c>
      <c r="V201" s="53"/>
      <c r="W201" s="53">
        <f t="shared" si="40"/>
        <v>54045169</v>
      </c>
      <c r="X201" s="51"/>
      <c r="Y201" s="51"/>
      <c r="Z201" s="35" t="s">
        <v>231</v>
      </c>
      <c r="AA201" s="53"/>
      <c r="AB201" s="35" t="s">
        <v>27</v>
      </c>
      <c r="AC201" s="51"/>
      <c r="AD201" s="53">
        <v>5674530</v>
      </c>
      <c r="AE201" s="53"/>
      <c r="AF201" s="53">
        <f>5559731-1773898</f>
        <v>3785833</v>
      </c>
      <c r="AG201" s="53"/>
      <c r="AH201" s="53">
        <v>1773898</v>
      </c>
      <c r="AI201" s="53"/>
      <c r="AJ201" s="45">
        <f t="shared" si="36"/>
        <v>114799</v>
      </c>
      <c r="AK201" s="45"/>
      <c r="AL201" s="53">
        <v>-350701</v>
      </c>
      <c r="AM201" s="45"/>
      <c r="AN201" s="53">
        <v>66445</v>
      </c>
      <c r="AO201" s="53"/>
      <c r="AP201" s="53">
        <v>0</v>
      </c>
      <c r="AQ201" s="53"/>
      <c r="AR201" s="53">
        <v>141902</v>
      </c>
      <c r="AS201" s="53"/>
      <c r="AT201" s="45">
        <f t="shared" si="37"/>
        <v>-27555</v>
      </c>
      <c r="AU201" s="45"/>
      <c r="AV201" s="53">
        <v>0</v>
      </c>
      <c r="AW201" s="53"/>
      <c r="AX201" s="53">
        <v>0</v>
      </c>
      <c r="AY201" s="53"/>
      <c r="AZ201" s="53">
        <f t="shared" si="41"/>
        <v>3193593</v>
      </c>
      <c r="BA201" s="51"/>
      <c r="BB201" s="35" t="s">
        <v>231</v>
      </c>
      <c r="BC201" s="35"/>
      <c r="BD201" s="35" t="s">
        <v>27</v>
      </c>
      <c r="BE201" s="53"/>
      <c r="BF201" s="53">
        <v>0</v>
      </c>
      <c r="BG201" s="53"/>
      <c r="BH201" s="53">
        <v>0</v>
      </c>
      <c r="BI201" s="53"/>
      <c r="BJ201" s="53">
        <f>8620467+1551119</f>
        <v>10171586</v>
      </c>
      <c r="BK201" s="53"/>
      <c r="BL201" s="53">
        <f>208673+119933</f>
        <v>328606</v>
      </c>
      <c r="BM201" s="53"/>
      <c r="BN201" s="53">
        <f t="shared" si="30"/>
        <v>10500192</v>
      </c>
      <c r="BO201" s="91"/>
      <c r="BS201" s="90"/>
      <c r="BT201" s="90"/>
      <c r="BU201" s="95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</row>
    <row r="202" spans="1:227" s="126" customFormat="1" ht="12.75" hidden="1" customHeight="1">
      <c r="A202" s="35" t="s">
        <v>232</v>
      </c>
      <c r="B202" s="51"/>
      <c r="C202" s="35" t="s">
        <v>27</v>
      </c>
      <c r="D202" s="44"/>
      <c r="E202" s="53">
        <f t="shared" si="34"/>
        <v>0</v>
      </c>
      <c r="F202" s="53"/>
      <c r="G202" s="53">
        <v>0</v>
      </c>
      <c r="H202" s="53"/>
      <c r="I202" s="53">
        <v>0</v>
      </c>
      <c r="J202" s="53"/>
      <c r="K202" s="53">
        <f t="shared" si="35"/>
        <v>0</v>
      </c>
      <c r="L202" s="53"/>
      <c r="M202" s="53">
        <v>0</v>
      </c>
      <c r="N202" s="53"/>
      <c r="O202" s="53">
        <v>0</v>
      </c>
      <c r="P202" s="53"/>
      <c r="Q202" s="53">
        <v>0</v>
      </c>
      <c r="R202" s="53"/>
      <c r="S202" s="53">
        <v>0</v>
      </c>
      <c r="T202" s="53"/>
      <c r="U202" s="53">
        <v>0</v>
      </c>
      <c r="V202" s="53"/>
      <c r="W202" s="53">
        <f t="shared" si="40"/>
        <v>0</v>
      </c>
      <c r="X202" s="51"/>
      <c r="Y202" s="51"/>
      <c r="Z202" s="35" t="s">
        <v>232</v>
      </c>
      <c r="AA202" s="53"/>
      <c r="AB202" s="35" t="s">
        <v>27</v>
      </c>
      <c r="AC202" s="51"/>
      <c r="AD202" s="53">
        <v>0</v>
      </c>
      <c r="AE202" s="53"/>
      <c r="AF202" s="53">
        <v>0</v>
      </c>
      <c r="AG202" s="53"/>
      <c r="AH202" s="53">
        <v>0</v>
      </c>
      <c r="AI202" s="53"/>
      <c r="AJ202" s="45">
        <f t="shared" si="36"/>
        <v>0</v>
      </c>
      <c r="AK202" s="45"/>
      <c r="AL202" s="53">
        <v>0</v>
      </c>
      <c r="AM202" s="45"/>
      <c r="AN202" s="53">
        <v>0</v>
      </c>
      <c r="AO202" s="53"/>
      <c r="AP202" s="53">
        <v>0</v>
      </c>
      <c r="AQ202" s="53"/>
      <c r="AR202" s="53">
        <v>0</v>
      </c>
      <c r="AS202" s="53"/>
      <c r="AT202" s="45">
        <f t="shared" si="37"/>
        <v>0</v>
      </c>
      <c r="AU202" s="45"/>
      <c r="AV202" s="53">
        <v>0</v>
      </c>
      <c r="AW202" s="53"/>
      <c r="AX202" s="53">
        <v>0</v>
      </c>
      <c r="AY202" s="53"/>
      <c r="AZ202" s="53">
        <f t="shared" si="41"/>
        <v>0</v>
      </c>
      <c r="BA202" s="51"/>
      <c r="BB202" s="35" t="s">
        <v>232</v>
      </c>
      <c r="BC202" s="35"/>
      <c r="BD202" s="35" t="s">
        <v>27</v>
      </c>
      <c r="BE202" s="53"/>
      <c r="BF202" s="53">
        <v>0</v>
      </c>
      <c r="BG202" s="53"/>
      <c r="BH202" s="53">
        <v>0</v>
      </c>
      <c r="BI202" s="53"/>
      <c r="BJ202" s="53">
        <v>0</v>
      </c>
      <c r="BK202" s="53"/>
      <c r="BL202" s="53">
        <v>0</v>
      </c>
      <c r="BM202" s="53"/>
      <c r="BN202" s="53">
        <f t="shared" si="30"/>
        <v>0</v>
      </c>
      <c r="BO202" s="139"/>
      <c r="BP202" s="142"/>
      <c r="BQ202" s="142"/>
      <c r="BR202" s="142"/>
      <c r="BS202" s="140"/>
      <c r="BT202" s="140"/>
      <c r="BU202" s="141"/>
      <c r="BV202" s="140"/>
      <c r="BW202" s="140"/>
      <c r="BX202" s="140"/>
      <c r="BY202" s="140"/>
      <c r="BZ202" s="140"/>
      <c r="CA202" s="140"/>
      <c r="CB202" s="140"/>
      <c r="CC202" s="140"/>
      <c r="CD202" s="140"/>
      <c r="CE202" s="140"/>
      <c r="CF202" s="140"/>
      <c r="CG202" s="140"/>
      <c r="CH202" s="140"/>
      <c r="CI202" s="140"/>
      <c r="CJ202" s="140"/>
      <c r="CK202" s="140"/>
      <c r="CL202" s="140"/>
      <c r="CM202" s="140"/>
      <c r="CN202" s="140"/>
      <c r="CO202" s="140"/>
      <c r="CP202" s="140"/>
      <c r="CQ202" s="140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</row>
    <row r="203" spans="1:227" s="35" customFormat="1" ht="12.75" customHeight="1">
      <c r="A203" s="35" t="s">
        <v>233</v>
      </c>
      <c r="B203" s="51"/>
      <c r="C203" s="35" t="s">
        <v>111</v>
      </c>
      <c r="D203" s="44"/>
      <c r="E203" s="53">
        <f t="shared" si="34"/>
        <v>2627987</v>
      </c>
      <c r="F203" s="53"/>
      <c r="G203" s="53">
        <v>29481058</v>
      </c>
      <c r="H203" s="53"/>
      <c r="I203" s="53">
        <v>32109045</v>
      </c>
      <c r="J203" s="53"/>
      <c r="K203" s="53">
        <f t="shared" si="35"/>
        <v>1109898</v>
      </c>
      <c r="L203" s="53"/>
      <c r="M203" s="53">
        <v>10508031</v>
      </c>
      <c r="N203" s="53"/>
      <c r="O203" s="53">
        <v>11617929</v>
      </c>
      <c r="P203" s="53"/>
      <c r="Q203" s="53">
        <v>17760254</v>
      </c>
      <c r="R203" s="53"/>
      <c r="S203" s="53">
        <v>323503</v>
      </c>
      <c r="T203" s="53"/>
      <c r="U203" s="53">
        <v>2407359</v>
      </c>
      <c r="V203" s="53"/>
      <c r="W203" s="53">
        <f t="shared" si="40"/>
        <v>20491116</v>
      </c>
      <c r="X203" s="51"/>
      <c r="Y203" s="51"/>
      <c r="Z203" s="35" t="s">
        <v>233</v>
      </c>
      <c r="AA203" s="53"/>
      <c r="AB203" s="35" t="s">
        <v>111</v>
      </c>
      <c r="AC203" s="51"/>
      <c r="AD203" s="53">
        <v>3090718</v>
      </c>
      <c r="AE203" s="53"/>
      <c r="AF203" s="53">
        <f>3108528-647675</f>
        <v>2460853</v>
      </c>
      <c r="AG203" s="53"/>
      <c r="AH203" s="53">
        <v>647675</v>
      </c>
      <c r="AI203" s="53"/>
      <c r="AJ203" s="45">
        <f t="shared" si="36"/>
        <v>-17810</v>
      </c>
      <c r="AK203" s="45"/>
      <c r="AL203" s="53">
        <v>-522762</v>
      </c>
      <c r="AM203" s="45"/>
      <c r="AN203" s="53">
        <v>460000</v>
      </c>
      <c r="AO203" s="53"/>
      <c r="AP203" s="53">
        <v>90755</v>
      </c>
      <c r="AQ203" s="53"/>
      <c r="AR203" s="53">
        <v>167534</v>
      </c>
      <c r="AS203" s="53"/>
      <c r="AT203" s="45">
        <f t="shared" si="37"/>
        <v>-3793</v>
      </c>
      <c r="AU203" s="45"/>
      <c r="AV203" s="53">
        <v>0</v>
      </c>
      <c r="AW203" s="53"/>
      <c r="AX203" s="53">
        <v>0</v>
      </c>
      <c r="AY203" s="53"/>
      <c r="AZ203" s="53">
        <f t="shared" si="41"/>
        <v>1518089</v>
      </c>
      <c r="BA203" s="51"/>
      <c r="BB203" s="35" t="s">
        <v>233</v>
      </c>
      <c r="BD203" s="35" t="s">
        <v>111</v>
      </c>
      <c r="BE203" s="53"/>
      <c r="BF203" s="53">
        <f>8672257+563939</f>
        <v>9236196</v>
      </c>
      <c r="BG203" s="53"/>
      <c r="BH203" s="53">
        <f>223993+1797946</f>
        <v>2021939</v>
      </c>
      <c r="BI203" s="53"/>
      <c r="BJ203" s="53">
        <v>0</v>
      </c>
      <c r="BK203" s="53"/>
      <c r="BL203" s="53">
        <f>37828+4814</f>
        <v>42642</v>
      </c>
      <c r="BM203" s="53"/>
      <c r="BN203" s="53">
        <f t="shared" si="30"/>
        <v>11300777</v>
      </c>
      <c r="BO203" s="54"/>
      <c r="BS203" s="55"/>
      <c r="BT203" s="55"/>
      <c r="BU203" s="84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</row>
    <row r="204" spans="1:227" s="126" customFormat="1" ht="12.75" hidden="1" customHeight="1">
      <c r="A204" s="35" t="s">
        <v>234</v>
      </c>
      <c r="B204" s="51"/>
      <c r="C204" s="35" t="s">
        <v>45</v>
      </c>
      <c r="D204" s="44"/>
      <c r="E204" s="53">
        <f t="shared" si="34"/>
        <v>0</v>
      </c>
      <c r="F204" s="53"/>
      <c r="G204" s="53">
        <v>0</v>
      </c>
      <c r="H204" s="53"/>
      <c r="I204" s="53">
        <v>0</v>
      </c>
      <c r="J204" s="53"/>
      <c r="K204" s="53">
        <f t="shared" si="35"/>
        <v>0</v>
      </c>
      <c r="L204" s="53"/>
      <c r="M204" s="53">
        <v>0</v>
      </c>
      <c r="N204" s="53"/>
      <c r="O204" s="53">
        <v>0</v>
      </c>
      <c r="P204" s="53"/>
      <c r="Q204" s="53">
        <v>0</v>
      </c>
      <c r="R204" s="53"/>
      <c r="S204" s="53">
        <v>0</v>
      </c>
      <c r="T204" s="53"/>
      <c r="U204" s="53">
        <v>0</v>
      </c>
      <c r="V204" s="53"/>
      <c r="W204" s="53">
        <f t="shared" si="40"/>
        <v>0</v>
      </c>
      <c r="X204" s="51"/>
      <c r="Y204" s="51"/>
      <c r="Z204" s="35" t="s">
        <v>234</v>
      </c>
      <c r="AA204" s="53"/>
      <c r="AB204" s="35" t="s">
        <v>45</v>
      </c>
      <c r="AC204" s="51"/>
      <c r="AD204" s="53">
        <v>0</v>
      </c>
      <c r="AE204" s="53"/>
      <c r="AF204" s="53">
        <v>0</v>
      </c>
      <c r="AG204" s="53"/>
      <c r="AH204" s="53">
        <v>0</v>
      </c>
      <c r="AI204" s="53"/>
      <c r="AJ204" s="45">
        <f t="shared" si="36"/>
        <v>0</v>
      </c>
      <c r="AK204" s="45"/>
      <c r="AL204" s="53">
        <v>0</v>
      </c>
      <c r="AM204" s="45"/>
      <c r="AN204" s="53">
        <v>0</v>
      </c>
      <c r="AO204" s="53"/>
      <c r="AP204" s="53">
        <v>0</v>
      </c>
      <c r="AQ204" s="53"/>
      <c r="AR204" s="53">
        <v>0</v>
      </c>
      <c r="AS204" s="53"/>
      <c r="AT204" s="45">
        <f t="shared" si="37"/>
        <v>0</v>
      </c>
      <c r="AU204" s="45"/>
      <c r="AV204" s="53">
        <v>0</v>
      </c>
      <c r="AW204" s="53"/>
      <c r="AX204" s="53">
        <v>0</v>
      </c>
      <c r="AY204" s="53"/>
      <c r="AZ204" s="53">
        <f t="shared" si="41"/>
        <v>0</v>
      </c>
      <c r="BA204" s="51"/>
      <c r="BB204" s="35" t="s">
        <v>234</v>
      </c>
      <c r="BC204" s="35"/>
      <c r="BD204" s="35" t="s">
        <v>45</v>
      </c>
      <c r="BE204" s="53"/>
      <c r="BF204" s="53">
        <v>0</v>
      </c>
      <c r="BG204" s="53"/>
      <c r="BH204" s="53">
        <v>0</v>
      </c>
      <c r="BI204" s="53"/>
      <c r="BJ204" s="53">
        <v>0</v>
      </c>
      <c r="BK204" s="53"/>
      <c r="BL204" s="53">
        <v>0</v>
      </c>
      <c r="BM204" s="53"/>
      <c r="BN204" s="53">
        <f t="shared" si="30"/>
        <v>0</v>
      </c>
      <c r="BO204" s="139"/>
      <c r="BS204" s="140"/>
      <c r="BT204" s="140"/>
      <c r="BU204" s="141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0"/>
      <c r="CP204" s="140"/>
      <c r="CQ204" s="140"/>
    </row>
    <row r="205" spans="1:227" s="35" customFormat="1" ht="12.75" customHeight="1">
      <c r="A205" s="35" t="s">
        <v>235</v>
      </c>
      <c r="B205" s="51"/>
      <c r="C205" s="35" t="s">
        <v>183</v>
      </c>
      <c r="D205" s="44"/>
      <c r="E205" s="53">
        <f t="shared" si="34"/>
        <v>17278334</v>
      </c>
      <c r="F205" s="53"/>
      <c r="G205" s="53">
        <v>14176037</v>
      </c>
      <c r="H205" s="53"/>
      <c r="I205" s="53">
        <v>31454371</v>
      </c>
      <c r="J205" s="53"/>
      <c r="K205" s="53">
        <f t="shared" si="35"/>
        <v>-7872006</v>
      </c>
      <c r="L205" s="53"/>
      <c r="M205" s="53">
        <v>8498817</v>
      </c>
      <c r="N205" s="53"/>
      <c r="O205" s="53">
        <v>626811</v>
      </c>
      <c r="P205" s="53"/>
      <c r="Q205" s="53">
        <v>10145615</v>
      </c>
      <c r="R205" s="53"/>
      <c r="S205" s="53">
        <v>0</v>
      </c>
      <c r="T205" s="53"/>
      <c r="U205" s="53">
        <v>11681945</v>
      </c>
      <c r="V205" s="53"/>
      <c r="W205" s="53">
        <f t="shared" si="40"/>
        <v>21827560</v>
      </c>
      <c r="X205" s="51"/>
      <c r="Y205" s="51"/>
      <c r="Z205" s="35" t="s">
        <v>235</v>
      </c>
      <c r="AA205" s="53"/>
      <c r="AB205" s="35" t="s">
        <v>183</v>
      </c>
      <c r="AC205" s="51"/>
      <c r="AD205" s="53">
        <v>7431626</v>
      </c>
      <c r="AE205" s="53"/>
      <c r="AF205" s="53">
        <f>6441108-965079</f>
        <v>5476029</v>
      </c>
      <c r="AG205" s="53"/>
      <c r="AH205" s="53">
        <v>965079</v>
      </c>
      <c r="AI205" s="53"/>
      <c r="AJ205" s="45">
        <f t="shared" si="36"/>
        <v>990518</v>
      </c>
      <c r="AK205" s="45"/>
      <c r="AL205" s="53">
        <v>-164299</v>
      </c>
      <c r="AM205" s="45"/>
      <c r="AN205" s="53">
        <v>0</v>
      </c>
      <c r="AO205" s="53"/>
      <c r="AP205" s="53">
        <v>0</v>
      </c>
      <c r="AQ205" s="53"/>
      <c r="AR205" s="53">
        <v>617576</v>
      </c>
      <c r="AS205" s="53"/>
      <c r="AT205" s="45">
        <f t="shared" si="37"/>
        <v>1443795</v>
      </c>
      <c r="AU205" s="45"/>
      <c r="AV205" s="53">
        <v>0</v>
      </c>
      <c r="AW205" s="53"/>
      <c r="AX205" s="53">
        <v>0</v>
      </c>
      <c r="AY205" s="53"/>
      <c r="AZ205" s="53">
        <f t="shared" si="41"/>
        <v>25150340</v>
      </c>
      <c r="BA205" s="51"/>
      <c r="BB205" s="35" t="s">
        <v>235</v>
      </c>
      <c r="BD205" s="35" t="s">
        <v>183</v>
      </c>
      <c r="BE205" s="53"/>
      <c r="BF205" s="53">
        <f>8195394+580328</f>
        <v>8775722</v>
      </c>
      <c r="BG205" s="53"/>
      <c r="BH205" s="53">
        <v>0</v>
      </c>
      <c r="BI205" s="53"/>
      <c r="BJ205" s="53">
        <v>0</v>
      </c>
      <c r="BK205" s="53"/>
      <c r="BL205" s="53">
        <f>303423+70000</f>
        <v>373423</v>
      </c>
      <c r="BM205" s="53"/>
      <c r="BN205" s="53">
        <f t="shared" si="30"/>
        <v>9149145</v>
      </c>
      <c r="BO205" s="54"/>
      <c r="BS205" s="55"/>
      <c r="BT205" s="55"/>
      <c r="BU205" s="84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</row>
    <row r="206" spans="1:227" s="126" customFormat="1" ht="12.75" hidden="1" customHeight="1">
      <c r="A206" s="35" t="s">
        <v>236</v>
      </c>
      <c r="B206" s="51"/>
      <c r="C206" s="35" t="s">
        <v>45</v>
      </c>
      <c r="D206" s="44"/>
      <c r="E206" s="53">
        <f t="shared" si="34"/>
        <v>0</v>
      </c>
      <c r="F206" s="53"/>
      <c r="G206" s="53">
        <v>0</v>
      </c>
      <c r="H206" s="53"/>
      <c r="I206" s="53">
        <v>0</v>
      </c>
      <c r="J206" s="53"/>
      <c r="K206" s="53">
        <f t="shared" si="35"/>
        <v>0</v>
      </c>
      <c r="L206" s="53"/>
      <c r="M206" s="53">
        <v>0</v>
      </c>
      <c r="N206" s="53"/>
      <c r="O206" s="53">
        <v>0</v>
      </c>
      <c r="P206" s="53"/>
      <c r="Q206" s="53">
        <v>0</v>
      </c>
      <c r="R206" s="53"/>
      <c r="S206" s="53">
        <v>0</v>
      </c>
      <c r="T206" s="53"/>
      <c r="U206" s="53">
        <v>0</v>
      </c>
      <c r="V206" s="53"/>
      <c r="W206" s="53">
        <f t="shared" si="40"/>
        <v>0</v>
      </c>
      <c r="X206" s="51"/>
      <c r="Y206" s="51"/>
      <c r="Z206" s="35" t="s">
        <v>236</v>
      </c>
      <c r="AA206" s="53"/>
      <c r="AB206" s="35" t="s">
        <v>45</v>
      </c>
      <c r="AC206" s="51"/>
      <c r="AD206" s="53">
        <v>0</v>
      </c>
      <c r="AE206" s="53"/>
      <c r="AF206" s="53">
        <v>0</v>
      </c>
      <c r="AG206" s="53"/>
      <c r="AH206" s="53">
        <v>0</v>
      </c>
      <c r="AI206" s="53"/>
      <c r="AJ206" s="45">
        <f t="shared" si="36"/>
        <v>0</v>
      </c>
      <c r="AK206" s="45"/>
      <c r="AL206" s="53">
        <v>0</v>
      </c>
      <c r="AM206" s="45"/>
      <c r="AN206" s="53">
        <v>0</v>
      </c>
      <c r="AO206" s="53"/>
      <c r="AP206" s="53">
        <v>0</v>
      </c>
      <c r="AQ206" s="53"/>
      <c r="AR206" s="53">
        <v>0</v>
      </c>
      <c r="AS206" s="53"/>
      <c r="AT206" s="45">
        <f t="shared" si="37"/>
        <v>0</v>
      </c>
      <c r="AU206" s="45"/>
      <c r="AV206" s="53">
        <v>0</v>
      </c>
      <c r="AW206" s="53"/>
      <c r="AX206" s="53">
        <v>0</v>
      </c>
      <c r="AY206" s="53"/>
      <c r="AZ206" s="53">
        <f t="shared" si="41"/>
        <v>0</v>
      </c>
      <c r="BA206" s="51"/>
      <c r="BB206" s="35" t="s">
        <v>236</v>
      </c>
      <c r="BC206" s="35"/>
      <c r="BD206" s="35" t="s">
        <v>45</v>
      </c>
      <c r="BE206" s="53"/>
      <c r="BF206" s="53">
        <v>0</v>
      </c>
      <c r="BG206" s="53"/>
      <c r="BH206" s="53">
        <v>0</v>
      </c>
      <c r="BI206" s="53"/>
      <c r="BJ206" s="53">
        <v>0</v>
      </c>
      <c r="BK206" s="53"/>
      <c r="BL206" s="53">
        <v>0</v>
      </c>
      <c r="BM206" s="53"/>
      <c r="BN206" s="53">
        <f t="shared" si="30"/>
        <v>0</v>
      </c>
      <c r="BO206" s="139"/>
      <c r="BS206" s="140"/>
      <c r="BT206" s="140"/>
      <c r="BU206" s="141"/>
      <c r="BV206" s="140"/>
      <c r="BW206" s="140"/>
      <c r="BX206" s="140"/>
      <c r="BY206" s="140"/>
      <c r="BZ206" s="140"/>
      <c r="CA206" s="140"/>
      <c r="CB206" s="140"/>
      <c r="CC206" s="140"/>
      <c r="CD206" s="140"/>
      <c r="CE206" s="140"/>
      <c r="CF206" s="140"/>
      <c r="CG206" s="140"/>
      <c r="CH206" s="140"/>
      <c r="CI206" s="140"/>
      <c r="CJ206" s="140"/>
      <c r="CK206" s="140"/>
      <c r="CL206" s="140"/>
      <c r="CM206" s="140"/>
      <c r="CN206" s="140"/>
      <c r="CO206" s="140"/>
      <c r="CP206" s="140"/>
      <c r="CQ206" s="140"/>
    </row>
    <row r="207" spans="1:227" s="35" customFormat="1" ht="12.75" customHeight="1">
      <c r="A207" s="35" t="s">
        <v>237</v>
      </c>
      <c r="B207" s="51"/>
      <c r="C207" s="35" t="s">
        <v>33</v>
      </c>
      <c r="D207" s="44"/>
      <c r="E207" s="53">
        <f t="shared" si="34"/>
        <v>138253</v>
      </c>
      <c r="F207" s="53"/>
      <c r="G207" s="53">
        <v>1906520</v>
      </c>
      <c r="H207" s="53"/>
      <c r="I207" s="53">
        <v>2044773</v>
      </c>
      <c r="J207" s="53"/>
      <c r="K207" s="53">
        <f t="shared" si="35"/>
        <v>139842</v>
      </c>
      <c r="L207" s="53"/>
      <c r="M207" s="53">
        <v>557813</v>
      </c>
      <c r="N207" s="53"/>
      <c r="O207" s="53">
        <v>697655</v>
      </c>
      <c r="P207" s="53"/>
      <c r="Q207" s="53">
        <v>1543122</v>
      </c>
      <c r="R207" s="53"/>
      <c r="S207" s="53">
        <v>0</v>
      </c>
      <c r="T207" s="53"/>
      <c r="U207" s="53">
        <v>-196004</v>
      </c>
      <c r="V207" s="53"/>
      <c r="W207" s="53">
        <f t="shared" si="40"/>
        <v>1347118</v>
      </c>
      <c r="X207" s="51"/>
      <c r="Y207" s="51"/>
      <c r="Z207" s="35" t="s">
        <v>237</v>
      </c>
      <c r="AA207" s="53"/>
      <c r="AB207" s="35" t="s">
        <v>33</v>
      </c>
      <c r="AC207" s="51"/>
      <c r="AD207" s="53">
        <v>853963</v>
      </c>
      <c r="AE207" s="53"/>
      <c r="AF207" s="53">
        <f>1180330-269822</f>
        <v>910508</v>
      </c>
      <c r="AG207" s="53"/>
      <c r="AH207" s="53">
        <v>269822</v>
      </c>
      <c r="AI207" s="53"/>
      <c r="AJ207" s="45">
        <f t="shared" si="36"/>
        <v>-326367</v>
      </c>
      <c r="AK207" s="45"/>
      <c r="AL207" s="53">
        <v>-11979</v>
      </c>
      <c r="AM207" s="45"/>
      <c r="AN207" s="53">
        <v>0</v>
      </c>
      <c r="AO207" s="53"/>
      <c r="AP207" s="53">
        <v>0</v>
      </c>
      <c r="AQ207" s="53"/>
      <c r="AR207" s="53">
        <v>0</v>
      </c>
      <c r="AS207" s="53"/>
      <c r="AT207" s="45">
        <f t="shared" si="37"/>
        <v>-338346</v>
      </c>
      <c r="AU207" s="45"/>
      <c r="AV207" s="53">
        <v>0</v>
      </c>
      <c r="AW207" s="53"/>
      <c r="AX207" s="53">
        <v>0</v>
      </c>
      <c r="AY207" s="53"/>
      <c r="AZ207" s="53">
        <f t="shared" si="41"/>
        <v>-1589</v>
      </c>
      <c r="BA207" s="51"/>
      <c r="BB207" s="35" t="s">
        <v>237</v>
      </c>
      <c r="BD207" s="35" t="s">
        <v>33</v>
      </c>
      <c r="BE207" s="53"/>
      <c r="BF207" s="53">
        <f>247148+5000</f>
        <v>252148</v>
      </c>
      <c r="BG207" s="53"/>
      <c r="BH207" s="53">
        <v>0</v>
      </c>
      <c r="BI207" s="53"/>
      <c r="BJ207" s="53">
        <f>40364+2378</f>
        <v>42742</v>
      </c>
      <c r="BK207" s="53"/>
      <c r="BL207" s="53">
        <f>263000+7301+2531</f>
        <v>272832</v>
      </c>
      <c r="BM207" s="53"/>
      <c r="BN207" s="53">
        <f t="shared" si="30"/>
        <v>567722</v>
      </c>
      <c r="BO207" s="54"/>
      <c r="BS207" s="55"/>
      <c r="BT207" s="55"/>
      <c r="BU207" s="84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</row>
    <row r="208" spans="1:227" s="35" customFormat="1" ht="12.75" customHeight="1">
      <c r="A208" s="35" t="s">
        <v>238</v>
      </c>
      <c r="B208" s="51"/>
      <c r="C208" s="35" t="s">
        <v>239</v>
      </c>
      <c r="D208" s="44"/>
      <c r="E208" s="53">
        <f t="shared" si="34"/>
        <v>1294105</v>
      </c>
      <c r="F208" s="53"/>
      <c r="G208" s="53">
        <f>232462+4678537</f>
        <v>4910999</v>
      </c>
      <c r="H208" s="53"/>
      <c r="I208" s="53">
        <v>6205104</v>
      </c>
      <c r="J208" s="53"/>
      <c r="K208" s="53">
        <f t="shared" si="35"/>
        <v>55384</v>
      </c>
      <c r="L208" s="53"/>
      <c r="M208" s="53">
        <v>81769</v>
      </c>
      <c r="N208" s="53"/>
      <c r="O208" s="53">
        <v>137153</v>
      </c>
      <c r="P208" s="53"/>
      <c r="Q208" s="53">
        <v>4910999</v>
      </c>
      <c r="R208" s="53"/>
      <c r="S208" s="53">
        <v>0</v>
      </c>
      <c r="T208" s="53"/>
      <c r="U208" s="53">
        <v>1156952</v>
      </c>
      <c r="V208" s="53"/>
      <c r="W208" s="53">
        <f t="shared" si="40"/>
        <v>6067951</v>
      </c>
      <c r="X208" s="51"/>
      <c r="Y208" s="51"/>
      <c r="Z208" s="35" t="s">
        <v>238</v>
      </c>
      <c r="AA208" s="53"/>
      <c r="AB208" s="35" t="s">
        <v>239</v>
      </c>
      <c r="AC208" s="51"/>
      <c r="AD208" s="53">
        <v>1246131</v>
      </c>
      <c r="AE208" s="53"/>
      <c r="AF208" s="53">
        <f>1323445-240239</f>
        <v>1083206</v>
      </c>
      <c r="AG208" s="53"/>
      <c r="AH208" s="53">
        <v>240239</v>
      </c>
      <c r="AI208" s="53"/>
      <c r="AJ208" s="45">
        <f t="shared" si="36"/>
        <v>-77314</v>
      </c>
      <c r="AK208" s="45"/>
      <c r="AL208" s="53">
        <v>1838</v>
      </c>
      <c r="AM208" s="45"/>
      <c r="AN208" s="53">
        <v>0</v>
      </c>
      <c r="AO208" s="53"/>
      <c r="AP208" s="53">
        <v>0</v>
      </c>
      <c r="AQ208" s="53"/>
      <c r="AR208" s="53">
        <v>0</v>
      </c>
      <c r="AS208" s="53"/>
      <c r="AT208" s="45">
        <f t="shared" si="37"/>
        <v>-75476</v>
      </c>
      <c r="AU208" s="45"/>
      <c r="AV208" s="53">
        <v>0</v>
      </c>
      <c r="AW208" s="53"/>
      <c r="AX208" s="53">
        <v>0</v>
      </c>
      <c r="AY208" s="53"/>
      <c r="AZ208" s="53">
        <f t="shared" si="41"/>
        <v>1238721</v>
      </c>
      <c r="BA208" s="51"/>
      <c r="BB208" s="35" t="s">
        <v>238</v>
      </c>
      <c r="BD208" s="35" t="s">
        <v>239</v>
      </c>
      <c r="BE208" s="53"/>
      <c r="BF208" s="53">
        <v>0</v>
      </c>
      <c r="BG208" s="53"/>
      <c r="BH208" s="53">
        <v>0</v>
      </c>
      <c r="BI208" s="53"/>
      <c r="BJ208" s="53">
        <v>0</v>
      </c>
      <c r="BK208" s="53"/>
      <c r="BL208" s="53">
        <f>81769+16459</f>
        <v>98228</v>
      </c>
      <c r="BM208" s="53"/>
      <c r="BN208" s="53">
        <f t="shared" si="30"/>
        <v>98228</v>
      </c>
      <c r="BO208" s="54"/>
      <c r="BS208" s="55"/>
      <c r="BT208" s="55"/>
      <c r="BU208" s="84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</row>
    <row r="209" spans="1:95" s="35" customFormat="1" ht="12.75" customHeight="1">
      <c r="A209" s="35" t="s">
        <v>486</v>
      </c>
      <c r="B209" s="51"/>
      <c r="C209" s="35" t="s">
        <v>249</v>
      </c>
      <c r="D209" s="44"/>
      <c r="E209" s="53">
        <f t="shared" si="34"/>
        <v>4536432</v>
      </c>
      <c r="F209" s="53"/>
      <c r="G209" s="53">
        <v>41279765</v>
      </c>
      <c r="H209" s="53"/>
      <c r="I209" s="53">
        <v>45816197</v>
      </c>
      <c r="J209" s="53"/>
      <c r="K209" s="53">
        <f t="shared" si="35"/>
        <v>3267337</v>
      </c>
      <c r="L209" s="53"/>
      <c r="M209" s="53">
        <v>32160757</v>
      </c>
      <c r="N209" s="53"/>
      <c r="O209" s="53">
        <v>35428094</v>
      </c>
      <c r="P209" s="53"/>
      <c r="Q209" s="53">
        <v>7354099</v>
      </c>
      <c r="R209" s="53"/>
      <c r="S209" s="53">
        <v>898261</v>
      </c>
      <c r="T209" s="53"/>
      <c r="U209" s="53">
        <v>2135743</v>
      </c>
      <c r="V209" s="53"/>
      <c r="W209" s="53">
        <f t="shared" si="40"/>
        <v>10388103</v>
      </c>
      <c r="X209" s="51"/>
      <c r="Y209" s="51"/>
      <c r="Z209" s="35" t="s">
        <v>486</v>
      </c>
      <c r="AA209" s="53"/>
      <c r="AB209" s="35" t="s">
        <v>249</v>
      </c>
      <c r="AC209" s="51"/>
      <c r="AD209" s="53">
        <v>4824259</v>
      </c>
      <c r="AE209" s="53"/>
      <c r="AF209" s="53">
        <f>3824580-838640</f>
        <v>2985940</v>
      </c>
      <c r="AG209" s="53"/>
      <c r="AH209" s="53">
        <v>838640</v>
      </c>
      <c r="AI209" s="53"/>
      <c r="AJ209" s="45">
        <f t="shared" si="36"/>
        <v>999679</v>
      </c>
      <c r="AK209" s="45"/>
      <c r="AL209" s="53">
        <v>-1325583</v>
      </c>
      <c r="AM209" s="45"/>
      <c r="AN209" s="53">
        <v>0</v>
      </c>
      <c r="AO209" s="53"/>
      <c r="AP209" s="53">
        <v>0</v>
      </c>
      <c r="AQ209" s="53"/>
      <c r="AR209" s="53">
        <v>0</v>
      </c>
      <c r="AS209" s="53"/>
      <c r="AT209" s="45">
        <f t="shared" si="37"/>
        <v>-325904</v>
      </c>
      <c r="AU209" s="45"/>
      <c r="AV209" s="53">
        <v>0</v>
      </c>
      <c r="AW209" s="53"/>
      <c r="AX209" s="53">
        <v>0</v>
      </c>
      <c r="AY209" s="53"/>
      <c r="AZ209" s="53">
        <f t="shared" si="41"/>
        <v>1269095</v>
      </c>
      <c r="BA209" s="51"/>
      <c r="BB209" s="35" t="s">
        <v>486</v>
      </c>
      <c r="BD209" s="35" t="s">
        <v>249</v>
      </c>
      <c r="BE209" s="53"/>
      <c r="BF209" s="53">
        <f>1275250+171750</f>
        <v>1447000</v>
      </c>
      <c r="BG209" s="53"/>
      <c r="BH209" s="53">
        <v>0</v>
      </c>
      <c r="BI209" s="53"/>
      <c r="BJ209" s="53">
        <f>213157+30573422+26819+1636689</f>
        <v>32450087</v>
      </c>
      <c r="BK209" s="53"/>
      <c r="BL209" s="53">
        <f>98928+14871</f>
        <v>113799</v>
      </c>
      <c r="BM209" s="53"/>
      <c r="BN209" s="53">
        <f>SUM(BF209:BL209)</f>
        <v>34010886</v>
      </c>
      <c r="BO209" s="54"/>
      <c r="BS209" s="55"/>
      <c r="BT209" s="55"/>
      <c r="BU209" s="84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</row>
    <row r="210" spans="1:95" s="35" customFormat="1" ht="12.75" customHeight="1">
      <c r="A210" s="35" t="s">
        <v>240</v>
      </c>
      <c r="B210" s="51"/>
      <c r="C210" s="35" t="s">
        <v>13</v>
      </c>
      <c r="D210" s="44"/>
      <c r="E210" s="53">
        <f t="shared" si="34"/>
        <v>5345456</v>
      </c>
      <c r="F210" s="53"/>
      <c r="G210" s="53">
        <v>21484951</v>
      </c>
      <c r="H210" s="53"/>
      <c r="I210" s="53">
        <v>26830407</v>
      </c>
      <c r="J210" s="53"/>
      <c r="K210" s="53">
        <f t="shared" si="35"/>
        <v>728536</v>
      </c>
      <c r="L210" s="53"/>
      <c r="M210" s="53">
        <v>1575385</v>
      </c>
      <c r="N210" s="53"/>
      <c r="O210" s="53">
        <v>2303921</v>
      </c>
      <c r="P210" s="53"/>
      <c r="Q210" s="53">
        <v>19972882</v>
      </c>
      <c r="R210" s="53"/>
      <c r="S210" s="53">
        <v>0</v>
      </c>
      <c r="T210" s="53"/>
      <c r="U210" s="53">
        <v>4553604</v>
      </c>
      <c r="V210" s="53"/>
      <c r="W210" s="53">
        <f t="shared" si="40"/>
        <v>24526486</v>
      </c>
      <c r="X210" s="51"/>
      <c r="Y210" s="51"/>
      <c r="Z210" s="35" t="s">
        <v>240</v>
      </c>
      <c r="AA210" s="53"/>
      <c r="AB210" s="35" t="s">
        <v>13</v>
      </c>
      <c r="AC210" s="51"/>
      <c r="AD210" s="53">
        <v>4927108</v>
      </c>
      <c r="AE210" s="53"/>
      <c r="AF210" s="53">
        <f>2941858-352428</f>
        <v>2589430</v>
      </c>
      <c r="AG210" s="53"/>
      <c r="AH210" s="53">
        <v>352428</v>
      </c>
      <c r="AI210" s="53"/>
      <c r="AJ210" s="45">
        <f t="shared" si="36"/>
        <v>1985250</v>
      </c>
      <c r="AK210" s="45"/>
      <c r="AL210" s="53">
        <v>-18192</v>
      </c>
      <c r="AM210" s="45"/>
      <c r="AN210" s="53">
        <v>0</v>
      </c>
      <c r="AO210" s="53"/>
      <c r="AP210" s="53">
        <v>0</v>
      </c>
      <c r="AQ210" s="53"/>
      <c r="AR210" s="53">
        <v>216000</v>
      </c>
      <c r="AS210" s="53"/>
      <c r="AT210" s="45">
        <f t="shared" si="37"/>
        <v>2183058</v>
      </c>
      <c r="AU210" s="45"/>
      <c r="AV210" s="53">
        <v>0</v>
      </c>
      <c r="AW210" s="53"/>
      <c r="AX210" s="53">
        <v>0</v>
      </c>
      <c r="AY210" s="53"/>
      <c r="AZ210" s="53">
        <f t="shared" si="41"/>
        <v>4616920</v>
      </c>
      <c r="BA210" s="51"/>
      <c r="BB210" s="35" t="s">
        <v>240</v>
      </c>
      <c r="BD210" s="35" t="s">
        <v>13</v>
      </c>
      <c r="BE210" s="53"/>
      <c r="BF210" s="53">
        <f>515008+14010</f>
        <v>529018</v>
      </c>
      <c r="BG210" s="53"/>
      <c r="BH210" s="53">
        <v>0</v>
      </c>
      <c r="BI210" s="53"/>
      <c r="BJ210" s="53">
        <f>162184+150000+11584+200000+600000</f>
        <v>1123768</v>
      </c>
      <c r="BK210" s="53"/>
      <c r="BL210" s="53">
        <f>148193+21163</f>
        <v>169356</v>
      </c>
      <c r="BM210" s="53"/>
      <c r="BN210" s="53">
        <f t="shared" si="30"/>
        <v>1822142</v>
      </c>
      <c r="BO210" s="54"/>
      <c r="BS210" s="55"/>
      <c r="BT210" s="55"/>
      <c r="BU210" s="84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</row>
    <row r="211" spans="1:95" s="35" customFormat="1" ht="12.75" customHeight="1">
      <c r="A211" s="64" t="s">
        <v>241</v>
      </c>
      <c r="B211" s="64"/>
      <c r="C211" s="64" t="s">
        <v>22</v>
      </c>
      <c r="D211" s="46"/>
      <c r="E211" s="53">
        <f t="shared" ref="E211:E255" si="42">I211-G211</f>
        <v>2975472</v>
      </c>
      <c r="F211" s="53"/>
      <c r="G211" s="53">
        <v>5768402</v>
      </c>
      <c r="H211" s="53"/>
      <c r="I211" s="53">
        <v>8743874</v>
      </c>
      <c r="J211" s="53"/>
      <c r="K211" s="53">
        <f t="shared" ref="K211:K255" si="43">O211-M211</f>
        <v>102371</v>
      </c>
      <c r="L211" s="53"/>
      <c r="M211" s="53">
        <v>498061</v>
      </c>
      <c r="N211" s="53"/>
      <c r="O211" s="53">
        <v>600432</v>
      </c>
      <c r="P211" s="53"/>
      <c r="Q211" s="53">
        <v>5387546</v>
      </c>
      <c r="R211" s="53"/>
      <c r="S211" s="53">
        <v>0</v>
      </c>
      <c r="T211" s="53"/>
      <c r="U211" s="53">
        <v>2755896</v>
      </c>
      <c r="V211" s="53"/>
      <c r="W211" s="53">
        <f t="shared" si="40"/>
        <v>8143442</v>
      </c>
      <c r="X211" s="51"/>
      <c r="Y211" s="51"/>
      <c r="Z211" s="64" t="s">
        <v>241</v>
      </c>
      <c r="AA211" s="79"/>
      <c r="AB211" s="64" t="s">
        <v>22</v>
      </c>
      <c r="AC211" s="64"/>
      <c r="AD211" s="53">
        <v>2546226</v>
      </c>
      <c r="AE211" s="53"/>
      <c r="AF211" s="53">
        <f>2576913-432014</f>
        <v>2144899</v>
      </c>
      <c r="AG211" s="53"/>
      <c r="AH211" s="53">
        <v>432014</v>
      </c>
      <c r="AI211" s="53"/>
      <c r="AJ211" s="45">
        <f t="shared" si="36"/>
        <v>-30687</v>
      </c>
      <c r="AK211" s="45"/>
      <c r="AL211" s="53">
        <v>-31370</v>
      </c>
      <c r="AM211" s="45"/>
      <c r="AN211" s="53">
        <v>35539</v>
      </c>
      <c r="AO211" s="53"/>
      <c r="AP211" s="53">
        <v>0</v>
      </c>
      <c r="AQ211" s="53"/>
      <c r="AR211" s="53">
        <v>0</v>
      </c>
      <c r="AS211" s="53"/>
      <c r="AT211" s="45">
        <f t="shared" si="37"/>
        <v>-26518</v>
      </c>
      <c r="AU211" s="45"/>
      <c r="AV211" s="53">
        <v>0</v>
      </c>
      <c r="AW211" s="53"/>
      <c r="AX211" s="53">
        <v>0</v>
      </c>
      <c r="AY211" s="53"/>
      <c r="AZ211" s="53">
        <f t="shared" si="41"/>
        <v>2873101</v>
      </c>
      <c r="BA211" s="51"/>
      <c r="BB211" s="64" t="s">
        <v>241</v>
      </c>
      <c r="BC211" s="64"/>
      <c r="BD211" s="64" t="s">
        <v>22</v>
      </c>
      <c r="BE211" s="79"/>
      <c r="BF211" s="53">
        <v>0</v>
      </c>
      <c r="BG211" s="53"/>
      <c r="BH211" s="53">
        <v>0</v>
      </c>
      <c r="BI211" s="53"/>
      <c r="BJ211" s="53">
        <f>482065+10974</f>
        <v>493039</v>
      </c>
      <c r="BK211" s="53"/>
      <c r="BL211" s="53">
        <f>6684+9312+4031+3998</f>
        <v>24025</v>
      </c>
      <c r="BM211" s="53"/>
      <c r="BN211" s="53">
        <f t="shared" si="30"/>
        <v>517064</v>
      </c>
      <c r="BO211" s="54"/>
      <c r="BS211" s="55"/>
      <c r="BT211" s="55"/>
      <c r="BU211" s="84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</row>
    <row r="212" spans="1:95" s="126" customFormat="1" ht="12.75" hidden="1" customHeight="1">
      <c r="A212" s="35" t="s">
        <v>242</v>
      </c>
      <c r="B212" s="51"/>
      <c r="C212" s="35" t="s">
        <v>27</v>
      </c>
      <c r="D212" s="44"/>
      <c r="E212" s="53">
        <f t="shared" si="42"/>
        <v>0</v>
      </c>
      <c r="F212" s="53"/>
      <c r="G212" s="53">
        <v>0</v>
      </c>
      <c r="H212" s="53"/>
      <c r="I212" s="53">
        <v>0</v>
      </c>
      <c r="J212" s="53"/>
      <c r="K212" s="53">
        <f t="shared" si="43"/>
        <v>0</v>
      </c>
      <c r="L212" s="53"/>
      <c r="M212" s="53">
        <v>0</v>
      </c>
      <c r="N212" s="53"/>
      <c r="O212" s="53">
        <v>0</v>
      </c>
      <c r="P212" s="53"/>
      <c r="Q212" s="53">
        <v>0</v>
      </c>
      <c r="R212" s="53"/>
      <c r="S212" s="53">
        <v>0</v>
      </c>
      <c r="T212" s="53"/>
      <c r="U212" s="53">
        <v>0</v>
      </c>
      <c r="V212" s="53"/>
      <c r="W212" s="53">
        <f t="shared" si="40"/>
        <v>0</v>
      </c>
      <c r="X212" s="51"/>
      <c r="Y212" s="51"/>
      <c r="Z212" s="35" t="s">
        <v>242</v>
      </c>
      <c r="AA212" s="53"/>
      <c r="AB212" s="35" t="s">
        <v>27</v>
      </c>
      <c r="AC212" s="51"/>
      <c r="AD212" s="53">
        <v>0</v>
      </c>
      <c r="AE212" s="53"/>
      <c r="AF212" s="53">
        <v>0</v>
      </c>
      <c r="AG212" s="53"/>
      <c r="AH212" s="53">
        <v>0</v>
      </c>
      <c r="AI212" s="53"/>
      <c r="AJ212" s="45">
        <f t="shared" si="36"/>
        <v>0</v>
      </c>
      <c r="AK212" s="45"/>
      <c r="AL212" s="53">
        <v>0</v>
      </c>
      <c r="AM212" s="45"/>
      <c r="AN212" s="53">
        <v>0</v>
      </c>
      <c r="AO212" s="53"/>
      <c r="AP212" s="53">
        <v>0</v>
      </c>
      <c r="AQ212" s="53"/>
      <c r="AR212" s="53">
        <v>0</v>
      </c>
      <c r="AS212" s="53"/>
      <c r="AT212" s="45">
        <f t="shared" si="37"/>
        <v>0</v>
      </c>
      <c r="AU212" s="45"/>
      <c r="AV212" s="53">
        <v>0</v>
      </c>
      <c r="AW212" s="53"/>
      <c r="AX212" s="53">
        <v>0</v>
      </c>
      <c r="AY212" s="53"/>
      <c r="AZ212" s="53">
        <f t="shared" si="41"/>
        <v>0</v>
      </c>
      <c r="BA212" s="51"/>
      <c r="BB212" s="35" t="s">
        <v>242</v>
      </c>
      <c r="BC212" s="35"/>
      <c r="BD212" s="35" t="s">
        <v>27</v>
      </c>
      <c r="BE212" s="53"/>
      <c r="BF212" s="53">
        <v>0</v>
      </c>
      <c r="BG212" s="53"/>
      <c r="BH212" s="53">
        <v>0</v>
      </c>
      <c r="BI212" s="53"/>
      <c r="BJ212" s="53">
        <v>0</v>
      </c>
      <c r="BK212" s="53"/>
      <c r="BL212" s="53">
        <v>0</v>
      </c>
      <c r="BM212" s="53"/>
      <c r="BN212" s="53">
        <f t="shared" si="30"/>
        <v>0</v>
      </c>
      <c r="BO212" s="139"/>
      <c r="BS212" s="140"/>
      <c r="BT212" s="140"/>
      <c r="BU212" s="141"/>
      <c r="BV212" s="140"/>
      <c r="BW212" s="140"/>
      <c r="BX212" s="140"/>
      <c r="BY212" s="140"/>
      <c r="BZ212" s="140"/>
      <c r="CA212" s="140"/>
      <c r="CB212" s="140"/>
      <c r="CC212" s="140"/>
      <c r="CD212" s="140"/>
      <c r="CE212" s="140"/>
      <c r="CF212" s="140"/>
      <c r="CG212" s="140"/>
      <c r="CH212" s="140"/>
      <c r="CI212" s="140"/>
      <c r="CJ212" s="140"/>
      <c r="CK212" s="140"/>
      <c r="CL212" s="140"/>
      <c r="CM212" s="140"/>
      <c r="CN212" s="140"/>
      <c r="CO212" s="140"/>
      <c r="CP212" s="140"/>
      <c r="CQ212" s="140"/>
    </row>
    <row r="213" spans="1:95" s="35" customFormat="1" ht="12.75" customHeight="1">
      <c r="A213" s="35" t="s">
        <v>243</v>
      </c>
      <c r="C213" s="35" t="s">
        <v>163</v>
      </c>
      <c r="D213" s="44"/>
      <c r="E213" s="53">
        <f t="shared" si="42"/>
        <v>1333067</v>
      </c>
      <c r="F213" s="53"/>
      <c r="G213" s="53">
        <v>6434810</v>
      </c>
      <c r="H213" s="53"/>
      <c r="I213" s="53">
        <v>7767877</v>
      </c>
      <c r="J213" s="53"/>
      <c r="K213" s="53">
        <f t="shared" si="43"/>
        <v>220096</v>
      </c>
      <c r="L213" s="53"/>
      <c r="M213" s="53">
        <v>175566</v>
      </c>
      <c r="N213" s="53"/>
      <c r="O213" s="53">
        <v>395662</v>
      </c>
      <c r="P213" s="53"/>
      <c r="Q213" s="53">
        <v>6434810</v>
      </c>
      <c r="R213" s="53"/>
      <c r="S213" s="53">
        <v>0</v>
      </c>
      <c r="T213" s="53"/>
      <c r="U213" s="53">
        <v>937405</v>
      </c>
      <c r="V213" s="53"/>
      <c r="W213" s="53">
        <f t="shared" si="40"/>
        <v>7372215</v>
      </c>
      <c r="Z213" s="35" t="s">
        <v>243</v>
      </c>
      <c r="AA213" s="53"/>
      <c r="AB213" s="35" t="s">
        <v>163</v>
      </c>
      <c r="AD213" s="53">
        <v>3409290</v>
      </c>
      <c r="AE213" s="53"/>
      <c r="AF213" s="53">
        <f>3204886-257572</f>
        <v>2947314</v>
      </c>
      <c r="AG213" s="53"/>
      <c r="AH213" s="53">
        <v>257572</v>
      </c>
      <c r="AI213" s="53"/>
      <c r="AJ213" s="45">
        <f t="shared" si="36"/>
        <v>204404</v>
      </c>
      <c r="AK213" s="45"/>
      <c r="AL213" s="53">
        <v>11215</v>
      </c>
      <c r="AM213" s="45"/>
      <c r="AN213" s="53">
        <v>0</v>
      </c>
      <c r="AO213" s="53"/>
      <c r="AP213" s="53">
        <v>69684</v>
      </c>
      <c r="AQ213" s="53"/>
      <c r="AR213" s="53">
        <v>0</v>
      </c>
      <c r="AS213" s="53"/>
      <c r="AT213" s="45">
        <f t="shared" si="37"/>
        <v>145935</v>
      </c>
      <c r="AU213" s="45"/>
      <c r="AV213" s="53">
        <v>0</v>
      </c>
      <c r="AW213" s="53"/>
      <c r="AX213" s="53">
        <v>0</v>
      </c>
      <c r="AY213" s="53"/>
      <c r="AZ213" s="53">
        <f t="shared" si="41"/>
        <v>1112971</v>
      </c>
      <c r="BA213" s="65"/>
      <c r="BB213" s="35" t="s">
        <v>243</v>
      </c>
      <c r="BD213" s="35" t="s">
        <v>163</v>
      </c>
      <c r="BE213" s="53"/>
      <c r="BF213" s="53">
        <v>0</v>
      </c>
      <c r="BG213" s="53"/>
      <c r="BH213" s="53">
        <v>0</v>
      </c>
      <c r="BI213" s="53"/>
      <c r="BJ213" s="53">
        <v>0</v>
      </c>
      <c r="BK213" s="53"/>
      <c r="BL213" s="53">
        <v>175566</v>
      </c>
      <c r="BM213" s="53"/>
      <c r="BN213" s="53">
        <f t="shared" ref="BN213" si="44">SUM(BF213:BL213)</f>
        <v>175566</v>
      </c>
      <c r="BO213" s="54"/>
      <c r="BS213" s="55"/>
      <c r="BT213" s="55"/>
      <c r="BU213" s="84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</row>
    <row r="214" spans="1:95" s="35" customFormat="1" ht="12.75" customHeight="1">
      <c r="A214" s="35" t="s">
        <v>244</v>
      </c>
      <c r="B214" s="51"/>
      <c r="C214" s="35" t="s">
        <v>13</v>
      </c>
      <c r="D214" s="44"/>
      <c r="E214" s="53">
        <f t="shared" si="42"/>
        <v>3235592</v>
      </c>
      <c r="F214" s="53"/>
      <c r="G214" s="53">
        <v>6938720</v>
      </c>
      <c r="H214" s="53"/>
      <c r="I214" s="53">
        <v>10174312</v>
      </c>
      <c r="J214" s="53"/>
      <c r="K214" s="53">
        <f t="shared" si="43"/>
        <v>467279</v>
      </c>
      <c r="L214" s="53"/>
      <c r="M214" s="53">
        <v>1342131</v>
      </c>
      <c r="N214" s="53"/>
      <c r="O214" s="53">
        <v>1809410</v>
      </c>
      <c r="P214" s="53"/>
      <c r="Q214" s="53">
        <v>5482420</v>
      </c>
      <c r="R214" s="53"/>
      <c r="S214" s="53">
        <v>0</v>
      </c>
      <c r="T214" s="53"/>
      <c r="U214" s="53">
        <v>2882482</v>
      </c>
      <c r="V214" s="53"/>
      <c r="W214" s="53">
        <f t="shared" si="40"/>
        <v>8364902</v>
      </c>
      <c r="X214" s="51"/>
      <c r="Y214" s="51"/>
      <c r="Z214" s="35" t="s">
        <v>244</v>
      </c>
      <c r="AA214" s="53"/>
      <c r="AB214" s="35" t="s">
        <v>13</v>
      </c>
      <c r="AC214" s="51"/>
      <c r="AD214" s="53">
        <v>1726610</v>
      </c>
      <c r="AE214" s="53"/>
      <c r="AF214" s="53">
        <f>1733969-280533</f>
        <v>1453436</v>
      </c>
      <c r="AG214" s="53"/>
      <c r="AH214" s="53">
        <v>280533</v>
      </c>
      <c r="AI214" s="53"/>
      <c r="AJ214" s="45">
        <f t="shared" si="36"/>
        <v>-7359</v>
      </c>
      <c r="AK214" s="45"/>
      <c r="AL214" s="53">
        <v>34311</v>
      </c>
      <c r="AM214" s="45"/>
      <c r="AN214" s="53">
        <v>0</v>
      </c>
      <c r="AO214" s="53"/>
      <c r="AP214" s="53">
        <v>0</v>
      </c>
      <c r="AQ214" s="53"/>
      <c r="AR214" s="53">
        <v>0</v>
      </c>
      <c r="AS214" s="53"/>
      <c r="AT214" s="45">
        <f t="shared" si="37"/>
        <v>26952</v>
      </c>
      <c r="AU214" s="45"/>
      <c r="AV214" s="53">
        <v>0</v>
      </c>
      <c r="AW214" s="53"/>
      <c r="AX214" s="53">
        <v>0</v>
      </c>
      <c r="AY214" s="53"/>
      <c r="AZ214" s="53">
        <f t="shared" si="41"/>
        <v>2768313</v>
      </c>
      <c r="BA214" s="51"/>
      <c r="BB214" s="35" t="s">
        <v>244</v>
      </c>
      <c r="BD214" s="35" t="s">
        <v>13</v>
      </c>
      <c r="BE214" s="53"/>
      <c r="BF214" s="53">
        <v>0</v>
      </c>
      <c r="BG214" s="53"/>
      <c r="BH214" s="53">
        <v>0</v>
      </c>
      <c r="BI214" s="53"/>
      <c r="BJ214" s="53">
        <f>1312754+46884</f>
        <v>1359638</v>
      </c>
      <c r="BK214" s="53"/>
      <c r="BL214" s="53">
        <f>20715+8662+3363+88000</f>
        <v>120740</v>
      </c>
      <c r="BM214" s="53"/>
      <c r="BN214" s="53">
        <f t="shared" ref="BN214:BN255" si="45">SUM(BF214:BL214)</f>
        <v>1480378</v>
      </c>
      <c r="BO214" s="54"/>
      <c r="BS214" s="55"/>
      <c r="BT214" s="55"/>
      <c r="BU214" s="84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</row>
    <row r="215" spans="1:95" s="35" customFormat="1" ht="12.75" hidden="1" customHeight="1">
      <c r="A215" s="35" t="s">
        <v>245</v>
      </c>
      <c r="B215" s="51"/>
      <c r="C215" s="35" t="s">
        <v>110</v>
      </c>
      <c r="D215" s="44"/>
      <c r="E215" s="53">
        <f t="shared" si="42"/>
        <v>0</v>
      </c>
      <c r="F215" s="53"/>
      <c r="G215" s="53">
        <v>0</v>
      </c>
      <c r="H215" s="53"/>
      <c r="I215" s="53">
        <v>0</v>
      </c>
      <c r="J215" s="53"/>
      <c r="K215" s="53">
        <f t="shared" si="43"/>
        <v>0</v>
      </c>
      <c r="L215" s="53"/>
      <c r="M215" s="53">
        <v>0</v>
      </c>
      <c r="N215" s="53"/>
      <c r="O215" s="53">
        <v>0</v>
      </c>
      <c r="P215" s="53"/>
      <c r="Q215" s="53">
        <v>0</v>
      </c>
      <c r="R215" s="53"/>
      <c r="S215" s="53">
        <v>0</v>
      </c>
      <c r="T215" s="53"/>
      <c r="U215" s="53">
        <v>0</v>
      </c>
      <c r="V215" s="53"/>
      <c r="W215" s="53">
        <f t="shared" si="40"/>
        <v>0</v>
      </c>
      <c r="Z215" s="35" t="s">
        <v>245</v>
      </c>
      <c r="AA215" s="53"/>
      <c r="AB215" s="35" t="s">
        <v>110</v>
      </c>
      <c r="AC215" s="51"/>
      <c r="AD215" s="53">
        <v>0</v>
      </c>
      <c r="AE215" s="53"/>
      <c r="AF215" s="53">
        <v>0</v>
      </c>
      <c r="AG215" s="53"/>
      <c r="AH215" s="53">
        <v>0</v>
      </c>
      <c r="AI215" s="53"/>
      <c r="AJ215" s="45">
        <f t="shared" si="36"/>
        <v>0</v>
      </c>
      <c r="AK215" s="45"/>
      <c r="AL215" s="53">
        <v>0</v>
      </c>
      <c r="AM215" s="45"/>
      <c r="AN215" s="53">
        <v>0</v>
      </c>
      <c r="AO215" s="53"/>
      <c r="AP215" s="53">
        <v>0</v>
      </c>
      <c r="AQ215" s="53"/>
      <c r="AR215" s="53">
        <v>0</v>
      </c>
      <c r="AS215" s="53"/>
      <c r="AT215" s="45">
        <f t="shared" si="37"/>
        <v>0</v>
      </c>
      <c r="AU215" s="45"/>
      <c r="AV215" s="53">
        <v>0</v>
      </c>
      <c r="AW215" s="53"/>
      <c r="AX215" s="53">
        <v>0</v>
      </c>
      <c r="AY215" s="53"/>
      <c r="AZ215" s="53">
        <f t="shared" si="41"/>
        <v>0</v>
      </c>
      <c r="BA215" s="51"/>
      <c r="BB215" s="35" t="s">
        <v>245</v>
      </c>
      <c r="BD215" s="35" t="s">
        <v>110</v>
      </c>
      <c r="BE215" s="53"/>
      <c r="BF215" s="53">
        <v>0</v>
      </c>
      <c r="BG215" s="53"/>
      <c r="BH215" s="53">
        <v>0</v>
      </c>
      <c r="BI215" s="53"/>
      <c r="BJ215" s="53">
        <v>0</v>
      </c>
      <c r="BK215" s="53"/>
      <c r="BL215" s="53">
        <v>0</v>
      </c>
      <c r="BM215" s="53"/>
      <c r="BN215" s="53">
        <f t="shared" si="45"/>
        <v>0</v>
      </c>
      <c r="BO215" s="54"/>
      <c r="BP215" s="55"/>
      <c r="BS215" s="55"/>
      <c r="BT215" s="55"/>
      <c r="BU215" s="84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</row>
    <row r="216" spans="1:95" s="35" customFormat="1" ht="12.75" customHeight="1">
      <c r="A216" s="35" t="s">
        <v>246</v>
      </c>
      <c r="B216" s="51"/>
      <c r="C216" s="35" t="s">
        <v>209</v>
      </c>
      <c r="D216" s="44"/>
      <c r="E216" s="53">
        <f t="shared" si="42"/>
        <v>4335512</v>
      </c>
      <c r="F216" s="53"/>
      <c r="G216" s="53">
        <v>8833677</v>
      </c>
      <c r="H216" s="53"/>
      <c r="I216" s="53">
        <v>13169189</v>
      </c>
      <c r="J216" s="53"/>
      <c r="K216" s="53">
        <f t="shared" si="43"/>
        <v>11685818</v>
      </c>
      <c r="L216" s="53"/>
      <c r="M216" s="53">
        <v>43083</v>
      </c>
      <c r="N216" s="53"/>
      <c r="O216" s="53">
        <v>11728901</v>
      </c>
      <c r="P216" s="53"/>
      <c r="Q216" s="53">
        <v>7249689</v>
      </c>
      <c r="R216" s="53"/>
      <c r="S216" s="53">
        <v>0</v>
      </c>
      <c r="T216" s="53"/>
      <c r="U216" s="53">
        <v>4190599</v>
      </c>
      <c r="V216" s="53"/>
      <c r="W216" s="53">
        <f t="shared" si="40"/>
        <v>11440288</v>
      </c>
      <c r="X216" s="51"/>
      <c r="Y216" s="51"/>
      <c r="Z216" s="35" t="s">
        <v>246</v>
      </c>
      <c r="AA216" s="53"/>
      <c r="AB216" s="35" t="s">
        <v>209</v>
      </c>
      <c r="AC216" s="51"/>
      <c r="AD216" s="53">
        <v>2444643</v>
      </c>
      <c r="AE216" s="53"/>
      <c r="AF216" s="53">
        <f>2674406-315749</f>
        <v>2358657</v>
      </c>
      <c r="AG216" s="53"/>
      <c r="AH216" s="53">
        <v>315749</v>
      </c>
      <c r="AI216" s="53"/>
      <c r="AJ216" s="45">
        <f t="shared" si="36"/>
        <v>-229763</v>
      </c>
      <c r="AK216" s="45"/>
      <c r="AL216" s="53">
        <v>59289</v>
      </c>
      <c r="AM216" s="45"/>
      <c r="AN216" s="53">
        <v>0</v>
      </c>
      <c r="AO216" s="53"/>
      <c r="AP216" s="53">
        <v>15459</v>
      </c>
      <c r="AQ216" s="53"/>
      <c r="AR216" s="53">
        <f>4354+201207</f>
        <v>205561</v>
      </c>
      <c r="AS216" s="53"/>
      <c r="AT216" s="45">
        <f t="shared" si="37"/>
        <v>19628</v>
      </c>
      <c r="AU216" s="45"/>
      <c r="AV216" s="53">
        <v>0</v>
      </c>
      <c r="AW216" s="53"/>
      <c r="AX216" s="53">
        <v>0</v>
      </c>
      <c r="AY216" s="53"/>
      <c r="AZ216" s="53">
        <f t="shared" si="41"/>
        <v>-7350306</v>
      </c>
      <c r="BA216" s="51"/>
      <c r="BB216" s="35" t="s">
        <v>246</v>
      </c>
      <c r="BD216" s="35" t="s">
        <v>209</v>
      </c>
      <c r="BE216" s="53"/>
      <c r="BF216" s="53">
        <v>0</v>
      </c>
      <c r="BG216" s="53"/>
      <c r="BH216" s="53">
        <v>0</v>
      </c>
      <c r="BI216" s="53"/>
      <c r="BJ216" s="53">
        <v>0</v>
      </c>
      <c r="BK216" s="53"/>
      <c r="BL216" s="53">
        <f>43083+21943</f>
        <v>65026</v>
      </c>
      <c r="BM216" s="53"/>
      <c r="BN216" s="53">
        <f t="shared" si="45"/>
        <v>65026</v>
      </c>
      <c r="BO216" s="54"/>
      <c r="BS216" s="55"/>
      <c r="BT216" s="55"/>
      <c r="BU216" s="84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</row>
    <row r="217" spans="1:95" s="35" customFormat="1" ht="12.75" customHeight="1">
      <c r="A217" s="35" t="s">
        <v>247</v>
      </c>
      <c r="C217" s="35" t="s">
        <v>163</v>
      </c>
      <c r="D217" s="44"/>
      <c r="E217" s="53">
        <f t="shared" si="42"/>
        <v>33601000</v>
      </c>
      <c r="F217" s="53"/>
      <c r="G217" s="53">
        <v>205018000</v>
      </c>
      <c r="H217" s="53"/>
      <c r="I217" s="53">
        <v>238619000</v>
      </c>
      <c r="J217" s="53"/>
      <c r="K217" s="53">
        <f t="shared" si="43"/>
        <v>11785000</v>
      </c>
      <c r="L217" s="53"/>
      <c r="M217" s="53">
        <v>79776000</v>
      </c>
      <c r="N217" s="53"/>
      <c r="O217" s="53">
        <v>91561000</v>
      </c>
      <c r="P217" s="53"/>
      <c r="Q217" s="53">
        <v>124982000</v>
      </c>
      <c r="R217" s="53"/>
      <c r="S217" s="53">
        <f>406000+10145000+1956000</f>
        <v>12507000</v>
      </c>
      <c r="T217" s="53"/>
      <c r="U217" s="53">
        <v>9569000</v>
      </c>
      <c r="V217" s="53"/>
      <c r="W217" s="53">
        <f t="shared" si="40"/>
        <v>147058000</v>
      </c>
      <c r="X217" s="51"/>
      <c r="Y217" s="51"/>
      <c r="Z217" s="35" t="s">
        <v>247</v>
      </c>
      <c r="AA217" s="53"/>
      <c r="AB217" s="35" t="s">
        <v>163</v>
      </c>
      <c r="AD217" s="53">
        <v>42487000</v>
      </c>
      <c r="AE217" s="53"/>
      <c r="AF217" s="53">
        <f>32851000-4802000</f>
        <v>28049000</v>
      </c>
      <c r="AG217" s="53"/>
      <c r="AH217" s="53">
        <v>4802000</v>
      </c>
      <c r="AI217" s="53"/>
      <c r="AJ217" s="45">
        <f t="shared" si="36"/>
        <v>9636000</v>
      </c>
      <c r="AK217" s="45"/>
      <c r="AL217" s="53">
        <v>-6098000</v>
      </c>
      <c r="AM217" s="45"/>
      <c r="AN217" s="53">
        <v>24376000</v>
      </c>
      <c r="AO217" s="53"/>
      <c r="AP217" s="53">
        <v>24390000</v>
      </c>
      <c r="AQ217" s="53"/>
      <c r="AR217" s="53">
        <v>0</v>
      </c>
      <c r="AS217" s="53"/>
      <c r="AT217" s="45">
        <f t="shared" si="37"/>
        <v>3524000</v>
      </c>
      <c r="AU217" s="45"/>
      <c r="AV217" s="53">
        <v>0</v>
      </c>
      <c r="AW217" s="53"/>
      <c r="AX217" s="53">
        <v>0</v>
      </c>
      <c r="AY217" s="53"/>
      <c r="AZ217" s="53">
        <f t="shared" si="41"/>
        <v>21816000</v>
      </c>
      <c r="BA217" s="51"/>
      <c r="BB217" s="35" t="s">
        <v>247</v>
      </c>
      <c r="BD217" s="35" t="s">
        <v>163</v>
      </c>
      <c r="BE217" s="53"/>
      <c r="BF217" s="53">
        <f>79776000+6183000</f>
        <v>85959000</v>
      </c>
      <c r="BG217" s="53"/>
      <c r="BH217" s="53">
        <v>0</v>
      </c>
      <c r="BI217" s="53"/>
      <c r="BJ217" s="53">
        <v>0</v>
      </c>
      <c r="BK217" s="53"/>
      <c r="BL217" s="53">
        <v>0</v>
      </c>
      <c r="BM217" s="53"/>
      <c r="BN217" s="53">
        <f t="shared" si="45"/>
        <v>85959000</v>
      </c>
      <c r="BO217" s="54"/>
      <c r="BS217" s="55"/>
      <c r="BT217" s="55"/>
      <c r="BU217" s="84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</row>
    <row r="218" spans="1:95" s="35" customFormat="1" ht="12.75" customHeight="1">
      <c r="A218" s="35" t="s">
        <v>248</v>
      </c>
      <c r="B218" s="51"/>
      <c r="C218" s="35" t="s">
        <v>249</v>
      </c>
      <c r="D218" s="44"/>
      <c r="E218" s="53">
        <f t="shared" si="42"/>
        <v>976610</v>
      </c>
      <c r="F218" s="53"/>
      <c r="G218" s="53">
        <v>13439968</v>
      </c>
      <c r="H218" s="53"/>
      <c r="I218" s="53">
        <v>14416578</v>
      </c>
      <c r="J218" s="53"/>
      <c r="K218" s="53">
        <f t="shared" si="43"/>
        <v>659286</v>
      </c>
      <c r="L218" s="53"/>
      <c r="M218" s="53">
        <v>11327223</v>
      </c>
      <c r="N218" s="53"/>
      <c r="O218" s="53">
        <v>11986509</v>
      </c>
      <c r="P218" s="53"/>
      <c r="Q218" s="53">
        <v>1526599</v>
      </c>
      <c r="R218" s="53"/>
      <c r="S218" s="53">
        <v>0</v>
      </c>
      <c r="T218" s="53"/>
      <c r="U218" s="53">
        <v>903470</v>
      </c>
      <c r="V218" s="53"/>
      <c r="W218" s="53">
        <f t="shared" si="40"/>
        <v>2430069</v>
      </c>
      <c r="Z218" s="35" t="s">
        <v>248</v>
      </c>
      <c r="AA218" s="53"/>
      <c r="AB218" s="35" t="s">
        <v>249</v>
      </c>
      <c r="AC218" s="51"/>
      <c r="AD218" s="53">
        <v>2313475</v>
      </c>
      <c r="AE218" s="53"/>
      <c r="AF218" s="53">
        <f>1600690-410062</f>
        <v>1190628</v>
      </c>
      <c r="AG218" s="53"/>
      <c r="AH218" s="53">
        <v>410062</v>
      </c>
      <c r="AI218" s="53"/>
      <c r="AJ218" s="45">
        <f t="shared" si="36"/>
        <v>712785</v>
      </c>
      <c r="AK218" s="45"/>
      <c r="AL218" s="53">
        <v>-389141</v>
      </c>
      <c r="AM218" s="45"/>
      <c r="AN218" s="53">
        <v>0</v>
      </c>
      <c r="AO218" s="53"/>
      <c r="AP218" s="53">
        <v>0</v>
      </c>
      <c r="AQ218" s="53"/>
      <c r="AR218" s="53">
        <v>0</v>
      </c>
      <c r="AS218" s="53"/>
      <c r="AT218" s="45">
        <f t="shared" ref="AT218:AT255" si="46">+AJ218+AL218+AN218-AP218+AR218</f>
        <v>323644</v>
      </c>
      <c r="AU218" s="45"/>
      <c r="AV218" s="53">
        <v>0</v>
      </c>
      <c r="AW218" s="53"/>
      <c r="AX218" s="53">
        <v>0</v>
      </c>
      <c r="AY218" s="53"/>
      <c r="AZ218" s="53">
        <f t="shared" si="41"/>
        <v>317324</v>
      </c>
      <c r="BA218" s="51"/>
      <c r="BB218" s="35" t="s">
        <v>248</v>
      </c>
      <c r="BD218" s="35" t="s">
        <v>249</v>
      </c>
      <c r="BE218" s="53"/>
      <c r="BF218" s="53">
        <v>0</v>
      </c>
      <c r="BG218" s="53"/>
      <c r="BH218" s="53">
        <v>0</v>
      </c>
      <c r="BI218" s="53"/>
      <c r="BJ218" s="53">
        <f>11280452+632916</f>
        <v>11913368</v>
      </c>
      <c r="BK218" s="53"/>
      <c r="BL218" s="53">
        <f>46771+10144</f>
        <v>56915</v>
      </c>
      <c r="BM218" s="53"/>
      <c r="BN218" s="53">
        <f>SUM(BF218:BL218)</f>
        <v>11970283</v>
      </c>
      <c r="BO218" s="54"/>
      <c r="BP218" s="55"/>
      <c r="BS218" s="55"/>
      <c r="BT218" s="55"/>
      <c r="BU218" s="84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</row>
    <row r="219" spans="1:95" s="35" customFormat="1" ht="12.75" customHeight="1">
      <c r="A219" s="35" t="s">
        <v>250</v>
      </c>
      <c r="B219" s="51"/>
      <c r="C219" s="35" t="s">
        <v>103</v>
      </c>
      <c r="D219" s="44"/>
      <c r="E219" s="53">
        <f t="shared" si="42"/>
        <v>915174</v>
      </c>
      <c r="F219" s="53"/>
      <c r="G219" s="53">
        <v>9752818</v>
      </c>
      <c r="H219" s="53"/>
      <c r="I219" s="53">
        <v>10667992</v>
      </c>
      <c r="J219" s="53"/>
      <c r="K219" s="53">
        <f t="shared" si="43"/>
        <v>2840539</v>
      </c>
      <c r="L219" s="53"/>
      <c r="M219" s="53">
        <v>6999171</v>
      </c>
      <c r="N219" s="53"/>
      <c r="O219" s="53">
        <v>9839710</v>
      </c>
      <c r="P219" s="53"/>
      <c r="Q219" s="53">
        <v>106042</v>
      </c>
      <c r="R219" s="53"/>
      <c r="S219" s="53">
        <v>781302</v>
      </c>
      <c r="T219" s="53"/>
      <c r="U219" s="53">
        <v>-59062</v>
      </c>
      <c r="V219" s="53"/>
      <c r="W219" s="53">
        <f t="shared" si="40"/>
        <v>828282</v>
      </c>
      <c r="X219" s="51"/>
      <c r="Y219" s="51"/>
      <c r="Z219" s="35" t="s">
        <v>250</v>
      </c>
      <c r="AA219" s="53"/>
      <c r="AB219" s="35" t="s">
        <v>103</v>
      </c>
      <c r="AC219" s="51"/>
      <c r="AD219" s="53">
        <v>1270528</v>
      </c>
      <c r="AE219" s="53"/>
      <c r="AF219" s="53">
        <f>1189845-214008</f>
        <v>975837</v>
      </c>
      <c r="AG219" s="53"/>
      <c r="AH219" s="53">
        <v>214008</v>
      </c>
      <c r="AI219" s="53"/>
      <c r="AJ219" s="45">
        <f t="shared" si="36"/>
        <v>80683</v>
      </c>
      <c r="AK219" s="45"/>
      <c r="AL219" s="53">
        <v>-382464</v>
      </c>
      <c r="AM219" s="45"/>
      <c r="AN219" s="53">
        <v>0</v>
      </c>
      <c r="AO219" s="53"/>
      <c r="AP219" s="53">
        <v>301800</v>
      </c>
      <c r="AQ219" s="53"/>
      <c r="AR219" s="53">
        <v>0</v>
      </c>
      <c r="AS219" s="53"/>
      <c r="AT219" s="45">
        <f t="shared" si="46"/>
        <v>-603581</v>
      </c>
      <c r="AU219" s="45"/>
      <c r="AV219" s="53">
        <v>0</v>
      </c>
      <c r="AW219" s="53"/>
      <c r="AX219" s="53">
        <v>0</v>
      </c>
      <c r="AY219" s="53"/>
      <c r="AZ219" s="53">
        <f t="shared" si="41"/>
        <v>-1925365</v>
      </c>
      <c r="BA219" s="51"/>
      <c r="BB219" s="35" t="s">
        <v>250</v>
      </c>
      <c r="BD219" s="35" t="s">
        <v>103</v>
      </c>
      <c r="BE219" s="53"/>
      <c r="BF219" s="53">
        <v>0</v>
      </c>
      <c r="BG219" s="53"/>
      <c r="BH219" s="53">
        <f>3973265+165000</f>
        <v>4138265</v>
      </c>
      <c r="BI219" s="53"/>
      <c r="BJ219" s="53">
        <v>0</v>
      </c>
      <c r="BK219" s="53"/>
      <c r="BL219" s="53">
        <v>0</v>
      </c>
      <c r="BM219" s="53"/>
      <c r="BN219" s="53">
        <f>25906+12027</f>
        <v>37933</v>
      </c>
      <c r="BO219" s="54"/>
      <c r="BS219" s="55"/>
      <c r="BT219" s="55"/>
      <c r="BU219" s="84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</row>
    <row r="220" spans="1:95" s="126" customFormat="1" ht="12.75" hidden="1" customHeight="1">
      <c r="A220" s="126" t="s">
        <v>251</v>
      </c>
      <c r="B220" s="124"/>
      <c r="C220" s="126" t="s">
        <v>66</v>
      </c>
      <c r="D220" s="121"/>
      <c r="E220" s="137">
        <f t="shared" si="42"/>
        <v>0</v>
      </c>
      <c r="F220" s="137"/>
      <c r="G220" s="137">
        <v>0</v>
      </c>
      <c r="H220" s="137"/>
      <c r="I220" s="137">
        <v>0</v>
      </c>
      <c r="J220" s="137"/>
      <c r="K220" s="137">
        <f t="shared" si="43"/>
        <v>0</v>
      </c>
      <c r="L220" s="137"/>
      <c r="M220" s="137">
        <v>0</v>
      </c>
      <c r="N220" s="137"/>
      <c r="O220" s="137">
        <v>0</v>
      </c>
      <c r="P220" s="137"/>
      <c r="Q220" s="137">
        <v>0</v>
      </c>
      <c r="R220" s="137"/>
      <c r="S220" s="137">
        <v>0</v>
      </c>
      <c r="T220" s="137"/>
      <c r="U220" s="137">
        <v>0</v>
      </c>
      <c r="V220" s="137"/>
      <c r="W220" s="137">
        <f t="shared" si="40"/>
        <v>0</v>
      </c>
      <c r="Z220" s="126" t="s">
        <v>251</v>
      </c>
      <c r="AA220" s="137"/>
      <c r="AB220" s="126" t="s">
        <v>66</v>
      </c>
      <c r="AC220" s="124"/>
      <c r="AD220" s="137">
        <v>0</v>
      </c>
      <c r="AE220" s="137"/>
      <c r="AF220" s="137">
        <v>0</v>
      </c>
      <c r="AG220" s="137"/>
      <c r="AH220" s="137">
        <v>0</v>
      </c>
      <c r="AI220" s="137"/>
      <c r="AJ220" s="127">
        <f t="shared" si="36"/>
        <v>0</v>
      </c>
      <c r="AK220" s="127"/>
      <c r="AL220" s="137">
        <v>0</v>
      </c>
      <c r="AM220" s="127"/>
      <c r="AN220" s="137">
        <v>0</v>
      </c>
      <c r="AO220" s="137"/>
      <c r="AP220" s="137">
        <v>0</v>
      </c>
      <c r="AQ220" s="137"/>
      <c r="AR220" s="137">
        <v>0</v>
      </c>
      <c r="AS220" s="137"/>
      <c r="AT220" s="127">
        <f t="shared" si="46"/>
        <v>0</v>
      </c>
      <c r="AU220" s="127"/>
      <c r="AV220" s="137">
        <v>0</v>
      </c>
      <c r="AW220" s="137"/>
      <c r="AX220" s="137">
        <v>0</v>
      </c>
      <c r="AY220" s="137"/>
      <c r="AZ220" s="137">
        <f t="shared" si="41"/>
        <v>0</v>
      </c>
      <c r="BA220" s="124"/>
      <c r="BB220" s="126" t="s">
        <v>251</v>
      </c>
      <c r="BD220" s="126" t="s">
        <v>66</v>
      </c>
      <c r="BE220" s="137"/>
      <c r="BF220" s="137">
        <v>0</v>
      </c>
      <c r="BG220" s="137"/>
      <c r="BH220" s="137">
        <v>0</v>
      </c>
      <c r="BI220" s="137"/>
      <c r="BJ220" s="137">
        <v>0</v>
      </c>
      <c r="BK220" s="137"/>
      <c r="BL220" s="137">
        <v>0</v>
      </c>
      <c r="BM220" s="137"/>
      <c r="BN220" s="137">
        <f t="shared" si="45"/>
        <v>0</v>
      </c>
      <c r="BO220" s="139"/>
      <c r="BP220" s="140"/>
      <c r="BS220" s="140"/>
      <c r="BT220" s="140"/>
      <c r="BU220" s="141"/>
      <c r="BV220" s="140"/>
      <c r="BW220" s="140"/>
      <c r="BX220" s="140"/>
      <c r="BY220" s="140"/>
      <c r="BZ220" s="140"/>
      <c r="CA220" s="140"/>
      <c r="CB220" s="140"/>
      <c r="CC220" s="140"/>
      <c r="CD220" s="140"/>
      <c r="CE220" s="140"/>
      <c r="CF220" s="140"/>
      <c r="CG220" s="140"/>
      <c r="CH220" s="140"/>
      <c r="CI220" s="140"/>
      <c r="CJ220" s="140"/>
      <c r="CK220" s="140"/>
      <c r="CL220" s="140"/>
      <c r="CM220" s="140"/>
      <c r="CN220" s="140"/>
      <c r="CO220" s="140"/>
      <c r="CP220" s="140"/>
      <c r="CQ220" s="140"/>
    </row>
    <row r="221" spans="1:95" s="35" customFormat="1" ht="12.75" customHeight="1">
      <c r="A221" s="35" t="s">
        <v>252</v>
      </c>
      <c r="B221" s="51"/>
      <c r="C221" s="35" t="s">
        <v>209</v>
      </c>
      <c r="D221" s="44"/>
      <c r="E221" s="53">
        <f t="shared" si="42"/>
        <v>-18454861</v>
      </c>
      <c r="F221" s="53"/>
      <c r="G221" s="53">
        <v>21160551</v>
      </c>
      <c r="H221" s="53"/>
      <c r="I221" s="53">
        <v>2705690</v>
      </c>
      <c r="J221" s="53"/>
      <c r="K221" s="53">
        <f t="shared" si="43"/>
        <v>1291776</v>
      </c>
      <c r="L221" s="53"/>
      <c r="M221" s="53">
        <v>4797334</v>
      </c>
      <c r="N221" s="53"/>
      <c r="O221" s="53">
        <v>6089110</v>
      </c>
      <c r="P221" s="53"/>
      <c r="Q221" s="53">
        <v>15425551</v>
      </c>
      <c r="R221" s="53"/>
      <c r="S221" s="53">
        <v>0</v>
      </c>
      <c r="T221" s="53"/>
      <c r="U221" s="53">
        <v>5491029</v>
      </c>
      <c r="V221" s="53"/>
      <c r="W221" s="53">
        <f t="shared" si="40"/>
        <v>20916580</v>
      </c>
      <c r="X221" s="51"/>
      <c r="Y221" s="51"/>
      <c r="Z221" s="35" t="s">
        <v>252</v>
      </c>
      <c r="AA221" s="53"/>
      <c r="AB221" s="35" t="s">
        <v>209</v>
      </c>
      <c r="AC221" s="51"/>
      <c r="AD221" s="53">
        <v>4666854</v>
      </c>
      <c r="AE221" s="53"/>
      <c r="AF221" s="53">
        <f>3963092-985990</f>
        <v>2977102</v>
      </c>
      <c r="AG221" s="53"/>
      <c r="AH221" s="53">
        <v>985990</v>
      </c>
      <c r="AI221" s="53"/>
      <c r="AJ221" s="45">
        <f t="shared" si="36"/>
        <v>703762</v>
      </c>
      <c r="AK221" s="45"/>
      <c r="AL221" s="53">
        <v>-243842</v>
      </c>
      <c r="AM221" s="45"/>
      <c r="AN221" s="53">
        <v>0</v>
      </c>
      <c r="AO221" s="53"/>
      <c r="AP221" s="53">
        <v>0</v>
      </c>
      <c r="AQ221" s="53"/>
      <c r="AR221" s="53">
        <v>82818</v>
      </c>
      <c r="AS221" s="53"/>
      <c r="AT221" s="45">
        <f t="shared" si="46"/>
        <v>542738</v>
      </c>
      <c r="AU221" s="45"/>
      <c r="AV221" s="53">
        <v>0</v>
      </c>
      <c r="AW221" s="53"/>
      <c r="AX221" s="53">
        <v>0</v>
      </c>
      <c r="AY221" s="53"/>
      <c r="AZ221" s="53">
        <f t="shared" si="41"/>
        <v>-19746637</v>
      </c>
      <c r="BA221" s="51"/>
      <c r="BB221" s="35" t="s">
        <v>252</v>
      </c>
      <c r="BD221" s="35" t="s">
        <v>209</v>
      </c>
      <c r="BE221" s="53"/>
      <c r="BF221" s="53">
        <f>4670000+1065000</f>
        <v>5735000</v>
      </c>
      <c r="BG221" s="53"/>
      <c r="BH221" s="53">
        <v>0</v>
      </c>
      <c r="BI221" s="53"/>
      <c r="BJ221" s="53">
        <v>0</v>
      </c>
      <c r="BK221" s="53"/>
      <c r="BL221" s="53">
        <f>127334+94871</f>
        <v>222205</v>
      </c>
      <c r="BM221" s="53"/>
      <c r="BN221" s="53">
        <f t="shared" si="45"/>
        <v>5957205</v>
      </c>
      <c r="BO221" s="54"/>
      <c r="BS221" s="55"/>
      <c r="BT221" s="55"/>
      <c r="BU221" s="84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</row>
    <row r="222" spans="1:95" s="126" customFormat="1" ht="12.75" hidden="1" customHeight="1">
      <c r="A222" s="126" t="s">
        <v>253</v>
      </c>
      <c r="B222" s="124"/>
      <c r="C222" s="126" t="s">
        <v>13</v>
      </c>
      <c r="D222" s="121"/>
      <c r="E222" s="53">
        <f t="shared" si="42"/>
        <v>0</v>
      </c>
      <c r="F222" s="53"/>
      <c r="G222" s="53">
        <v>0</v>
      </c>
      <c r="H222" s="53"/>
      <c r="I222" s="53">
        <v>0</v>
      </c>
      <c r="J222" s="53"/>
      <c r="K222" s="53">
        <f t="shared" si="43"/>
        <v>0</v>
      </c>
      <c r="L222" s="53"/>
      <c r="M222" s="53">
        <v>0</v>
      </c>
      <c r="N222" s="53"/>
      <c r="O222" s="53">
        <v>0</v>
      </c>
      <c r="P222" s="53"/>
      <c r="Q222" s="53">
        <v>0</v>
      </c>
      <c r="R222" s="53"/>
      <c r="S222" s="53">
        <v>0</v>
      </c>
      <c r="T222" s="53"/>
      <c r="U222" s="53">
        <v>0</v>
      </c>
      <c r="V222" s="53"/>
      <c r="W222" s="53">
        <f t="shared" si="40"/>
        <v>0</v>
      </c>
      <c r="X222" s="124"/>
      <c r="Y222" s="124"/>
      <c r="Z222" s="126" t="s">
        <v>253</v>
      </c>
      <c r="AA222" s="137"/>
      <c r="AB222" s="126" t="s">
        <v>13</v>
      </c>
      <c r="AC222" s="124"/>
      <c r="AD222" s="53">
        <v>0</v>
      </c>
      <c r="AE222" s="53"/>
      <c r="AF222" s="53">
        <v>0</v>
      </c>
      <c r="AG222" s="53"/>
      <c r="AH222" s="53">
        <v>0</v>
      </c>
      <c r="AI222" s="53"/>
      <c r="AJ222" s="45">
        <f t="shared" si="36"/>
        <v>0</v>
      </c>
      <c r="AK222" s="45"/>
      <c r="AL222" s="53">
        <v>0</v>
      </c>
      <c r="AM222" s="45"/>
      <c r="AN222" s="53">
        <v>0</v>
      </c>
      <c r="AO222" s="53"/>
      <c r="AP222" s="53">
        <v>0</v>
      </c>
      <c r="AQ222" s="53"/>
      <c r="AR222" s="53">
        <v>0</v>
      </c>
      <c r="AS222" s="53"/>
      <c r="AT222" s="45">
        <f t="shared" si="46"/>
        <v>0</v>
      </c>
      <c r="AU222" s="45"/>
      <c r="AV222" s="53">
        <v>0</v>
      </c>
      <c r="AW222" s="53"/>
      <c r="AX222" s="53">
        <v>0</v>
      </c>
      <c r="AY222" s="53"/>
      <c r="AZ222" s="53">
        <f t="shared" si="41"/>
        <v>0</v>
      </c>
      <c r="BA222" s="124"/>
      <c r="BB222" s="126" t="s">
        <v>253</v>
      </c>
      <c r="BD222" s="126" t="s">
        <v>13</v>
      </c>
      <c r="BE222" s="137"/>
      <c r="BF222" s="53">
        <v>0</v>
      </c>
      <c r="BG222" s="53"/>
      <c r="BH222" s="53">
        <v>0</v>
      </c>
      <c r="BI222" s="53"/>
      <c r="BJ222" s="53">
        <v>0</v>
      </c>
      <c r="BK222" s="53"/>
      <c r="BL222" s="53">
        <v>0</v>
      </c>
      <c r="BM222" s="137"/>
      <c r="BN222" s="137">
        <f t="shared" si="45"/>
        <v>0</v>
      </c>
      <c r="BO222" s="139"/>
      <c r="BS222" s="140"/>
      <c r="BT222" s="140"/>
      <c r="BU222" s="141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0"/>
      <c r="CP222" s="140"/>
      <c r="CQ222" s="140"/>
    </row>
    <row r="223" spans="1:95" s="35" customFormat="1" ht="12.75" hidden="1" customHeight="1">
      <c r="A223" s="35" t="s">
        <v>254</v>
      </c>
      <c r="B223" s="51"/>
      <c r="C223" s="35" t="s">
        <v>89</v>
      </c>
      <c r="D223" s="44"/>
      <c r="E223" s="53">
        <f t="shared" si="42"/>
        <v>0</v>
      </c>
      <c r="F223" s="53"/>
      <c r="G223" s="53">
        <v>0</v>
      </c>
      <c r="H223" s="53"/>
      <c r="I223" s="53">
        <v>0</v>
      </c>
      <c r="J223" s="53"/>
      <c r="K223" s="53">
        <f t="shared" si="43"/>
        <v>0</v>
      </c>
      <c r="L223" s="53"/>
      <c r="M223" s="53">
        <v>0</v>
      </c>
      <c r="N223" s="53"/>
      <c r="O223" s="53">
        <v>0</v>
      </c>
      <c r="P223" s="53"/>
      <c r="Q223" s="53">
        <v>0</v>
      </c>
      <c r="R223" s="53"/>
      <c r="S223" s="53">
        <v>0</v>
      </c>
      <c r="T223" s="53"/>
      <c r="U223" s="53">
        <v>0</v>
      </c>
      <c r="V223" s="53"/>
      <c r="W223" s="53">
        <f t="shared" si="40"/>
        <v>0</v>
      </c>
      <c r="X223" s="51"/>
      <c r="Y223" s="51"/>
      <c r="Z223" s="35" t="s">
        <v>254</v>
      </c>
      <c r="AA223" s="53"/>
      <c r="AB223" s="35" t="s">
        <v>89</v>
      </c>
      <c r="AC223" s="51"/>
      <c r="AD223" s="53">
        <v>0</v>
      </c>
      <c r="AE223" s="53"/>
      <c r="AF223" s="53">
        <v>0</v>
      </c>
      <c r="AG223" s="53"/>
      <c r="AH223" s="53">
        <v>0</v>
      </c>
      <c r="AI223" s="53"/>
      <c r="AJ223" s="45">
        <f t="shared" ref="AJ223:AJ255" si="47">+AD223-AF223-AH223</f>
        <v>0</v>
      </c>
      <c r="AK223" s="45"/>
      <c r="AL223" s="53">
        <v>0</v>
      </c>
      <c r="AM223" s="45"/>
      <c r="AN223" s="53">
        <v>0</v>
      </c>
      <c r="AO223" s="53"/>
      <c r="AP223" s="53">
        <v>0</v>
      </c>
      <c r="AQ223" s="53"/>
      <c r="AR223" s="53">
        <v>0</v>
      </c>
      <c r="AS223" s="53"/>
      <c r="AT223" s="45">
        <f t="shared" si="46"/>
        <v>0</v>
      </c>
      <c r="AU223" s="45"/>
      <c r="AV223" s="53">
        <v>0</v>
      </c>
      <c r="AW223" s="53"/>
      <c r="AX223" s="53">
        <v>0</v>
      </c>
      <c r="AY223" s="53"/>
      <c r="AZ223" s="53">
        <f t="shared" si="41"/>
        <v>0</v>
      </c>
      <c r="BA223" s="51"/>
      <c r="BB223" s="35" t="s">
        <v>254</v>
      </c>
      <c r="BD223" s="35" t="s">
        <v>89</v>
      </c>
      <c r="BE223" s="53"/>
      <c r="BF223" s="53">
        <v>0</v>
      </c>
      <c r="BG223" s="53"/>
      <c r="BH223" s="53">
        <v>0</v>
      </c>
      <c r="BI223" s="53"/>
      <c r="BJ223" s="53">
        <v>0</v>
      </c>
      <c r="BK223" s="53"/>
      <c r="BL223" s="53">
        <v>0</v>
      </c>
      <c r="BM223" s="53"/>
      <c r="BN223" s="53">
        <f t="shared" si="45"/>
        <v>0</v>
      </c>
      <c r="BO223" s="54"/>
      <c r="BS223" s="55"/>
      <c r="BT223" s="55"/>
      <c r="BU223" s="84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</row>
    <row r="224" spans="1:95" s="35" customFormat="1" ht="12.75" customHeight="1">
      <c r="A224" s="35" t="s">
        <v>159</v>
      </c>
      <c r="C224" s="35" t="s">
        <v>66</v>
      </c>
      <c r="D224" s="44"/>
      <c r="E224" s="53">
        <f t="shared" si="42"/>
        <v>467174</v>
      </c>
      <c r="F224" s="53"/>
      <c r="G224" s="53">
        <v>4571167</v>
      </c>
      <c r="H224" s="53"/>
      <c r="I224" s="53">
        <v>5038341</v>
      </c>
      <c r="J224" s="53"/>
      <c r="K224" s="53">
        <f t="shared" si="43"/>
        <v>154830</v>
      </c>
      <c r="L224" s="53"/>
      <c r="M224" s="53">
        <v>1417885</v>
      </c>
      <c r="N224" s="53"/>
      <c r="O224" s="53">
        <v>1572715</v>
      </c>
      <c r="P224" s="53"/>
      <c r="Q224" s="53">
        <v>3086611</v>
      </c>
      <c r="R224" s="53"/>
      <c r="S224" s="53">
        <v>0</v>
      </c>
      <c r="T224" s="53"/>
      <c r="U224" s="53">
        <v>379015</v>
      </c>
      <c r="V224" s="53"/>
      <c r="W224" s="53">
        <f t="shared" si="40"/>
        <v>3465626</v>
      </c>
      <c r="X224" s="51"/>
      <c r="Y224" s="51"/>
      <c r="Z224" s="35" t="s">
        <v>159</v>
      </c>
      <c r="AA224" s="53"/>
      <c r="AB224" s="35" t="s">
        <v>66</v>
      </c>
      <c r="AD224" s="53">
        <v>485873</v>
      </c>
      <c r="AE224" s="53"/>
      <c r="AF224" s="53">
        <f>457196-146616</f>
        <v>310580</v>
      </c>
      <c r="AG224" s="53"/>
      <c r="AH224" s="53">
        <v>146616</v>
      </c>
      <c r="AI224" s="53"/>
      <c r="AJ224" s="45">
        <f t="shared" si="47"/>
        <v>28677</v>
      </c>
      <c r="AK224" s="45"/>
      <c r="AL224" s="53">
        <v>97310</v>
      </c>
      <c r="AM224" s="45"/>
      <c r="AN224" s="53">
        <v>0</v>
      </c>
      <c r="AO224" s="53"/>
      <c r="AP224" s="53">
        <v>0</v>
      </c>
      <c r="AQ224" s="53"/>
      <c r="AR224" s="53">
        <v>0</v>
      </c>
      <c r="AS224" s="53"/>
      <c r="AT224" s="45">
        <f t="shared" si="46"/>
        <v>125987</v>
      </c>
      <c r="AU224" s="45"/>
      <c r="AV224" s="53">
        <v>0</v>
      </c>
      <c r="AW224" s="53"/>
      <c r="AX224" s="53">
        <v>0</v>
      </c>
      <c r="AY224" s="53"/>
      <c r="AZ224" s="53">
        <f t="shared" si="41"/>
        <v>312344</v>
      </c>
      <c r="BA224" s="51"/>
      <c r="BB224" s="35" t="s">
        <v>159</v>
      </c>
      <c r="BD224" s="35" t="s">
        <v>66</v>
      </c>
      <c r="BE224" s="53"/>
      <c r="BF224" s="53">
        <f>53664+32086</f>
        <v>85750</v>
      </c>
      <c r="BG224" s="53"/>
      <c r="BH224" s="53">
        <v>0</v>
      </c>
      <c r="BI224" s="53"/>
      <c r="BJ224" s="53">
        <f>1340642+46834</f>
        <v>1387476</v>
      </c>
      <c r="BK224" s="53"/>
      <c r="BL224" s="53">
        <f>23579+7342</f>
        <v>30921</v>
      </c>
      <c r="BM224" s="53"/>
      <c r="BN224" s="53">
        <f>SUM(BF224:BL224)</f>
        <v>1504147</v>
      </c>
      <c r="BO224" s="54"/>
      <c r="BS224" s="55"/>
      <c r="BT224" s="55"/>
      <c r="BU224" s="84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</row>
    <row r="225" spans="1:95" s="126" customFormat="1" ht="12.75" hidden="1" customHeight="1">
      <c r="A225" s="126" t="s">
        <v>255</v>
      </c>
      <c r="B225" s="124"/>
      <c r="C225" s="126" t="s">
        <v>27</v>
      </c>
      <c r="D225" s="121"/>
      <c r="E225" s="53">
        <f t="shared" si="42"/>
        <v>0</v>
      </c>
      <c r="F225" s="53"/>
      <c r="G225" s="53">
        <v>0</v>
      </c>
      <c r="H225" s="53"/>
      <c r="I225" s="53">
        <v>0</v>
      </c>
      <c r="J225" s="53"/>
      <c r="K225" s="53">
        <f t="shared" si="43"/>
        <v>0</v>
      </c>
      <c r="L225" s="53"/>
      <c r="M225" s="53">
        <v>0</v>
      </c>
      <c r="N225" s="53"/>
      <c r="O225" s="53">
        <v>0</v>
      </c>
      <c r="P225" s="53"/>
      <c r="Q225" s="53">
        <v>0</v>
      </c>
      <c r="R225" s="53"/>
      <c r="S225" s="53">
        <v>0</v>
      </c>
      <c r="T225" s="53"/>
      <c r="U225" s="53">
        <v>0</v>
      </c>
      <c r="V225" s="53"/>
      <c r="W225" s="53">
        <f t="shared" si="40"/>
        <v>0</v>
      </c>
      <c r="X225" s="124"/>
      <c r="Y225" s="124"/>
      <c r="Z225" s="126" t="s">
        <v>255</v>
      </c>
      <c r="AA225" s="137"/>
      <c r="AB225" s="126" t="s">
        <v>27</v>
      </c>
      <c r="AC225" s="124"/>
      <c r="AD225" s="53">
        <v>0</v>
      </c>
      <c r="AE225" s="53"/>
      <c r="AF225" s="53">
        <v>0</v>
      </c>
      <c r="AG225" s="53"/>
      <c r="AH225" s="53">
        <v>0</v>
      </c>
      <c r="AI225" s="53"/>
      <c r="AJ225" s="45">
        <f t="shared" si="47"/>
        <v>0</v>
      </c>
      <c r="AK225" s="45"/>
      <c r="AL225" s="53">
        <v>0</v>
      </c>
      <c r="AM225" s="45"/>
      <c r="AN225" s="53">
        <v>0</v>
      </c>
      <c r="AO225" s="53"/>
      <c r="AP225" s="53">
        <v>0</v>
      </c>
      <c r="AQ225" s="53"/>
      <c r="AR225" s="53">
        <v>0</v>
      </c>
      <c r="AS225" s="53"/>
      <c r="AT225" s="45">
        <f t="shared" si="46"/>
        <v>0</v>
      </c>
      <c r="AU225" s="45"/>
      <c r="AV225" s="53">
        <v>0</v>
      </c>
      <c r="AW225" s="53"/>
      <c r="AX225" s="53">
        <v>0</v>
      </c>
      <c r="AY225" s="53"/>
      <c r="AZ225" s="53">
        <f t="shared" si="41"/>
        <v>0</v>
      </c>
      <c r="BA225" s="124"/>
      <c r="BB225" s="126" t="s">
        <v>255</v>
      </c>
      <c r="BD225" s="126" t="s">
        <v>27</v>
      </c>
      <c r="BE225" s="137"/>
      <c r="BF225" s="53">
        <v>0</v>
      </c>
      <c r="BG225" s="53"/>
      <c r="BH225" s="53">
        <v>0</v>
      </c>
      <c r="BI225" s="53"/>
      <c r="BJ225" s="53">
        <v>0</v>
      </c>
      <c r="BK225" s="53"/>
      <c r="BL225" s="53">
        <v>0</v>
      </c>
      <c r="BM225" s="137"/>
      <c r="BN225" s="137">
        <f t="shared" si="45"/>
        <v>0</v>
      </c>
      <c r="BO225" s="139"/>
      <c r="BS225" s="140"/>
      <c r="BT225" s="140"/>
      <c r="BU225" s="141"/>
      <c r="BV225" s="140"/>
      <c r="BW225" s="140"/>
      <c r="BX225" s="140"/>
      <c r="BY225" s="140"/>
      <c r="BZ225" s="140"/>
      <c r="CA225" s="140"/>
      <c r="CB225" s="140"/>
      <c r="CC225" s="140"/>
      <c r="CD225" s="140"/>
      <c r="CE225" s="140"/>
      <c r="CF225" s="140"/>
      <c r="CG225" s="140"/>
      <c r="CH225" s="140"/>
      <c r="CI225" s="140"/>
      <c r="CJ225" s="140"/>
      <c r="CK225" s="140"/>
      <c r="CL225" s="140"/>
      <c r="CM225" s="140"/>
      <c r="CN225" s="140"/>
      <c r="CO225" s="140"/>
      <c r="CP225" s="140"/>
      <c r="CQ225" s="140"/>
    </row>
    <row r="226" spans="1:95" s="35" customFormat="1" ht="12.75" customHeight="1">
      <c r="A226" s="35" t="s">
        <v>256</v>
      </c>
      <c r="C226" s="35" t="s">
        <v>43</v>
      </c>
      <c r="D226" s="44"/>
      <c r="E226" s="53">
        <f t="shared" si="42"/>
        <v>338567</v>
      </c>
      <c r="F226" s="53"/>
      <c r="G226" s="53">
        <v>7072656</v>
      </c>
      <c r="H226" s="53"/>
      <c r="I226" s="53">
        <v>7411223</v>
      </c>
      <c r="J226" s="53"/>
      <c r="K226" s="53">
        <f t="shared" si="43"/>
        <v>114381</v>
      </c>
      <c r="L226" s="53"/>
      <c r="M226" s="53">
        <v>414817</v>
      </c>
      <c r="N226" s="53"/>
      <c r="O226" s="53">
        <v>529198</v>
      </c>
      <c r="P226" s="53"/>
      <c r="Q226" s="53">
        <v>6555296</v>
      </c>
      <c r="R226" s="53"/>
      <c r="S226" s="53">
        <v>0</v>
      </c>
      <c r="T226" s="53"/>
      <c r="U226" s="53">
        <v>326729</v>
      </c>
      <c r="V226" s="53"/>
      <c r="W226" s="53">
        <f t="shared" si="40"/>
        <v>6882025</v>
      </c>
      <c r="X226" s="51"/>
      <c r="Y226" s="51"/>
      <c r="Z226" s="35" t="s">
        <v>256</v>
      </c>
      <c r="AA226" s="53"/>
      <c r="AB226" s="35" t="s">
        <v>43</v>
      </c>
      <c r="AD226" s="53">
        <v>400872</v>
      </c>
      <c r="AE226" s="53"/>
      <c r="AF226" s="53">
        <f>441195-247417</f>
        <v>193778</v>
      </c>
      <c r="AG226" s="53"/>
      <c r="AH226" s="53">
        <v>247417</v>
      </c>
      <c r="AI226" s="53"/>
      <c r="AJ226" s="45">
        <f t="shared" si="47"/>
        <v>-40323</v>
      </c>
      <c r="AK226" s="45"/>
      <c r="AL226" s="53">
        <v>-18729</v>
      </c>
      <c r="AM226" s="45"/>
      <c r="AN226" s="53">
        <v>0</v>
      </c>
      <c r="AO226" s="53"/>
      <c r="AP226" s="53">
        <v>0</v>
      </c>
      <c r="AQ226" s="53"/>
      <c r="AR226" s="53">
        <v>341496</v>
      </c>
      <c r="AS226" s="53"/>
      <c r="AT226" s="45">
        <f t="shared" si="46"/>
        <v>282444</v>
      </c>
      <c r="AU226" s="45"/>
      <c r="AV226" s="53">
        <v>0</v>
      </c>
      <c r="AW226" s="53"/>
      <c r="AX226" s="53">
        <v>0</v>
      </c>
      <c r="AY226" s="53"/>
      <c r="AZ226" s="53">
        <f t="shared" si="41"/>
        <v>224186</v>
      </c>
      <c r="BA226" s="51"/>
      <c r="BB226" s="35" t="s">
        <v>256</v>
      </c>
      <c r="BD226" s="35" t="s">
        <v>43</v>
      </c>
      <c r="BE226" s="53"/>
      <c r="BF226" s="53">
        <v>0</v>
      </c>
      <c r="BG226" s="53"/>
      <c r="BH226" s="53">
        <v>0</v>
      </c>
      <c r="BI226" s="53"/>
      <c r="BJ226" s="53">
        <f>413331+104029</f>
        <v>517360</v>
      </c>
      <c r="BK226" s="53"/>
      <c r="BL226" s="53">
        <f>1486+1215</f>
        <v>2701</v>
      </c>
      <c r="BM226" s="53"/>
      <c r="BN226" s="53">
        <f>SUM(BF226:BL226)</f>
        <v>520061</v>
      </c>
      <c r="BO226" s="54"/>
      <c r="BS226" s="55"/>
      <c r="BT226" s="55"/>
      <c r="BU226" s="84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</row>
    <row r="227" spans="1:95" s="35" customFormat="1">
      <c r="A227" s="35" t="s">
        <v>257</v>
      </c>
      <c r="B227" s="51"/>
      <c r="C227" s="35" t="s">
        <v>258</v>
      </c>
      <c r="D227" s="44"/>
      <c r="E227" s="53">
        <f t="shared" si="42"/>
        <v>655391</v>
      </c>
      <c r="F227" s="53"/>
      <c r="G227" s="53">
        <f>612422+16685132</f>
        <v>17297554</v>
      </c>
      <c r="H227" s="53"/>
      <c r="I227" s="53">
        <v>17952945</v>
      </c>
      <c r="J227" s="53"/>
      <c r="K227" s="53">
        <f t="shared" si="43"/>
        <v>116451</v>
      </c>
      <c r="L227" s="53"/>
      <c r="M227" s="53">
        <f>7902274+14809</f>
        <v>7917083</v>
      </c>
      <c r="N227" s="53"/>
      <c r="O227" s="53">
        <v>8033534</v>
      </c>
      <c r="P227" s="53"/>
      <c r="Q227" s="53">
        <v>3351413</v>
      </c>
      <c r="R227" s="53"/>
      <c r="S227" s="53">
        <v>0</v>
      </c>
      <c r="T227" s="53"/>
      <c r="U227" s="53">
        <v>6567998</v>
      </c>
      <c r="V227" s="53"/>
      <c r="W227" s="53">
        <f t="shared" si="40"/>
        <v>9919411</v>
      </c>
      <c r="Z227" s="35" t="s">
        <v>257</v>
      </c>
      <c r="AA227" s="53"/>
      <c r="AB227" s="35" t="s">
        <v>258</v>
      </c>
      <c r="AC227" s="51"/>
      <c r="AD227" s="53">
        <v>1930381</v>
      </c>
      <c r="AE227" s="53"/>
      <c r="AF227" s="53">
        <f>1260257-177551</f>
        <v>1082706</v>
      </c>
      <c r="AG227" s="53"/>
      <c r="AH227" s="53">
        <v>177551</v>
      </c>
      <c r="AI227" s="53"/>
      <c r="AJ227" s="45">
        <f t="shared" si="47"/>
        <v>670124</v>
      </c>
      <c r="AK227" s="45"/>
      <c r="AL227" s="53">
        <v>-14133</v>
      </c>
      <c r="AM227" s="45"/>
      <c r="AN227" s="53">
        <v>0</v>
      </c>
      <c r="AO227" s="53"/>
      <c r="AP227" s="53">
        <v>482161</v>
      </c>
      <c r="AQ227" s="53"/>
      <c r="AR227" s="53">
        <v>0</v>
      </c>
      <c r="AS227" s="53"/>
      <c r="AT227" s="45">
        <f t="shared" si="46"/>
        <v>173830</v>
      </c>
      <c r="AU227" s="45"/>
      <c r="AV227" s="53">
        <v>0</v>
      </c>
      <c r="AW227" s="53"/>
      <c r="AX227" s="53">
        <v>0</v>
      </c>
      <c r="AY227" s="53"/>
      <c r="AZ227" s="53">
        <f t="shared" si="41"/>
        <v>538940</v>
      </c>
      <c r="BA227" s="51"/>
      <c r="BB227" s="35" t="s">
        <v>257</v>
      </c>
      <c r="BD227" s="35" t="s">
        <v>258</v>
      </c>
      <c r="BE227" s="53"/>
      <c r="BF227" s="53">
        <v>0</v>
      </c>
      <c r="BG227" s="53"/>
      <c r="BH227" s="53">
        <v>0</v>
      </c>
      <c r="BI227" s="53"/>
      <c r="BJ227" s="53">
        <v>7902274</v>
      </c>
      <c r="BK227" s="53"/>
      <c r="BL227" s="53">
        <f>14809+23860</f>
        <v>38669</v>
      </c>
      <c r="BM227" s="53"/>
      <c r="BN227" s="53">
        <f>SUM(BF227:BL227)</f>
        <v>7940943</v>
      </c>
      <c r="BO227" s="54"/>
      <c r="BS227" s="55"/>
      <c r="BT227" s="55"/>
      <c r="BU227" s="84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</row>
    <row r="228" spans="1:95" s="35" customFormat="1">
      <c r="A228" s="35" t="s">
        <v>259</v>
      </c>
      <c r="C228" s="35" t="s">
        <v>260</v>
      </c>
      <c r="D228" s="44"/>
      <c r="E228" s="53">
        <f t="shared" si="42"/>
        <v>711716</v>
      </c>
      <c r="F228" s="53"/>
      <c r="G228" s="53">
        <v>10021134</v>
      </c>
      <c r="H228" s="53"/>
      <c r="I228" s="53">
        <v>10732850</v>
      </c>
      <c r="J228" s="53"/>
      <c r="K228" s="53">
        <f t="shared" si="43"/>
        <v>602988</v>
      </c>
      <c r="L228" s="53"/>
      <c r="M228" s="53">
        <v>7244120</v>
      </c>
      <c r="N228" s="53"/>
      <c r="O228" s="53">
        <v>7847108</v>
      </c>
      <c r="P228" s="53"/>
      <c r="Q228" s="53">
        <v>2410467</v>
      </c>
      <c r="R228" s="53"/>
      <c r="S228" s="53">
        <v>0</v>
      </c>
      <c r="T228" s="53"/>
      <c r="U228" s="53">
        <v>475275</v>
      </c>
      <c r="V228" s="53"/>
      <c r="W228" s="53">
        <f t="shared" si="40"/>
        <v>2885742</v>
      </c>
      <c r="X228" s="51"/>
      <c r="Y228" s="51"/>
      <c r="Z228" s="35" t="s">
        <v>259</v>
      </c>
      <c r="AA228" s="53"/>
      <c r="AB228" s="35" t="s">
        <v>260</v>
      </c>
      <c r="AD228" s="53">
        <v>1701579</v>
      </c>
      <c r="AE228" s="53"/>
      <c r="AF228" s="53">
        <f>1576779-239794</f>
        <v>1336985</v>
      </c>
      <c r="AG228" s="53"/>
      <c r="AH228" s="53">
        <v>239794</v>
      </c>
      <c r="AI228" s="53"/>
      <c r="AJ228" s="45">
        <f t="shared" si="47"/>
        <v>124800</v>
      </c>
      <c r="AK228" s="45"/>
      <c r="AL228" s="53">
        <v>-210750</v>
      </c>
      <c r="AM228" s="45"/>
      <c r="AN228" s="53">
        <v>0</v>
      </c>
      <c r="AO228" s="53"/>
      <c r="AP228" s="53">
        <v>0</v>
      </c>
      <c r="AQ228" s="53"/>
      <c r="AR228" s="53">
        <v>0</v>
      </c>
      <c r="AS228" s="53"/>
      <c r="AT228" s="45">
        <f t="shared" si="46"/>
        <v>-85950</v>
      </c>
      <c r="AU228" s="45"/>
      <c r="AV228" s="53">
        <v>0</v>
      </c>
      <c r="AW228" s="53"/>
      <c r="AX228" s="53">
        <v>0</v>
      </c>
      <c r="AY228" s="53"/>
      <c r="AZ228" s="53">
        <f t="shared" si="41"/>
        <v>108728</v>
      </c>
      <c r="BA228" s="51"/>
      <c r="BB228" s="35" t="s">
        <v>259</v>
      </c>
      <c r="BD228" s="35" t="s">
        <v>260</v>
      </c>
      <c r="BE228" s="53"/>
      <c r="BF228" s="53">
        <f>679288+105712</f>
        <v>785000</v>
      </c>
      <c r="BG228" s="53"/>
      <c r="BH228" s="53">
        <v>0</v>
      </c>
      <c r="BI228" s="53"/>
      <c r="BJ228" s="53">
        <f>6537003+288664</f>
        <v>6825667</v>
      </c>
      <c r="BK228" s="53"/>
      <c r="BL228" s="53">
        <f>27829+31373</f>
        <v>59202</v>
      </c>
      <c r="BM228" s="53"/>
      <c r="BN228" s="53">
        <f t="shared" si="45"/>
        <v>7669869</v>
      </c>
      <c r="BO228" s="54"/>
      <c r="BS228" s="55"/>
      <c r="BT228" s="55"/>
      <c r="BU228" s="84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</row>
    <row r="229" spans="1:95" s="35" customFormat="1">
      <c r="A229" s="35" t="s">
        <v>261</v>
      </c>
      <c r="B229" s="51"/>
      <c r="C229" s="35" t="s">
        <v>66</v>
      </c>
      <c r="D229" s="44"/>
      <c r="E229" s="53">
        <f t="shared" si="42"/>
        <v>1547657</v>
      </c>
      <c r="F229" s="53"/>
      <c r="G229" s="53">
        <v>7674604</v>
      </c>
      <c r="H229" s="53"/>
      <c r="I229" s="53">
        <v>9222261</v>
      </c>
      <c r="J229" s="53"/>
      <c r="K229" s="53">
        <f t="shared" si="43"/>
        <v>236068</v>
      </c>
      <c r="L229" s="53"/>
      <c r="M229" s="53">
        <v>26977</v>
      </c>
      <c r="N229" s="53"/>
      <c r="O229" s="53">
        <v>263045</v>
      </c>
      <c r="P229" s="53"/>
      <c r="Q229" s="53">
        <v>7515616</v>
      </c>
      <c r="R229" s="53"/>
      <c r="S229" s="53">
        <v>0</v>
      </c>
      <c r="T229" s="53"/>
      <c r="U229" s="53">
        <v>1443600</v>
      </c>
      <c r="V229" s="53"/>
      <c r="W229" s="53">
        <f t="shared" si="40"/>
        <v>8959216</v>
      </c>
      <c r="X229" s="51"/>
      <c r="Y229" s="51"/>
      <c r="Z229" s="35" t="s">
        <v>261</v>
      </c>
      <c r="AA229" s="53"/>
      <c r="AB229" s="35" t="s">
        <v>66</v>
      </c>
      <c r="AC229" s="51"/>
      <c r="AD229" s="53">
        <v>2230995</v>
      </c>
      <c r="AE229" s="53"/>
      <c r="AF229" s="53">
        <f>1912917-227418</f>
        <v>1685499</v>
      </c>
      <c r="AG229" s="53"/>
      <c r="AH229" s="53">
        <v>227418</v>
      </c>
      <c r="AI229" s="53"/>
      <c r="AJ229" s="45">
        <f t="shared" si="47"/>
        <v>318078</v>
      </c>
      <c r="AK229" s="45"/>
      <c r="AL229" s="53">
        <v>-56516</v>
      </c>
      <c r="AM229" s="45"/>
      <c r="AN229" s="53">
        <v>0</v>
      </c>
      <c r="AO229" s="53"/>
      <c r="AP229" s="53">
        <v>0</v>
      </c>
      <c r="AQ229" s="53"/>
      <c r="AR229" s="53">
        <v>3967</v>
      </c>
      <c r="AS229" s="53"/>
      <c r="AT229" s="45">
        <f t="shared" si="46"/>
        <v>265529</v>
      </c>
      <c r="AU229" s="45"/>
      <c r="AV229" s="53">
        <v>0</v>
      </c>
      <c r="AW229" s="53"/>
      <c r="AX229" s="53">
        <v>0</v>
      </c>
      <c r="AY229" s="53"/>
      <c r="AZ229" s="53">
        <f t="shared" si="41"/>
        <v>1311589</v>
      </c>
      <c r="BA229" s="51"/>
      <c r="BB229" s="35" t="s">
        <v>261</v>
      </c>
      <c r="BD229" s="35" t="s">
        <v>66</v>
      </c>
      <c r="BE229" s="53"/>
      <c r="BF229" s="53">
        <v>0</v>
      </c>
      <c r="BG229" s="53"/>
      <c r="BH229" s="53">
        <v>0</v>
      </c>
      <c r="BI229" s="53"/>
      <c r="BJ229" s="53">
        <v>0</v>
      </c>
      <c r="BK229" s="53"/>
      <c r="BL229" s="53">
        <f>26997+34367</f>
        <v>61364</v>
      </c>
      <c r="BM229" s="53"/>
      <c r="BN229" s="53">
        <f t="shared" si="45"/>
        <v>61364</v>
      </c>
      <c r="BO229" s="54"/>
      <c r="BS229" s="55"/>
      <c r="BT229" s="55"/>
      <c r="BU229" s="84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</row>
    <row r="230" spans="1:95" s="126" customFormat="1" hidden="1">
      <c r="A230" s="126" t="s">
        <v>262</v>
      </c>
      <c r="C230" s="126" t="s">
        <v>132</v>
      </c>
      <c r="D230" s="121"/>
      <c r="E230" s="137">
        <f t="shared" si="42"/>
        <v>0</v>
      </c>
      <c r="F230" s="137"/>
      <c r="G230" s="137">
        <v>0</v>
      </c>
      <c r="H230" s="137"/>
      <c r="I230" s="137">
        <v>0</v>
      </c>
      <c r="J230" s="137"/>
      <c r="K230" s="137">
        <f t="shared" si="43"/>
        <v>0</v>
      </c>
      <c r="L230" s="137"/>
      <c r="M230" s="137">
        <v>0</v>
      </c>
      <c r="N230" s="137"/>
      <c r="O230" s="137">
        <v>0</v>
      </c>
      <c r="P230" s="137"/>
      <c r="Q230" s="137">
        <v>0</v>
      </c>
      <c r="R230" s="137"/>
      <c r="S230" s="137">
        <v>0</v>
      </c>
      <c r="T230" s="137"/>
      <c r="U230" s="137">
        <v>0</v>
      </c>
      <c r="V230" s="137"/>
      <c r="W230" s="137">
        <f t="shared" ref="W230:W231" si="48">SUM(Q230:U230)</f>
        <v>0</v>
      </c>
      <c r="X230" s="124"/>
      <c r="Y230" s="125"/>
      <c r="Z230" s="126" t="s">
        <v>262</v>
      </c>
      <c r="AA230" s="137"/>
      <c r="AB230" s="126" t="s">
        <v>132</v>
      </c>
      <c r="AD230" s="137">
        <v>0</v>
      </c>
      <c r="AE230" s="137"/>
      <c r="AF230" s="137">
        <v>0</v>
      </c>
      <c r="AG230" s="137"/>
      <c r="AH230" s="137">
        <v>0</v>
      </c>
      <c r="AI230" s="137"/>
      <c r="AJ230" s="127">
        <f t="shared" si="47"/>
        <v>0</v>
      </c>
      <c r="AK230" s="127"/>
      <c r="AL230" s="137">
        <v>0</v>
      </c>
      <c r="AM230" s="127"/>
      <c r="AN230" s="137">
        <v>0</v>
      </c>
      <c r="AO230" s="137"/>
      <c r="AP230" s="137">
        <v>0</v>
      </c>
      <c r="AQ230" s="137"/>
      <c r="AR230" s="137">
        <v>0</v>
      </c>
      <c r="AS230" s="137"/>
      <c r="AT230" s="127">
        <f t="shared" si="46"/>
        <v>0</v>
      </c>
      <c r="AU230" s="127"/>
      <c r="AV230" s="137">
        <v>0</v>
      </c>
      <c r="AW230" s="137"/>
      <c r="AX230" s="137">
        <v>0</v>
      </c>
      <c r="AY230" s="137"/>
      <c r="AZ230" s="137">
        <f t="shared" ref="AZ230:AZ231" si="49">E230-K230</f>
        <v>0</v>
      </c>
      <c r="BA230" s="125"/>
      <c r="BB230" s="126" t="s">
        <v>262</v>
      </c>
      <c r="BD230" s="126" t="s">
        <v>132</v>
      </c>
      <c r="BE230" s="137"/>
      <c r="BF230" s="137">
        <v>0</v>
      </c>
      <c r="BG230" s="137"/>
      <c r="BH230" s="137">
        <v>0</v>
      </c>
      <c r="BI230" s="137"/>
      <c r="BJ230" s="137">
        <v>0</v>
      </c>
      <c r="BK230" s="137"/>
      <c r="BL230" s="137">
        <v>0</v>
      </c>
      <c r="BM230" s="137"/>
      <c r="BN230" s="137">
        <f t="shared" ref="BN230:BN231" si="50">SUM(BF230:BL230)</f>
        <v>0</v>
      </c>
      <c r="BO230" s="139"/>
      <c r="BS230" s="140"/>
      <c r="BT230" s="140"/>
      <c r="BU230" s="141"/>
      <c r="BV230" s="140"/>
      <c r="BW230" s="140"/>
      <c r="BX230" s="140"/>
      <c r="BY230" s="140"/>
      <c r="BZ230" s="140"/>
      <c r="CA230" s="140"/>
      <c r="CB230" s="140"/>
      <c r="CC230" s="140"/>
      <c r="CD230" s="140"/>
      <c r="CE230" s="140"/>
      <c r="CF230" s="140"/>
      <c r="CG230" s="140"/>
      <c r="CH230" s="140"/>
      <c r="CI230" s="140"/>
      <c r="CJ230" s="140"/>
      <c r="CK230" s="140"/>
      <c r="CL230" s="140"/>
      <c r="CM230" s="140"/>
      <c r="CN230" s="140"/>
      <c r="CO230" s="140"/>
      <c r="CP230" s="140"/>
      <c r="CQ230" s="140"/>
    </row>
    <row r="231" spans="1:95" s="35" customFormat="1">
      <c r="A231" s="35" t="s">
        <v>263</v>
      </c>
      <c r="B231" s="51"/>
      <c r="C231" s="35" t="s">
        <v>53</v>
      </c>
      <c r="D231" s="44"/>
      <c r="E231" s="53">
        <f t="shared" si="42"/>
        <v>11583644</v>
      </c>
      <c r="F231" s="53"/>
      <c r="G231" s="53">
        <v>16459244</v>
      </c>
      <c r="H231" s="53"/>
      <c r="I231" s="53">
        <v>28042888</v>
      </c>
      <c r="J231" s="53"/>
      <c r="K231" s="53">
        <f t="shared" si="43"/>
        <v>3327746</v>
      </c>
      <c r="L231" s="53"/>
      <c r="M231" s="53">
        <v>10805121</v>
      </c>
      <c r="N231" s="53"/>
      <c r="O231" s="53">
        <v>14132867</v>
      </c>
      <c r="P231" s="53"/>
      <c r="Q231" s="53">
        <v>5379080</v>
      </c>
      <c r="R231" s="53"/>
      <c r="S231" s="53">
        <v>0</v>
      </c>
      <c r="T231" s="53"/>
      <c r="U231" s="53">
        <v>8530941</v>
      </c>
      <c r="V231" s="53"/>
      <c r="W231" s="53">
        <f t="shared" si="48"/>
        <v>13910021</v>
      </c>
      <c r="X231" s="51"/>
      <c r="Y231" s="51"/>
      <c r="Z231" s="35" t="s">
        <v>263</v>
      </c>
      <c r="AA231" s="53"/>
      <c r="AB231" s="35" t="s">
        <v>53</v>
      </c>
      <c r="AC231" s="51"/>
      <c r="AD231" s="53">
        <v>3684369</v>
      </c>
      <c r="AE231" s="53"/>
      <c r="AF231" s="53">
        <f>4271690-362055</f>
        <v>3909635</v>
      </c>
      <c r="AG231" s="53"/>
      <c r="AH231" s="53">
        <v>362055</v>
      </c>
      <c r="AI231" s="53"/>
      <c r="AJ231" s="45">
        <f t="shared" si="47"/>
        <v>-587321</v>
      </c>
      <c r="AK231" s="45"/>
      <c r="AL231" s="53">
        <v>-90633</v>
      </c>
      <c r="AM231" s="45"/>
      <c r="AN231" s="53">
        <v>0</v>
      </c>
      <c r="AO231" s="53"/>
      <c r="AP231" s="53">
        <v>0</v>
      </c>
      <c r="AQ231" s="53"/>
      <c r="AR231" s="53">
        <v>0</v>
      </c>
      <c r="AS231" s="53"/>
      <c r="AT231" s="45">
        <f t="shared" si="46"/>
        <v>-677954</v>
      </c>
      <c r="AU231" s="45"/>
      <c r="AV231" s="53">
        <v>0</v>
      </c>
      <c r="AW231" s="53"/>
      <c r="AX231" s="53">
        <v>0</v>
      </c>
      <c r="AY231" s="53"/>
      <c r="AZ231" s="53">
        <f t="shared" si="49"/>
        <v>8255898</v>
      </c>
      <c r="BA231" s="51"/>
      <c r="BB231" s="35" t="s">
        <v>263</v>
      </c>
      <c r="BD231" s="35" t="s">
        <v>53</v>
      </c>
      <c r="BE231" s="53"/>
      <c r="BF231" s="53">
        <f>10465000+390000</f>
        <v>10855000</v>
      </c>
      <c r="BG231" s="53"/>
      <c r="BH231" s="53">
        <v>0</v>
      </c>
      <c r="BI231" s="53"/>
      <c r="BJ231" s="53">
        <v>0</v>
      </c>
      <c r="BK231" s="53"/>
      <c r="BL231" s="53">
        <f>340121+58049</f>
        <v>398170</v>
      </c>
      <c r="BM231" s="53"/>
      <c r="BN231" s="53">
        <f t="shared" si="50"/>
        <v>11253170</v>
      </c>
      <c r="BO231" s="54"/>
      <c r="BS231" s="55"/>
      <c r="BT231" s="55"/>
      <c r="BU231" s="84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</row>
    <row r="232" spans="1:95" s="35" customFormat="1">
      <c r="A232" s="35" t="s">
        <v>264</v>
      </c>
      <c r="C232" s="35" t="s">
        <v>239</v>
      </c>
      <c r="D232" s="44"/>
      <c r="E232" s="53">
        <f t="shared" si="42"/>
        <v>-688198</v>
      </c>
      <c r="F232" s="53"/>
      <c r="G232" s="53">
        <v>15308078</v>
      </c>
      <c r="H232" s="53"/>
      <c r="I232" s="53">
        <v>14619880</v>
      </c>
      <c r="J232" s="53"/>
      <c r="K232" s="53">
        <f t="shared" si="43"/>
        <v>184015</v>
      </c>
      <c r="L232" s="53"/>
      <c r="M232" s="53">
        <v>8800324</v>
      </c>
      <c r="N232" s="53"/>
      <c r="O232" s="53">
        <v>8984339</v>
      </c>
      <c r="P232" s="53"/>
      <c r="Q232" s="53">
        <v>6567523</v>
      </c>
      <c r="R232" s="53"/>
      <c r="S232" s="53">
        <v>0</v>
      </c>
      <c r="T232" s="53"/>
      <c r="U232" s="53">
        <v>2068018</v>
      </c>
      <c r="V232" s="53"/>
      <c r="W232" s="53">
        <f t="shared" si="40"/>
        <v>8635541</v>
      </c>
      <c r="X232" s="51"/>
      <c r="Y232" s="51"/>
      <c r="Z232" s="35" t="s">
        <v>264</v>
      </c>
      <c r="AA232" s="53"/>
      <c r="AB232" s="35" t="s">
        <v>239</v>
      </c>
      <c r="AD232" s="53">
        <v>1621188</v>
      </c>
      <c r="AE232" s="53"/>
      <c r="AF232" s="53">
        <f>911408-190649</f>
        <v>720759</v>
      </c>
      <c r="AG232" s="53"/>
      <c r="AH232" s="53">
        <v>190649</v>
      </c>
      <c r="AI232" s="53"/>
      <c r="AJ232" s="45">
        <f t="shared" si="47"/>
        <v>709780</v>
      </c>
      <c r="AK232" s="45"/>
      <c r="AL232" s="53">
        <v>-7338</v>
      </c>
      <c r="AM232" s="45"/>
      <c r="AN232" s="53">
        <v>0</v>
      </c>
      <c r="AO232" s="53"/>
      <c r="AP232" s="53">
        <v>33132</v>
      </c>
      <c r="AQ232" s="53"/>
      <c r="AR232" s="53">
        <v>166157</v>
      </c>
      <c r="AS232" s="53"/>
      <c r="AT232" s="45">
        <f t="shared" si="46"/>
        <v>835467</v>
      </c>
      <c r="AU232" s="45"/>
      <c r="AV232" s="53">
        <v>0</v>
      </c>
      <c r="AW232" s="53"/>
      <c r="AX232" s="53">
        <v>0</v>
      </c>
      <c r="AY232" s="53"/>
      <c r="AZ232" s="53">
        <f t="shared" si="41"/>
        <v>-872213</v>
      </c>
      <c r="BA232" s="51"/>
      <c r="BB232" s="35" t="s">
        <v>264</v>
      </c>
      <c r="BD232" s="35" t="s">
        <v>239</v>
      </c>
      <c r="BE232" s="53"/>
      <c r="BF232" s="53">
        <v>0</v>
      </c>
      <c r="BG232" s="53"/>
      <c r="BH232" s="53">
        <v>0</v>
      </c>
      <c r="BI232" s="53"/>
      <c r="BJ232" s="53">
        <v>8737407</v>
      </c>
      <c r="BK232" s="53"/>
      <c r="BL232" s="53">
        <f>62917+16532</f>
        <v>79449</v>
      </c>
      <c r="BM232" s="53"/>
      <c r="BN232" s="53">
        <f t="shared" si="45"/>
        <v>8816856</v>
      </c>
      <c r="BO232" s="54"/>
      <c r="BS232" s="55"/>
      <c r="BT232" s="55"/>
      <c r="BU232" s="84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</row>
    <row r="233" spans="1:95" s="35" customFormat="1" ht="12.75" customHeight="1">
      <c r="A233" s="35" t="s">
        <v>111</v>
      </c>
      <c r="B233" s="51"/>
      <c r="C233" s="44" t="s">
        <v>80</v>
      </c>
      <c r="D233" s="44"/>
      <c r="E233" s="53">
        <f t="shared" si="42"/>
        <v>-31359992</v>
      </c>
      <c r="F233" s="53"/>
      <c r="G233" s="53">
        <v>35286605</v>
      </c>
      <c r="H233" s="53"/>
      <c r="I233" s="53">
        <v>3926613</v>
      </c>
      <c r="J233" s="53"/>
      <c r="K233" s="53">
        <f t="shared" si="43"/>
        <v>1934326</v>
      </c>
      <c r="L233" s="53"/>
      <c r="M233" s="53">
        <v>19606221</v>
      </c>
      <c r="N233" s="53"/>
      <c r="O233" s="53">
        <v>21540547</v>
      </c>
      <c r="P233" s="53"/>
      <c r="Q233" s="53">
        <v>13888148</v>
      </c>
      <c r="R233" s="53"/>
      <c r="S233" s="53">
        <v>963846</v>
      </c>
      <c r="T233" s="53"/>
      <c r="U233" s="53">
        <v>2825072</v>
      </c>
      <c r="V233" s="53"/>
      <c r="W233" s="53">
        <f t="shared" si="40"/>
        <v>17677066</v>
      </c>
      <c r="X233" s="51"/>
      <c r="Y233" s="51"/>
      <c r="Z233" s="35" t="s">
        <v>111</v>
      </c>
      <c r="AA233" s="53"/>
      <c r="AB233" s="44" t="s">
        <v>80</v>
      </c>
      <c r="AC233" s="51"/>
      <c r="AD233" s="53">
        <v>10185894</v>
      </c>
      <c r="AE233" s="53"/>
      <c r="AF233" s="53">
        <f>11183083-2138108</f>
        <v>9044975</v>
      </c>
      <c r="AG233" s="53"/>
      <c r="AH233" s="53">
        <v>2138108</v>
      </c>
      <c r="AI233" s="53"/>
      <c r="AJ233" s="45">
        <f t="shared" si="47"/>
        <v>-997189</v>
      </c>
      <c r="AK233" s="45"/>
      <c r="AL233" s="53">
        <v>-931011</v>
      </c>
      <c r="AM233" s="45"/>
      <c r="AN233" s="53">
        <v>0</v>
      </c>
      <c r="AO233" s="53"/>
      <c r="AP233" s="53">
        <v>0</v>
      </c>
      <c r="AQ233" s="53"/>
      <c r="AR233" s="53">
        <v>0</v>
      </c>
      <c r="AS233" s="53"/>
      <c r="AT233" s="45">
        <f t="shared" si="46"/>
        <v>-1928200</v>
      </c>
      <c r="AU233" s="45"/>
      <c r="AV233" s="53">
        <v>0</v>
      </c>
      <c r="AW233" s="53"/>
      <c r="AX233" s="53">
        <v>0</v>
      </c>
      <c r="AY233" s="53"/>
      <c r="AZ233" s="53">
        <f t="shared" si="41"/>
        <v>-33294318</v>
      </c>
      <c r="BA233" s="51"/>
      <c r="BB233" s="35" t="s">
        <v>111</v>
      </c>
      <c r="BD233" s="44" t="s">
        <v>80</v>
      </c>
      <c r="BE233" s="53"/>
      <c r="BF233" s="53">
        <v>0</v>
      </c>
      <c r="BG233" s="53"/>
      <c r="BH233" s="53">
        <f>7268145+480000</f>
        <v>7748145</v>
      </c>
      <c r="BI233" s="53"/>
      <c r="BJ233" s="53">
        <f>673181+11895302</f>
        <v>12568483</v>
      </c>
      <c r="BK233" s="53"/>
      <c r="BL233" s="53">
        <f>442774+303697</f>
        <v>746471</v>
      </c>
      <c r="BM233" s="53"/>
      <c r="BN233" s="53">
        <f t="shared" si="45"/>
        <v>21063099</v>
      </c>
      <c r="BO233" s="54"/>
      <c r="BS233" s="55"/>
      <c r="BT233" s="55"/>
      <c r="BU233" s="84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</row>
    <row r="234" spans="1:95" s="126" customFormat="1" ht="12.75" hidden="1" customHeight="1">
      <c r="A234" s="126" t="s">
        <v>265</v>
      </c>
      <c r="B234" s="124"/>
      <c r="C234" s="121" t="s">
        <v>27</v>
      </c>
      <c r="D234" s="121"/>
      <c r="E234" s="53">
        <f t="shared" si="42"/>
        <v>0</v>
      </c>
      <c r="F234" s="53"/>
      <c r="G234" s="53">
        <v>0</v>
      </c>
      <c r="H234" s="53"/>
      <c r="I234" s="53">
        <v>0</v>
      </c>
      <c r="J234" s="53"/>
      <c r="K234" s="53">
        <f t="shared" si="43"/>
        <v>0</v>
      </c>
      <c r="L234" s="53"/>
      <c r="M234" s="53">
        <v>0</v>
      </c>
      <c r="N234" s="53"/>
      <c r="O234" s="53">
        <v>0</v>
      </c>
      <c r="P234" s="53"/>
      <c r="Q234" s="53">
        <v>0</v>
      </c>
      <c r="R234" s="53"/>
      <c r="S234" s="53">
        <v>0</v>
      </c>
      <c r="T234" s="53"/>
      <c r="U234" s="53">
        <v>0</v>
      </c>
      <c r="V234" s="53"/>
      <c r="W234" s="53">
        <f t="shared" si="40"/>
        <v>0</v>
      </c>
      <c r="X234" s="124"/>
      <c r="Y234" s="124"/>
      <c r="Z234" s="126" t="s">
        <v>265</v>
      </c>
      <c r="AA234" s="137"/>
      <c r="AB234" s="121" t="s">
        <v>27</v>
      </c>
      <c r="AC234" s="124"/>
      <c r="AD234" s="53">
        <v>0</v>
      </c>
      <c r="AE234" s="53"/>
      <c r="AF234" s="53">
        <v>0</v>
      </c>
      <c r="AG234" s="53"/>
      <c r="AH234" s="53">
        <v>0</v>
      </c>
      <c r="AI234" s="53"/>
      <c r="AJ234" s="45">
        <f t="shared" si="47"/>
        <v>0</v>
      </c>
      <c r="AK234" s="45"/>
      <c r="AL234" s="53">
        <v>0</v>
      </c>
      <c r="AM234" s="45"/>
      <c r="AN234" s="53">
        <v>0</v>
      </c>
      <c r="AO234" s="53"/>
      <c r="AP234" s="53">
        <v>0</v>
      </c>
      <c r="AQ234" s="53"/>
      <c r="AR234" s="53">
        <v>0</v>
      </c>
      <c r="AS234" s="53"/>
      <c r="AT234" s="45">
        <f t="shared" si="46"/>
        <v>0</v>
      </c>
      <c r="AU234" s="45"/>
      <c r="AV234" s="53">
        <v>0</v>
      </c>
      <c r="AW234" s="53"/>
      <c r="AX234" s="53">
        <v>0</v>
      </c>
      <c r="AY234" s="53"/>
      <c r="AZ234" s="53">
        <f t="shared" si="41"/>
        <v>0</v>
      </c>
      <c r="BA234" s="124"/>
      <c r="BB234" s="126" t="s">
        <v>265</v>
      </c>
      <c r="BD234" s="121" t="s">
        <v>27</v>
      </c>
      <c r="BE234" s="137"/>
      <c r="BF234" s="53">
        <v>0</v>
      </c>
      <c r="BG234" s="53"/>
      <c r="BH234" s="53">
        <v>0</v>
      </c>
      <c r="BI234" s="53"/>
      <c r="BJ234" s="53">
        <v>0</v>
      </c>
      <c r="BK234" s="53"/>
      <c r="BL234" s="53">
        <v>0</v>
      </c>
      <c r="BM234" s="137"/>
      <c r="BN234" s="137">
        <f t="shared" si="45"/>
        <v>0</v>
      </c>
      <c r="BO234" s="139"/>
      <c r="BS234" s="140"/>
      <c r="BT234" s="140"/>
      <c r="BU234" s="141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</row>
    <row r="235" spans="1:95" s="35" customFormat="1" ht="12.75" customHeight="1">
      <c r="A235" s="35" t="s">
        <v>40</v>
      </c>
      <c r="B235" s="51"/>
      <c r="C235" s="47" t="s">
        <v>451</v>
      </c>
      <c r="D235" s="44"/>
      <c r="E235" s="53">
        <f t="shared" si="42"/>
        <v>1008778</v>
      </c>
      <c r="F235" s="53"/>
      <c r="G235" s="53">
        <v>16025499</v>
      </c>
      <c r="H235" s="53"/>
      <c r="I235" s="53">
        <v>17034277</v>
      </c>
      <c r="J235" s="53"/>
      <c r="K235" s="53">
        <f t="shared" si="43"/>
        <v>985916</v>
      </c>
      <c r="L235" s="53"/>
      <c r="M235" s="53">
        <v>7763087</v>
      </c>
      <c r="N235" s="53"/>
      <c r="O235" s="53">
        <v>8749003</v>
      </c>
      <c r="P235" s="53"/>
      <c r="Q235" s="53">
        <v>7315591</v>
      </c>
      <c r="R235" s="53"/>
      <c r="S235" s="53">
        <v>0</v>
      </c>
      <c r="T235" s="53"/>
      <c r="U235" s="53">
        <v>969683</v>
      </c>
      <c r="V235" s="53"/>
      <c r="W235" s="53">
        <f t="shared" si="40"/>
        <v>8285274</v>
      </c>
      <c r="Z235" s="35" t="s">
        <v>40</v>
      </c>
      <c r="AA235" s="53"/>
      <c r="AB235" s="47" t="s">
        <v>451</v>
      </c>
      <c r="AC235" s="51"/>
      <c r="AD235" s="53">
        <v>3102214</v>
      </c>
      <c r="AE235" s="53"/>
      <c r="AF235" s="53">
        <f>2296590-259574</f>
        <v>2037016</v>
      </c>
      <c r="AG235" s="53"/>
      <c r="AH235" s="53">
        <v>259574</v>
      </c>
      <c r="AI235" s="53"/>
      <c r="AJ235" s="45">
        <f t="shared" si="47"/>
        <v>805624</v>
      </c>
      <c r="AK235" s="45"/>
      <c r="AL235" s="53">
        <v>255900</v>
      </c>
      <c r="AM235" s="45"/>
      <c r="AN235" s="53">
        <v>0</v>
      </c>
      <c r="AO235" s="53"/>
      <c r="AP235" s="53">
        <v>0</v>
      </c>
      <c r="AQ235" s="53"/>
      <c r="AR235" s="53">
        <v>0</v>
      </c>
      <c r="AS235" s="53"/>
      <c r="AT235" s="45">
        <f t="shared" si="46"/>
        <v>1061524</v>
      </c>
      <c r="AU235" s="45"/>
      <c r="AV235" s="53">
        <v>0</v>
      </c>
      <c r="AW235" s="53"/>
      <c r="AX235" s="53">
        <v>0</v>
      </c>
      <c r="AY235" s="53"/>
      <c r="AZ235" s="53">
        <f t="shared" si="41"/>
        <v>22862</v>
      </c>
      <c r="BA235" s="51"/>
      <c r="BB235" s="35" t="s">
        <v>40</v>
      </c>
      <c r="BD235" s="47" t="s">
        <v>451</v>
      </c>
      <c r="BE235" s="53"/>
      <c r="BF235" s="53">
        <v>0</v>
      </c>
      <c r="BG235" s="53"/>
      <c r="BH235" s="53">
        <f>5505000+585000</f>
        <v>6090000</v>
      </c>
      <c r="BI235" s="53"/>
      <c r="BJ235" s="53">
        <f>2148957+178932</f>
        <v>2327889</v>
      </c>
      <c r="BK235" s="53"/>
      <c r="BL235" s="53">
        <f>38812+109130</f>
        <v>147942</v>
      </c>
      <c r="BM235" s="53"/>
      <c r="BN235" s="53">
        <f t="shared" si="45"/>
        <v>8565831</v>
      </c>
      <c r="BO235" s="54"/>
      <c r="BS235" s="55"/>
      <c r="BT235" s="55"/>
      <c r="BU235" s="84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</row>
    <row r="236" spans="1:95" s="35" customFormat="1" ht="12.75" customHeight="1">
      <c r="A236" s="35" t="s">
        <v>266</v>
      </c>
      <c r="B236" s="51"/>
      <c r="C236" s="35" t="s">
        <v>267</v>
      </c>
      <c r="D236" s="44"/>
      <c r="E236" s="53">
        <f t="shared" si="42"/>
        <v>1043363</v>
      </c>
      <c r="F236" s="53"/>
      <c r="G236" s="53">
        <v>7287688</v>
      </c>
      <c r="H236" s="53"/>
      <c r="I236" s="53">
        <v>8331051</v>
      </c>
      <c r="J236" s="53"/>
      <c r="K236" s="53">
        <f t="shared" si="43"/>
        <v>1975885</v>
      </c>
      <c r="L236" s="53"/>
      <c r="M236" s="53">
        <v>223971</v>
      </c>
      <c r="N236" s="53"/>
      <c r="O236" s="53">
        <v>2199856</v>
      </c>
      <c r="P236" s="53"/>
      <c r="Q236" s="53">
        <v>5212029</v>
      </c>
      <c r="R236" s="53"/>
      <c r="S236" s="53">
        <v>0</v>
      </c>
      <c r="T236" s="53"/>
      <c r="U236" s="53">
        <v>919166</v>
      </c>
      <c r="V236" s="53"/>
      <c r="W236" s="53">
        <f t="shared" si="40"/>
        <v>6131195</v>
      </c>
      <c r="X236" s="51"/>
      <c r="Y236" s="51"/>
      <c r="Z236" s="35" t="s">
        <v>266</v>
      </c>
      <c r="AA236" s="53"/>
      <c r="AB236" s="35" t="s">
        <v>267</v>
      </c>
      <c r="AC236" s="51"/>
      <c r="AD236" s="53">
        <v>1474920</v>
      </c>
      <c r="AE236" s="53"/>
      <c r="AF236" s="53">
        <f>1237106-195909</f>
        <v>1041197</v>
      </c>
      <c r="AG236" s="53"/>
      <c r="AH236" s="53">
        <v>195909</v>
      </c>
      <c r="AI236" s="53"/>
      <c r="AJ236" s="45">
        <f t="shared" si="47"/>
        <v>237814</v>
      </c>
      <c r="AK236" s="45"/>
      <c r="AL236" s="53">
        <v>-78808</v>
      </c>
      <c r="AM236" s="45"/>
      <c r="AN236" s="53">
        <v>0</v>
      </c>
      <c r="AO236" s="53"/>
      <c r="AP236" s="53">
        <v>0</v>
      </c>
      <c r="AQ236" s="53"/>
      <c r="AR236" s="53">
        <v>0</v>
      </c>
      <c r="AS236" s="53"/>
      <c r="AT236" s="45">
        <f t="shared" si="46"/>
        <v>159006</v>
      </c>
      <c r="AU236" s="45"/>
      <c r="AV236" s="53">
        <v>0</v>
      </c>
      <c r="AW236" s="53"/>
      <c r="AX236" s="53">
        <v>0</v>
      </c>
      <c r="AY236" s="53"/>
      <c r="AZ236" s="53">
        <f t="shared" si="41"/>
        <v>-932522</v>
      </c>
      <c r="BA236" s="51"/>
      <c r="BB236" s="35" t="s">
        <v>266</v>
      </c>
      <c r="BD236" s="35" t="s">
        <v>267</v>
      </c>
      <c r="BE236" s="53"/>
      <c r="BF236" s="53">
        <v>0</v>
      </c>
      <c r="BG236" s="53"/>
      <c r="BH236" s="53">
        <v>0</v>
      </c>
      <c r="BI236" s="53"/>
      <c r="BJ236" s="53">
        <f>211583+14076</f>
        <v>225659</v>
      </c>
      <c r="BK236" s="53"/>
      <c r="BL236" s="53">
        <f>12388+36870</f>
        <v>49258</v>
      </c>
      <c r="BM236" s="53"/>
      <c r="BN236" s="53">
        <f t="shared" si="45"/>
        <v>274917</v>
      </c>
      <c r="BO236" s="54"/>
      <c r="BS236" s="55"/>
      <c r="BT236" s="55"/>
      <c r="BU236" s="84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</row>
    <row r="237" spans="1:95" s="35" customFormat="1" ht="12.75" customHeight="1">
      <c r="B237" s="51"/>
      <c r="D237" s="44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 t="s">
        <v>484</v>
      </c>
      <c r="X237" s="51"/>
      <c r="Y237" s="51"/>
      <c r="AA237" s="53"/>
      <c r="AC237" s="51"/>
      <c r="AD237" s="53"/>
      <c r="AE237" s="53"/>
      <c r="AF237" s="53"/>
      <c r="AG237" s="53"/>
      <c r="AH237" s="53"/>
      <c r="AI237" s="53"/>
      <c r="AJ237" s="45"/>
      <c r="AK237" s="45"/>
      <c r="AL237" s="53"/>
      <c r="AM237" s="45"/>
      <c r="AN237" s="53"/>
      <c r="AO237" s="53"/>
      <c r="AP237" s="53"/>
      <c r="AQ237" s="53"/>
      <c r="AR237" s="53"/>
      <c r="AS237" s="53"/>
      <c r="AT237" s="45"/>
      <c r="AU237" s="45"/>
      <c r="AV237" s="53"/>
      <c r="AW237" s="53"/>
      <c r="AX237" s="53"/>
      <c r="AY237" s="53"/>
      <c r="AZ237" s="53" t="s">
        <v>484</v>
      </c>
      <c r="BA237" s="51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 t="s">
        <v>484</v>
      </c>
      <c r="BO237" s="54"/>
      <c r="BS237" s="55"/>
      <c r="BT237" s="55"/>
      <c r="BU237" s="84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</row>
    <row r="238" spans="1:95" s="64" customFormat="1" ht="12.75" customHeight="1">
      <c r="A238" s="64" t="s">
        <v>268</v>
      </c>
      <c r="B238" s="66"/>
      <c r="C238" s="64" t="s">
        <v>269</v>
      </c>
      <c r="D238" s="46"/>
      <c r="E238" s="79">
        <f t="shared" si="42"/>
        <v>225700</v>
      </c>
      <c r="F238" s="79"/>
      <c r="G238" s="79">
        <v>4399377</v>
      </c>
      <c r="H238" s="79"/>
      <c r="I238" s="79">
        <v>4625077</v>
      </c>
      <c r="J238" s="79"/>
      <c r="K238" s="79">
        <f t="shared" si="43"/>
        <v>39906</v>
      </c>
      <c r="L238" s="79"/>
      <c r="M238" s="79">
        <v>394747</v>
      </c>
      <c r="N238" s="79"/>
      <c r="O238" s="79">
        <v>434653</v>
      </c>
      <c r="P238" s="79"/>
      <c r="Q238" s="79">
        <v>3998251</v>
      </c>
      <c r="R238" s="79"/>
      <c r="S238" s="79">
        <v>0</v>
      </c>
      <c r="T238" s="79"/>
      <c r="U238" s="79">
        <v>192173</v>
      </c>
      <c r="V238" s="79"/>
      <c r="W238" s="79">
        <f t="shared" si="40"/>
        <v>4190424</v>
      </c>
      <c r="X238" s="66"/>
      <c r="Y238" s="66"/>
      <c r="Z238" s="64" t="s">
        <v>268</v>
      </c>
      <c r="AA238" s="79"/>
      <c r="AB238" s="64" t="s">
        <v>269</v>
      </c>
      <c r="AC238" s="66"/>
      <c r="AD238" s="79">
        <v>665265</v>
      </c>
      <c r="AE238" s="79"/>
      <c r="AF238" s="79">
        <f>871093-150105</f>
        <v>720988</v>
      </c>
      <c r="AG238" s="79"/>
      <c r="AH238" s="79">
        <v>150105</v>
      </c>
      <c r="AI238" s="79"/>
      <c r="AJ238" s="94">
        <f t="shared" si="47"/>
        <v>-205828</v>
      </c>
      <c r="AK238" s="94"/>
      <c r="AL238" s="79">
        <v>14435</v>
      </c>
      <c r="AM238" s="94"/>
      <c r="AN238" s="79">
        <v>0</v>
      </c>
      <c r="AO238" s="79"/>
      <c r="AP238" s="79">
        <v>0</v>
      </c>
      <c r="AQ238" s="79"/>
      <c r="AR238" s="79">
        <v>0</v>
      </c>
      <c r="AS238" s="79"/>
      <c r="AT238" s="94">
        <f t="shared" si="46"/>
        <v>-191393</v>
      </c>
      <c r="AU238" s="94"/>
      <c r="AV238" s="79">
        <v>0</v>
      </c>
      <c r="AW238" s="79"/>
      <c r="AX238" s="79">
        <v>0</v>
      </c>
      <c r="AY238" s="79"/>
      <c r="AZ238" s="79">
        <f t="shared" si="41"/>
        <v>185794</v>
      </c>
      <c r="BA238" s="66"/>
      <c r="BB238" s="64" t="s">
        <v>268</v>
      </c>
      <c r="BD238" s="64" t="s">
        <v>269</v>
      </c>
      <c r="BE238" s="79"/>
      <c r="BF238" s="79">
        <v>0</v>
      </c>
      <c r="BG238" s="79"/>
      <c r="BH238" s="79">
        <v>0</v>
      </c>
      <c r="BI238" s="79"/>
      <c r="BJ238" s="79">
        <f>65726+319067+2739+13594</f>
        <v>401126</v>
      </c>
      <c r="BK238" s="79"/>
      <c r="BL238" s="79">
        <v>9954</v>
      </c>
      <c r="BM238" s="79"/>
      <c r="BN238" s="79">
        <f t="shared" si="45"/>
        <v>411080</v>
      </c>
      <c r="BO238" s="91"/>
      <c r="BS238" s="90"/>
      <c r="BT238" s="90"/>
      <c r="BU238" s="95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</row>
    <row r="239" spans="1:95" s="35" customFormat="1" ht="12.75" customHeight="1">
      <c r="A239" s="35" t="s">
        <v>270</v>
      </c>
      <c r="B239" s="51"/>
      <c r="C239" s="35" t="s">
        <v>136</v>
      </c>
      <c r="D239" s="44"/>
      <c r="E239" s="53">
        <f t="shared" si="42"/>
        <v>548039</v>
      </c>
      <c r="F239" s="53"/>
      <c r="G239" s="53">
        <v>2548905</v>
      </c>
      <c r="H239" s="53"/>
      <c r="I239" s="53">
        <v>3096944</v>
      </c>
      <c r="J239" s="53"/>
      <c r="K239" s="53">
        <f t="shared" si="43"/>
        <v>1112618</v>
      </c>
      <c r="L239" s="53"/>
      <c r="M239" s="53">
        <v>669201</v>
      </c>
      <c r="N239" s="53"/>
      <c r="O239" s="53">
        <v>1781819</v>
      </c>
      <c r="P239" s="53"/>
      <c r="Q239" s="53">
        <v>1796760</v>
      </c>
      <c r="R239" s="53"/>
      <c r="S239" s="53">
        <v>0</v>
      </c>
      <c r="T239" s="53"/>
      <c r="U239" s="53">
        <v>-481635</v>
      </c>
      <c r="V239" s="53"/>
      <c r="W239" s="53">
        <f t="shared" si="40"/>
        <v>1315125</v>
      </c>
      <c r="X239" s="51"/>
      <c r="Y239" s="51"/>
      <c r="Z239" s="35" t="s">
        <v>270</v>
      </c>
      <c r="AA239" s="53"/>
      <c r="AB239" s="35" t="s">
        <v>136</v>
      </c>
      <c r="AC239" s="51"/>
      <c r="AD239" s="53">
        <v>1636942</v>
      </c>
      <c r="AE239" s="53"/>
      <c r="AF239" s="53">
        <f>1560185-84026</f>
        <v>1476159</v>
      </c>
      <c r="AG239" s="53"/>
      <c r="AH239" s="53">
        <v>84026</v>
      </c>
      <c r="AI239" s="53"/>
      <c r="AJ239" s="45">
        <f t="shared" si="47"/>
        <v>76757</v>
      </c>
      <c r="AK239" s="45"/>
      <c r="AL239" s="53">
        <v>101848</v>
      </c>
      <c r="AM239" s="45"/>
      <c r="AN239" s="53">
        <v>0</v>
      </c>
      <c r="AO239" s="53"/>
      <c r="AP239" s="53">
        <v>0</v>
      </c>
      <c r="AQ239" s="53"/>
      <c r="AR239" s="53">
        <v>0</v>
      </c>
      <c r="AS239" s="53"/>
      <c r="AT239" s="45">
        <f t="shared" si="46"/>
        <v>178605</v>
      </c>
      <c r="AU239" s="45"/>
      <c r="AV239" s="53">
        <v>0</v>
      </c>
      <c r="AW239" s="53"/>
      <c r="AX239" s="53">
        <v>0</v>
      </c>
      <c r="AY239" s="53"/>
      <c r="AZ239" s="53">
        <f t="shared" si="41"/>
        <v>-564579</v>
      </c>
      <c r="BA239" s="51"/>
      <c r="BB239" s="35" t="s">
        <v>270</v>
      </c>
      <c r="BD239" s="35" t="s">
        <v>136</v>
      </c>
      <c r="BE239" s="53"/>
      <c r="BF239" s="53">
        <v>0</v>
      </c>
      <c r="BG239" s="53"/>
      <c r="BH239" s="53">
        <v>0</v>
      </c>
      <c r="BI239" s="53"/>
      <c r="BJ239" s="53">
        <f>241749+339785+54738+80826</f>
        <v>717098</v>
      </c>
      <c r="BK239" s="53"/>
      <c r="BL239" s="53">
        <f>21282+66385+13765+51509</f>
        <v>152941</v>
      </c>
      <c r="BM239" s="53"/>
      <c r="BN239" s="53">
        <f>SUM(BF239:BL239)</f>
        <v>870039</v>
      </c>
      <c r="BO239" s="54"/>
      <c r="BS239" s="55"/>
      <c r="BT239" s="55"/>
      <c r="BU239" s="84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</row>
    <row r="240" spans="1:95" s="35" customFormat="1" ht="12.75" customHeight="1">
      <c r="A240" s="35" t="s">
        <v>271</v>
      </c>
      <c r="B240" s="51"/>
      <c r="C240" s="35" t="s">
        <v>66</v>
      </c>
      <c r="D240" s="44"/>
      <c r="E240" s="53">
        <f t="shared" si="42"/>
        <v>807866</v>
      </c>
      <c r="F240" s="53"/>
      <c r="G240" s="53">
        <f>29500+4344729</f>
        <v>4374229</v>
      </c>
      <c r="H240" s="53"/>
      <c r="I240" s="53">
        <v>5182095</v>
      </c>
      <c r="J240" s="53"/>
      <c r="K240" s="53">
        <f t="shared" si="43"/>
        <v>299989</v>
      </c>
      <c r="L240" s="53"/>
      <c r="M240" s="53">
        <f>34235+3192451</f>
        <v>3226686</v>
      </c>
      <c r="N240" s="53"/>
      <c r="O240" s="53">
        <v>3526675</v>
      </c>
      <c r="P240" s="53"/>
      <c r="Q240" s="53">
        <v>976258</v>
      </c>
      <c r="R240" s="53"/>
      <c r="S240" s="53">
        <v>0</v>
      </c>
      <c r="T240" s="53"/>
      <c r="U240" s="53">
        <v>669162</v>
      </c>
      <c r="V240" s="53"/>
      <c r="W240" s="53">
        <f t="shared" si="40"/>
        <v>1645420</v>
      </c>
      <c r="X240" s="51"/>
      <c r="Y240" s="51"/>
      <c r="Z240" s="35" t="s">
        <v>271</v>
      </c>
      <c r="AA240" s="53"/>
      <c r="AB240" s="35" t="s">
        <v>66</v>
      </c>
      <c r="AC240" s="51"/>
      <c r="AD240" s="53">
        <v>1513602</v>
      </c>
      <c r="AE240" s="53"/>
      <c r="AF240" s="53">
        <f>1429825-354712</f>
        <v>1075113</v>
      </c>
      <c r="AG240" s="53"/>
      <c r="AH240" s="53">
        <v>354712</v>
      </c>
      <c r="AI240" s="53"/>
      <c r="AJ240" s="45">
        <f t="shared" si="47"/>
        <v>83777</v>
      </c>
      <c r="AK240" s="45"/>
      <c r="AL240" s="53">
        <v>-121613</v>
      </c>
      <c r="AM240" s="45"/>
      <c r="AN240" s="53">
        <v>0</v>
      </c>
      <c r="AO240" s="53"/>
      <c r="AP240" s="53">
        <v>0</v>
      </c>
      <c r="AQ240" s="53"/>
      <c r="AR240" s="53">
        <v>0</v>
      </c>
      <c r="AS240" s="53"/>
      <c r="AT240" s="45">
        <f t="shared" si="46"/>
        <v>-37836</v>
      </c>
      <c r="AU240" s="45"/>
      <c r="AV240" s="53">
        <v>0</v>
      </c>
      <c r="AW240" s="53"/>
      <c r="AX240" s="53">
        <v>0</v>
      </c>
      <c r="AY240" s="53"/>
      <c r="AZ240" s="53">
        <f t="shared" si="41"/>
        <v>507877</v>
      </c>
      <c r="BA240" s="51"/>
      <c r="BB240" s="35" t="s">
        <v>271</v>
      </c>
      <c r="BD240" s="35" t="s">
        <v>66</v>
      </c>
      <c r="BE240" s="53"/>
      <c r="BF240" s="53">
        <v>0</v>
      </c>
      <c r="BG240" s="53"/>
      <c r="BH240" s="53">
        <v>0</v>
      </c>
      <c r="BI240" s="53"/>
      <c r="BJ240" s="53">
        <f>3192451+205520</f>
        <v>3397971</v>
      </c>
      <c r="BK240" s="53"/>
      <c r="BL240" s="53">
        <f>34235+5350</f>
        <v>39585</v>
      </c>
      <c r="BM240" s="53"/>
      <c r="BN240" s="53">
        <f t="shared" si="45"/>
        <v>3437556</v>
      </c>
      <c r="BO240" s="54"/>
      <c r="BS240" s="55"/>
      <c r="BT240" s="55"/>
      <c r="BU240" s="84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</row>
    <row r="241" spans="1:95" s="35" customFormat="1" ht="12.75" customHeight="1">
      <c r="A241" s="35" t="s">
        <v>272</v>
      </c>
      <c r="B241" s="51"/>
      <c r="C241" s="35" t="s">
        <v>43</v>
      </c>
      <c r="D241" s="44"/>
      <c r="E241" s="53">
        <f t="shared" si="42"/>
        <v>8274133</v>
      </c>
      <c r="F241" s="53"/>
      <c r="G241" s="53">
        <v>28455466</v>
      </c>
      <c r="H241" s="53"/>
      <c r="I241" s="53">
        <v>36729599</v>
      </c>
      <c r="J241" s="53"/>
      <c r="K241" s="53">
        <f t="shared" si="43"/>
        <v>908498</v>
      </c>
      <c r="L241" s="53"/>
      <c r="M241" s="53">
        <v>5778309</v>
      </c>
      <c r="N241" s="53"/>
      <c r="O241" s="53">
        <v>6686807</v>
      </c>
      <c r="P241" s="53"/>
      <c r="Q241" s="53">
        <v>22647170</v>
      </c>
      <c r="R241" s="53"/>
      <c r="S241" s="53">
        <v>0</v>
      </c>
      <c r="T241" s="53"/>
      <c r="U241" s="53">
        <v>7395622</v>
      </c>
      <c r="V241" s="53"/>
      <c r="W241" s="53">
        <f t="shared" si="40"/>
        <v>30042792</v>
      </c>
      <c r="X241" s="51"/>
      <c r="Y241" s="51"/>
      <c r="Z241" s="35" t="s">
        <v>272</v>
      </c>
      <c r="AA241" s="53"/>
      <c r="AB241" s="35" t="s">
        <v>43</v>
      </c>
      <c r="AC241" s="51"/>
      <c r="AD241" s="53">
        <v>3012253</v>
      </c>
      <c r="AE241" s="53"/>
      <c r="AF241" s="53">
        <f>3633105-890467</f>
        <v>2742638</v>
      </c>
      <c r="AG241" s="53"/>
      <c r="AH241" s="53">
        <v>890467</v>
      </c>
      <c r="AI241" s="53"/>
      <c r="AJ241" s="45">
        <f t="shared" si="47"/>
        <v>-620852</v>
      </c>
      <c r="AK241" s="45"/>
      <c r="AL241" s="53">
        <f>-269492+518845</f>
        <v>249353</v>
      </c>
      <c r="AM241" s="45"/>
      <c r="AN241" s="53">
        <v>0</v>
      </c>
      <c r="AO241" s="53"/>
      <c r="AP241" s="53">
        <v>0</v>
      </c>
      <c r="AQ241" s="53"/>
      <c r="AR241" s="53">
        <v>172076</v>
      </c>
      <c r="AS241" s="53"/>
      <c r="AT241" s="45">
        <f t="shared" si="46"/>
        <v>-199423</v>
      </c>
      <c r="AU241" s="45"/>
      <c r="AV241" s="53">
        <v>0</v>
      </c>
      <c r="AW241" s="53"/>
      <c r="AX241" s="53">
        <v>0</v>
      </c>
      <c r="AY241" s="53"/>
      <c r="AZ241" s="53">
        <f t="shared" si="41"/>
        <v>7365635</v>
      </c>
      <c r="BA241" s="51"/>
      <c r="BB241" s="35" t="s">
        <v>272</v>
      </c>
      <c r="BD241" s="35" t="s">
        <v>43</v>
      </c>
      <c r="BE241" s="53"/>
      <c r="BF241" s="53">
        <f>4079312+587685</f>
        <v>4666997</v>
      </c>
      <c r="BG241" s="53"/>
      <c r="BH241" s="53">
        <v>0</v>
      </c>
      <c r="BI241" s="53"/>
      <c r="BJ241" s="53">
        <f>1597139+43708</f>
        <v>1640847</v>
      </c>
      <c r="BK241" s="53"/>
      <c r="BL241" s="53">
        <f>101858+132233</f>
        <v>234091</v>
      </c>
      <c r="BM241" s="53"/>
      <c r="BN241" s="53">
        <f t="shared" si="45"/>
        <v>6541935</v>
      </c>
      <c r="BO241" s="54"/>
      <c r="BS241" s="55"/>
      <c r="BT241" s="55"/>
      <c r="BU241" s="84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</row>
    <row r="242" spans="1:95" s="126" customFormat="1" ht="12.75" hidden="1" customHeight="1">
      <c r="A242" s="126" t="s">
        <v>273</v>
      </c>
      <c r="B242" s="124"/>
      <c r="C242" s="126" t="s">
        <v>27</v>
      </c>
      <c r="D242" s="121"/>
      <c r="E242" s="53">
        <f t="shared" si="42"/>
        <v>0</v>
      </c>
      <c r="F242" s="53"/>
      <c r="G242" s="53">
        <v>0</v>
      </c>
      <c r="H242" s="53"/>
      <c r="I242" s="53">
        <v>0</v>
      </c>
      <c r="J242" s="53"/>
      <c r="K242" s="53">
        <f t="shared" si="43"/>
        <v>0</v>
      </c>
      <c r="L242" s="53"/>
      <c r="M242" s="53">
        <v>0</v>
      </c>
      <c r="N242" s="53"/>
      <c r="O242" s="53">
        <v>0</v>
      </c>
      <c r="P242" s="53"/>
      <c r="Q242" s="53">
        <v>0</v>
      </c>
      <c r="R242" s="53"/>
      <c r="S242" s="53">
        <v>0</v>
      </c>
      <c r="T242" s="53"/>
      <c r="U242" s="53">
        <v>0</v>
      </c>
      <c r="V242" s="53"/>
      <c r="W242" s="53">
        <f t="shared" si="40"/>
        <v>0</v>
      </c>
      <c r="X242" s="124"/>
      <c r="Y242" s="124"/>
      <c r="Z242" s="126" t="s">
        <v>273</v>
      </c>
      <c r="AA242" s="137"/>
      <c r="AB242" s="126" t="s">
        <v>27</v>
      </c>
      <c r="AC242" s="124"/>
      <c r="AD242" s="53">
        <v>0</v>
      </c>
      <c r="AE242" s="53"/>
      <c r="AF242" s="53">
        <v>0</v>
      </c>
      <c r="AG242" s="53"/>
      <c r="AH242" s="53">
        <v>0</v>
      </c>
      <c r="AI242" s="53"/>
      <c r="AJ242" s="45">
        <f t="shared" si="47"/>
        <v>0</v>
      </c>
      <c r="AK242" s="45"/>
      <c r="AL242" s="53">
        <v>0</v>
      </c>
      <c r="AM242" s="45"/>
      <c r="AN242" s="53">
        <v>0</v>
      </c>
      <c r="AO242" s="53"/>
      <c r="AP242" s="53">
        <v>0</v>
      </c>
      <c r="AQ242" s="53"/>
      <c r="AR242" s="53">
        <v>0</v>
      </c>
      <c r="AS242" s="53"/>
      <c r="AT242" s="45">
        <f t="shared" si="46"/>
        <v>0</v>
      </c>
      <c r="AU242" s="45"/>
      <c r="AV242" s="53">
        <v>0</v>
      </c>
      <c r="AW242" s="53"/>
      <c r="AX242" s="53">
        <v>0</v>
      </c>
      <c r="AY242" s="53"/>
      <c r="AZ242" s="53">
        <f t="shared" si="41"/>
        <v>0</v>
      </c>
      <c r="BA242" s="124"/>
      <c r="BB242" s="126" t="s">
        <v>273</v>
      </c>
      <c r="BD242" s="126" t="s">
        <v>27</v>
      </c>
      <c r="BE242" s="137"/>
      <c r="BF242" s="53">
        <v>0</v>
      </c>
      <c r="BG242" s="53"/>
      <c r="BH242" s="53">
        <v>0</v>
      </c>
      <c r="BI242" s="53"/>
      <c r="BJ242" s="53">
        <v>0</v>
      </c>
      <c r="BK242" s="53"/>
      <c r="BL242" s="53">
        <v>0</v>
      </c>
      <c r="BM242" s="137"/>
      <c r="BN242" s="137">
        <f t="shared" si="45"/>
        <v>0</v>
      </c>
      <c r="BO242" s="139"/>
      <c r="BS242" s="140"/>
      <c r="BT242" s="140"/>
      <c r="BU242" s="141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0"/>
      <c r="CP242" s="140"/>
      <c r="CQ242" s="140"/>
    </row>
    <row r="243" spans="1:95" s="126" customFormat="1" ht="12.75" hidden="1" customHeight="1">
      <c r="A243" s="126" t="s">
        <v>274</v>
      </c>
      <c r="B243" s="124"/>
      <c r="C243" s="126" t="s">
        <v>43</v>
      </c>
      <c r="D243" s="121"/>
      <c r="E243" s="53">
        <f t="shared" si="42"/>
        <v>0</v>
      </c>
      <c r="F243" s="53"/>
      <c r="G243" s="53">
        <v>0</v>
      </c>
      <c r="H243" s="53"/>
      <c r="I243" s="53">
        <v>0</v>
      </c>
      <c r="J243" s="53"/>
      <c r="K243" s="53">
        <f t="shared" si="43"/>
        <v>0</v>
      </c>
      <c r="L243" s="53"/>
      <c r="M243" s="53">
        <v>0</v>
      </c>
      <c r="N243" s="53"/>
      <c r="O243" s="53">
        <v>0</v>
      </c>
      <c r="P243" s="53"/>
      <c r="Q243" s="53">
        <v>0</v>
      </c>
      <c r="R243" s="53"/>
      <c r="S243" s="53">
        <v>0</v>
      </c>
      <c r="T243" s="53"/>
      <c r="U243" s="53">
        <v>0</v>
      </c>
      <c r="V243" s="53"/>
      <c r="W243" s="53">
        <f t="shared" si="40"/>
        <v>0</v>
      </c>
      <c r="X243" s="124"/>
      <c r="Y243" s="124"/>
      <c r="Z243" s="126" t="s">
        <v>274</v>
      </c>
      <c r="AA243" s="137"/>
      <c r="AB243" s="126" t="s">
        <v>43</v>
      </c>
      <c r="AC243" s="124"/>
      <c r="AD243" s="53">
        <v>0</v>
      </c>
      <c r="AE243" s="53"/>
      <c r="AF243" s="53">
        <v>0</v>
      </c>
      <c r="AG243" s="53"/>
      <c r="AH243" s="53">
        <v>0</v>
      </c>
      <c r="AI243" s="53"/>
      <c r="AJ243" s="45">
        <f t="shared" si="47"/>
        <v>0</v>
      </c>
      <c r="AK243" s="45"/>
      <c r="AL243" s="53">
        <v>0</v>
      </c>
      <c r="AM243" s="45"/>
      <c r="AN243" s="53">
        <v>0</v>
      </c>
      <c r="AO243" s="53"/>
      <c r="AP243" s="53">
        <v>0</v>
      </c>
      <c r="AQ243" s="53"/>
      <c r="AR243" s="53">
        <v>0</v>
      </c>
      <c r="AS243" s="53"/>
      <c r="AT243" s="45">
        <f t="shared" si="46"/>
        <v>0</v>
      </c>
      <c r="AU243" s="45"/>
      <c r="AV243" s="53">
        <v>0</v>
      </c>
      <c r="AW243" s="53"/>
      <c r="AX243" s="53">
        <v>0</v>
      </c>
      <c r="AY243" s="53"/>
      <c r="AZ243" s="53">
        <f t="shared" si="41"/>
        <v>0</v>
      </c>
      <c r="BA243" s="124"/>
      <c r="BB243" s="126" t="s">
        <v>274</v>
      </c>
      <c r="BD243" s="126" t="s">
        <v>43</v>
      </c>
      <c r="BE243" s="137"/>
      <c r="BF243" s="53">
        <v>0</v>
      </c>
      <c r="BG243" s="53"/>
      <c r="BH243" s="53">
        <v>0</v>
      </c>
      <c r="BI243" s="53"/>
      <c r="BJ243" s="53">
        <v>0</v>
      </c>
      <c r="BK243" s="53"/>
      <c r="BL243" s="53">
        <v>0</v>
      </c>
      <c r="BM243" s="137"/>
      <c r="BN243" s="137">
        <f t="shared" si="45"/>
        <v>0</v>
      </c>
      <c r="BO243" s="139"/>
      <c r="BS243" s="140"/>
      <c r="BT243" s="140"/>
      <c r="BU243" s="141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0"/>
      <c r="CP243" s="140"/>
      <c r="CQ243" s="140"/>
    </row>
    <row r="244" spans="1:95" s="126" customFormat="1" ht="12.75" hidden="1" customHeight="1">
      <c r="A244" s="126" t="s">
        <v>275</v>
      </c>
      <c r="B244" s="124"/>
      <c r="C244" s="126" t="s">
        <v>92</v>
      </c>
      <c r="D244" s="121"/>
      <c r="E244" s="53">
        <f t="shared" si="42"/>
        <v>0</v>
      </c>
      <c r="F244" s="53"/>
      <c r="G244" s="53">
        <v>0</v>
      </c>
      <c r="H244" s="53"/>
      <c r="I244" s="53">
        <v>0</v>
      </c>
      <c r="J244" s="53"/>
      <c r="K244" s="53">
        <f t="shared" si="43"/>
        <v>0</v>
      </c>
      <c r="L244" s="53"/>
      <c r="M244" s="53">
        <v>0</v>
      </c>
      <c r="N244" s="53"/>
      <c r="O244" s="53">
        <v>0</v>
      </c>
      <c r="P244" s="53"/>
      <c r="Q244" s="53">
        <v>0</v>
      </c>
      <c r="R244" s="53"/>
      <c r="S244" s="53">
        <v>0</v>
      </c>
      <c r="T244" s="53"/>
      <c r="U244" s="53">
        <v>0</v>
      </c>
      <c r="V244" s="53"/>
      <c r="W244" s="53">
        <f t="shared" si="40"/>
        <v>0</v>
      </c>
      <c r="X244" s="124"/>
      <c r="Y244" s="124"/>
      <c r="Z244" s="126" t="s">
        <v>275</v>
      </c>
      <c r="AA244" s="137"/>
      <c r="AB244" s="126" t="s">
        <v>92</v>
      </c>
      <c r="AC244" s="124"/>
      <c r="AD244" s="53">
        <v>0</v>
      </c>
      <c r="AE244" s="53"/>
      <c r="AF244" s="53">
        <v>0</v>
      </c>
      <c r="AG244" s="53"/>
      <c r="AH244" s="53">
        <v>0</v>
      </c>
      <c r="AI244" s="53"/>
      <c r="AJ244" s="45">
        <f t="shared" si="47"/>
        <v>0</v>
      </c>
      <c r="AK244" s="45"/>
      <c r="AL244" s="53">
        <v>0</v>
      </c>
      <c r="AM244" s="45"/>
      <c r="AN244" s="53">
        <v>0</v>
      </c>
      <c r="AO244" s="53"/>
      <c r="AP244" s="53">
        <v>0</v>
      </c>
      <c r="AQ244" s="53"/>
      <c r="AR244" s="53">
        <v>0</v>
      </c>
      <c r="AS244" s="53"/>
      <c r="AT244" s="45">
        <f t="shared" si="46"/>
        <v>0</v>
      </c>
      <c r="AU244" s="45"/>
      <c r="AV244" s="53">
        <v>0</v>
      </c>
      <c r="AW244" s="53"/>
      <c r="AX244" s="53">
        <v>0</v>
      </c>
      <c r="AY244" s="53"/>
      <c r="AZ244" s="53">
        <f t="shared" si="41"/>
        <v>0</v>
      </c>
      <c r="BA244" s="124"/>
      <c r="BB244" s="126" t="s">
        <v>275</v>
      </c>
      <c r="BD244" s="126" t="s">
        <v>92</v>
      </c>
      <c r="BE244" s="137"/>
      <c r="BF244" s="53">
        <v>0</v>
      </c>
      <c r="BG244" s="53"/>
      <c r="BH244" s="53">
        <v>0</v>
      </c>
      <c r="BI244" s="53"/>
      <c r="BJ244" s="53">
        <v>0</v>
      </c>
      <c r="BK244" s="53"/>
      <c r="BL244" s="53">
        <v>0</v>
      </c>
      <c r="BM244" s="137"/>
      <c r="BN244" s="137">
        <f t="shared" si="45"/>
        <v>0</v>
      </c>
      <c r="BO244" s="139"/>
      <c r="BS244" s="140"/>
      <c r="BT244" s="140"/>
      <c r="BU244" s="141"/>
      <c r="BV244" s="140"/>
      <c r="BW244" s="140"/>
      <c r="BX244" s="140"/>
      <c r="BY244" s="140"/>
      <c r="BZ244" s="140"/>
      <c r="CA244" s="140"/>
      <c r="CB244" s="140"/>
      <c r="CC244" s="140"/>
      <c r="CD244" s="140"/>
      <c r="CE244" s="140"/>
      <c r="CF244" s="140"/>
      <c r="CG244" s="140"/>
      <c r="CH244" s="140"/>
      <c r="CI244" s="140"/>
      <c r="CJ244" s="140"/>
      <c r="CK244" s="140"/>
      <c r="CL244" s="140"/>
      <c r="CM244" s="140"/>
      <c r="CN244" s="140"/>
      <c r="CO244" s="140"/>
      <c r="CP244" s="140"/>
      <c r="CQ244" s="140"/>
    </row>
    <row r="245" spans="1:95" s="35" customFormat="1" ht="12.75" customHeight="1">
      <c r="A245" s="35" t="s">
        <v>276</v>
      </c>
      <c r="B245" s="51"/>
      <c r="C245" s="35" t="s">
        <v>38</v>
      </c>
      <c r="D245" s="44"/>
      <c r="E245" s="53">
        <f t="shared" si="42"/>
        <v>2051721</v>
      </c>
      <c r="F245" s="53"/>
      <c r="G245" s="53">
        <v>6137396</v>
      </c>
      <c r="H245" s="53"/>
      <c r="I245" s="53">
        <v>8189117</v>
      </c>
      <c r="J245" s="53"/>
      <c r="K245" s="53">
        <f t="shared" si="43"/>
        <v>495268</v>
      </c>
      <c r="L245" s="53"/>
      <c r="M245" s="53">
        <v>387177</v>
      </c>
      <c r="N245" s="53"/>
      <c r="O245" s="53">
        <v>882445</v>
      </c>
      <c r="P245" s="53"/>
      <c r="Q245" s="53">
        <v>5439267</v>
      </c>
      <c r="R245" s="53"/>
      <c r="S245" s="53">
        <v>0</v>
      </c>
      <c r="T245" s="53"/>
      <c r="U245" s="53">
        <v>1867405</v>
      </c>
      <c r="V245" s="53"/>
      <c r="W245" s="53">
        <f t="shared" si="40"/>
        <v>7306672</v>
      </c>
      <c r="X245" s="51"/>
      <c r="Y245" s="51"/>
      <c r="Z245" s="35" t="s">
        <v>276</v>
      </c>
      <c r="AA245" s="53"/>
      <c r="AB245" s="35" t="s">
        <v>38</v>
      </c>
      <c r="AC245" s="51"/>
      <c r="AD245" s="53">
        <v>1291553</v>
      </c>
      <c r="AE245" s="53"/>
      <c r="AF245" s="53">
        <f>1380154-251338</f>
        <v>1128816</v>
      </c>
      <c r="AG245" s="53"/>
      <c r="AH245" s="53">
        <v>251338</v>
      </c>
      <c r="AI245" s="53"/>
      <c r="AJ245" s="45">
        <f t="shared" si="47"/>
        <v>-88601</v>
      </c>
      <c r="AK245" s="45"/>
      <c r="AL245" s="53">
        <v>-15164</v>
      </c>
      <c r="AM245" s="45"/>
      <c r="AN245" s="53">
        <v>0</v>
      </c>
      <c r="AO245" s="53"/>
      <c r="AP245" s="53">
        <v>57100</v>
      </c>
      <c r="AQ245" s="53"/>
      <c r="AR245" s="53">
        <v>21168</v>
      </c>
      <c r="AS245" s="53"/>
      <c r="AT245" s="45">
        <f t="shared" si="46"/>
        <v>-139697</v>
      </c>
      <c r="AU245" s="45"/>
      <c r="AV245" s="53">
        <v>0</v>
      </c>
      <c r="AW245" s="53"/>
      <c r="AX245" s="53">
        <v>0</v>
      </c>
      <c r="AY245" s="53"/>
      <c r="AZ245" s="53">
        <f t="shared" si="41"/>
        <v>1556453</v>
      </c>
      <c r="BA245" s="51"/>
      <c r="BB245" s="35" t="s">
        <v>276</v>
      </c>
      <c r="BD245" s="35" t="s">
        <v>38</v>
      </c>
      <c r="BE245" s="53"/>
      <c r="BF245" s="53">
        <v>0</v>
      </c>
      <c r="BG245" s="53"/>
      <c r="BH245" s="53">
        <v>0</v>
      </c>
      <c r="BI245" s="53"/>
      <c r="BJ245" s="53">
        <f>224130+124115+23961+10923</f>
        <v>383129</v>
      </c>
      <c r="BK245" s="53"/>
      <c r="BL245" s="53">
        <f>38932+47926</f>
        <v>86858</v>
      </c>
      <c r="BM245" s="53"/>
      <c r="BN245" s="53">
        <f t="shared" si="45"/>
        <v>469987</v>
      </c>
      <c r="BO245" s="54"/>
      <c r="BS245" s="55"/>
      <c r="BT245" s="55"/>
      <c r="BU245" s="84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</row>
    <row r="246" spans="1:95" s="126" customFormat="1" ht="12.75" hidden="1" customHeight="1">
      <c r="A246" s="126" t="s">
        <v>277</v>
      </c>
      <c r="B246" s="124"/>
      <c r="C246" s="126" t="s">
        <v>92</v>
      </c>
      <c r="D246" s="121"/>
      <c r="E246" s="53">
        <f t="shared" si="42"/>
        <v>0</v>
      </c>
      <c r="F246" s="53"/>
      <c r="G246" s="53">
        <v>0</v>
      </c>
      <c r="H246" s="53"/>
      <c r="I246" s="53">
        <v>0</v>
      </c>
      <c r="J246" s="53"/>
      <c r="K246" s="53">
        <f t="shared" si="43"/>
        <v>0</v>
      </c>
      <c r="L246" s="53"/>
      <c r="M246" s="53">
        <v>0</v>
      </c>
      <c r="N246" s="53"/>
      <c r="O246" s="53">
        <v>0</v>
      </c>
      <c r="P246" s="53"/>
      <c r="Q246" s="53">
        <v>0</v>
      </c>
      <c r="R246" s="53"/>
      <c r="S246" s="53">
        <v>0</v>
      </c>
      <c r="T246" s="53"/>
      <c r="U246" s="53">
        <v>0</v>
      </c>
      <c r="V246" s="53"/>
      <c r="W246" s="53">
        <f t="shared" si="40"/>
        <v>0</v>
      </c>
      <c r="X246" s="124"/>
      <c r="Y246" s="124"/>
      <c r="Z246" s="126" t="s">
        <v>277</v>
      </c>
      <c r="AA246" s="137"/>
      <c r="AB246" s="126" t="s">
        <v>92</v>
      </c>
      <c r="AC246" s="124"/>
      <c r="AD246" s="53">
        <v>0</v>
      </c>
      <c r="AE246" s="53"/>
      <c r="AF246" s="53">
        <v>0</v>
      </c>
      <c r="AG246" s="53"/>
      <c r="AH246" s="53">
        <v>0</v>
      </c>
      <c r="AI246" s="53"/>
      <c r="AJ246" s="45">
        <f t="shared" si="47"/>
        <v>0</v>
      </c>
      <c r="AK246" s="45"/>
      <c r="AL246" s="53">
        <v>0</v>
      </c>
      <c r="AM246" s="45"/>
      <c r="AN246" s="53">
        <v>0</v>
      </c>
      <c r="AO246" s="53"/>
      <c r="AP246" s="53">
        <v>0</v>
      </c>
      <c r="AQ246" s="53"/>
      <c r="AR246" s="53">
        <v>0</v>
      </c>
      <c r="AS246" s="53"/>
      <c r="AT246" s="45">
        <f t="shared" si="46"/>
        <v>0</v>
      </c>
      <c r="AU246" s="45"/>
      <c r="AV246" s="53">
        <v>0</v>
      </c>
      <c r="AW246" s="53"/>
      <c r="AX246" s="53">
        <v>0</v>
      </c>
      <c r="AY246" s="53"/>
      <c r="AZ246" s="53">
        <f t="shared" si="41"/>
        <v>0</v>
      </c>
      <c r="BA246" s="124"/>
      <c r="BB246" s="126" t="s">
        <v>277</v>
      </c>
      <c r="BD246" s="126" t="s">
        <v>92</v>
      </c>
      <c r="BE246" s="137"/>
      <c r="BF246" s="53">
        <v>0</v>
      </c>
      <c r="BG246" s="53"/>
      <c r="BH246" s="53">
        <v>0</v>
      </c>
      <c r="BI246" s="53"/>
      <c r="BJ246" s="53">
        <v>0</v>
      </c>
      <c r="BK246" s="53"/>
      <c r="BL246" s="53">
        <v>0</v>
      </c>
      <c r="BM246" s="137"/>
      <c r="BN246" s="137">
        <f t="shared" si="45"/>
        <v>0</v>
      </c>
      <c r="BO246" s="139"/>
      <c r="BP246" s="140"/>
      <c r="BS246" s="140"/>
      <c r="BT246" s="140"/>
      <c r="BU246" s="141"/>
      <c r="BV246" s="140"/>
      <c r="BW246" s="140"/>
      <c r="BX246" s="140"/>
      <c r="BY246" s="140"/>
      <c r="BZ246" s="140"/>
      <c r="CA246" s="140"/>
      <c r="CB246" s="140"/>
      <c r="CC246" s="140"/>
      <c r="CD246" s="140"/>
      <c r="CE246" s="140"/>
      <c r="CF246" s="140"/>
      <c r="CG246" s="140"/>
      <c r="CH246" s="140"/>
      <c r="CI246" s="140"/>
      <c r="CJ246" s="140"/>
      <c r="CK246" s="140"/>
      <c r="CL246" s="140"/>
      <c r="CM246" s="140"/>
      <c r="CN246" s="140"/>
      <c r="CO246" s="140"/>
      <c r="CP246" s="140"/>
      <c r="CQ246" s="140"/>
    </row>
    <row r="247" spans="1:95" s="126" customFormat="1" ht="12.75" hidden="1" customHeight="1">
      <c r="A247" s="126" t="s">
        <v>278</v>
      </c>
      <c r="B247" s="124"/>
      <c r="C247" s="126" t="s">
        <v>92</v>
      </c>
      <c r="D247" s="121"/>
      <c r="E247" s="53">
        <f t="shared" si="42"/>
        <v>0</v>
      </c>
      <c r="F247" s="53"/>
      <c r="G247" s="53">
        <v>0</v>
      </c>
      <c r="H247" s="53"/>
      <c r="I247" s="53">
        <v>0</v>
      </c>
      <c r="J247" s="53"/>
      <c r="K247" s="53">
        <f t="shared" si="43"/>
        <v>0</v>
      </c>
      <c r="L247" s="53"/>
      <c r="M247" s="53">
        <v>0</v>
      </c>
      <c r="N247" s="53"/>
      <c r="O247" s="53">
        <v>0</v>
      </c>
      <c r="P247" s="53"/>
      <c r="Q247" s="53">
        <v>0</v>
      </c>
      <c r="R247" s="53"/>
      <c r="S247" s="53">
        <v>0</v>
      </c>
      <c r="T247" s="53"/>
      <c r="U247" s="53">
        <v>0</v>
      </c>
      <c r="V247" s="53"/>
      <c r="W247" s="53">
        <f t="shared" si="40"/>
        <v>0</v>
      </c>
      <c r="X247" s="124"/>
      <c r="Y247" s="124"/>
      <c r="Z247" s="126" t="s">
        <v>278</v>
      </c>
      <c r="AA247" s="137"/>
      <c r="AB247" s="126" t="s">
        <v>92</v>
      </c>
      <c r="AC247" s="124"/>
      <c r="AD247" s="53">
        <v>0</v>
      </c>
      <c r="AE247" s="53"/>
      <c r="AF247" s="53">
        <v>0</v>
      </c>
      <c r="AG247" s="53"/>
      <c r="AH247" s="53">
        <v>0</v>
      </c>
      <c r="AI247" s="53"/>
      <c r="AJ247" s="45">
        <f t="shared" si="47"/>
        <v>0</v>
      </c>
      <c r="AK247" s="45"/>
      <c r="AL247" s="53">
        <v>0</v>
      </c>
      <c r="AM247" s="45"/>
      <c r="AN247" s="53">
        <v>0</v>
      </c>
      <c r="AO247" s="53"/>
      <c r="AP247" s="53">
        <v>0</v>
      </c>
      <c r="AQ247" s="53"/>
      <c r="AR247" s="53">
        <v>0</v>
      </c>
      <c r="AS247" s="53"/>
      <c r="AT247" s="45">
        <f t="shared" si="46"/>
        <v>0</v>
      </c>
      <c r="AU247" s="45"/>
      <c r="AV247" s="53">
        <v>0</v>
      </c>
      <c r="AW247" s="53"/>
      <c r="AX247" s="53">
        <v>0</v>
      </c>
      <c r="AY247" s="53"/>
      <c r="AZ247" s="53">
        <f t="shared" si="41"/>
        <v>0</v>
      </c>
      <c r="BA247" s="124"/>
      <c r="BB247" s="126" t="s">
        <v>278</v>
      </c>
      <c r="BD247" s="126" t="s">
        <v>92</v>
      </c>
      <c r="BE247" s="137"/>
      <c r="BF247" s="53">
        <v>0</v>
      </c>
      <c r="BG247" s="53"/>
      <c r="BH247" s="53">
        <v>0</v>
      </c>
      <c r="BI247" s="53"/>
      <c r="BJ247" s="53">
        <v>0</v>
      </c>
      <c r="BK247" s="53"/>
      <c r="BL247" s="53">
        <v>0</v>
      </c>
      <c r="BM247" s="137"/>
      <c r="BN247" s="137">
        <f t="shared" si="45"/>
        <v>0</v>
      </c>
      <c r="BO247" s="139"/>
      <c r="BS247" s="140"/>
      <c r="BT247" s="140"/>
      <c r="BU247" s="141"/>
      <c r="BV247" s="140"/>
      <c r="BW247" s="140"/>
      <c r="BX247" s="140"/>
      <c r="BY247" s="140"/>
      <c r="BZ247" s="140"/>
      <c r="CA247" s="140"/>
      <c r="CB247" s="140"/>
      <c r="CC247" s="140"/>
      <c r="CD247" s="140"/>
      <c r="CE247" s="140"/>
      <c r="CF247" s="140"/>
      <c r="CG247" s="140"/>
      <c r="CH247" s="140"/>
      <c r="CI247" s="140"/>
      <c r="CJ247" s="140"/>
      <c r="CK247" s="140"/>
      <c r="CL247" s="140"/>
      <c r="CM247" s="140"/>
      <c r="CN247" s="140"/>
      <c r="CO247" s="140"/>
      <c r="CP247" s="140"/>
      <c r="CQ247" s="140"/>
    </row>
    <row r="248" spans="1:95" s="126" customFormat="1" ht="12.75" hidden="1" customHeight="1">
      <c r="A248" s="126" t="s">
        <v>279</v>
      </c>
      <c r="B248" s="124"/>
      <c r="C248" s="126" t="s">
        <v>92</v>
      </c>
      <c r="D248" s="121"/>
      <c r="E248" s="53">
        <f t="shared" si="42"/>
        <v>0</v>
      </c>
      <c r="F248" s="53"/>
      <c r="G248" s="53">
        <v>0</v>
      </c>
      <c r="H248" s="53"/>
      <c r="I248" s="53">
        <v>0</v>
      </c>
      <c r="J248" s="53"/>
      <c r="K248" s="53">
        <f t="shared" si="43"/>
        <v>0</v>
      </c>
      <c r="L248" s="53"/>
      <c r="M248" s="53">
        <v>0</v>
      </c>
      <c r="N248" s="53"/>
      <c r="O248" s="53">
        <v>0</v>
      </c>
      <c r="P248" s="53"/>
      <c r="Q248" s="53">
        <v>0</v>
      </c>
      <c r="R248" s="53"/>
      <c r="S248" s="53">
        <v>0</v>
      </c>
      <c r="T248" s="53"/>
      <c r="U248" s="53">
        <v>0</v>
      </c>
      <c r="V248" s="53"/>
      <c r="W248" s="53">
        <f t="shared" si="40"/>
        <v>0</v>
      </c>
      <c r="X248" s="124"/>
      <c r="Y248" s="124"/>
      <c r="Z248" s="126" t="s">
        <v>279</v>
      </c>
      <c r="AA248" s="137"/>
      <c r="AB248" s="126" t="s">
        <v>92</v>
      </c>
      <c r="AC248" s="124"/>
      <c r="AD248" s="53">
        <v>0</v>
      </c>
      <c r="AE248" s="53"/>
      <c r="AF248" s="53">
        <v>0</v>
      </c>
      <c r="AG248" s="53"/>
      <c r="AH248" s="53">
        <v>0</v>
      </c>
      <c r="AI248" s="53"/>
      <c r="AJ248" s="45">
        <f t="shared" si="47"/>
        <v>0</v>
      </c>
      <c r="AK248" s="45"/>
      <c r="AL248" s="53">
        <v>0</v>
      </c>
      <c r="AM248" s="45"/>
      <c r="AN248" s="53">
        <v>0</v>
      </c>
      <c r="AO248" s="53"/>
      <c r="AP248" s="53">
        <v>0</v>
      </c>
      <c r="AQ248" s="53"/>
      <c r="AR248" s="53">
        <v>0</v>
      </c>
      <c r="AS248" s="53"/>
      <c r="AT248" s="45">
        <f t="shared" si="46"/>
        <v>0</v>
      </c>
      <c r="AU248" s="45"/>
      <c r="AV248" s="53">
        <v>0</v>
      </c>
      <c r="AW248" s="53"/>
      <c r="AX248" s="53">
        <v>0</v>
      </c>
      <c r="AY248" s="53"/>
      <c r="AZ248" s="53">
        <f t="shared" si="41"/>
        <v>0</v>
      </c>
      <c r="BA248" s="124"/>
      <c r="BB248" s="126" t="s">
        <v>279</v>
      </c>
      <c r="BD248" s="126" t="s">
        <v>92</v>
      </c>
      <c r="BE248" s="137"/>
      <c r="BF248" s="53">
        <v>0</v>
      </c>
      <c r="BG248" s="53"/>
      <c r="BH248" s="53">
        <v>0</v>
      </c>
      <c r="BI248" s="53"/>
      <c r="BJ248" s="53">
        <v>0</v>
      </c>
      <c r="BK248" s="53"/>
      <c r="BL248" s="53">
        <v>0</v>
      </c>
      <c r="BM248" s="137"/>
      <c r="BN248" s="137">
        <f t="shared" si="45"/>
        <v>0</v>
      </c>
      <c r="BO248" s="139"/>
      <c r="BS248" s="140"/>
      <c r="BT248" s="140"/>
      <c r="BU248" s="141"/>
      <c r="BV248" s="140"/>
      <c r="BW248" s="140"/>
      <c r="BX248" s="140"/>
      <c r="BY248" s="140"/>
      <c r="BZ248" s="140"/>
      <c r="CA248" s="140"/>
      <c r="CB248" s="140"/>
      <c r="CC248" s="140"/>
      <c r="CD248" s="140"/>
      <c r="CE248" s="140"/>
      <c r="CF248" s="140"/>
      <c r="CG248" s="140"/>
      <c r="CH248" s="140"/>
      <c r="CI248" s="140"/>
      <c r="CJ248" s="140"/>
      <c r="CK248" s="140"/>
      <c r="CL248" s="140"/>
      <c r="CM248" s="140"/>
      <c r="CN248" s="140"/>
      <c r="CO248" s="140"/>
      <c r="CP248" s="140"/>
      <c r="CQ248" s="140"/>
    </row>
    <row r="249" spans="1:95" s="35" customFormat="1" ht="12.75" customHeight="1">
      <c r="A249" s="35" t="s">
        <v>280</v>
      </c>
      <c r="B249" s="51"/>
      <c r="C249" s="35" t="s">
        <v>281</v>
      </c>
      <c r="D249" s="44"/>
      <c r="E249" s="53">
        <f t="shared" si="42"/>
        <v>2788936</v>
      </c>
      <c r="F249" s="53"/>
      <c r="G249" s="53">
        <v>21357629</v>
      </c>
      <c r="H249" s="53"/>
      <c r="I249" s="53">
        <v>24146565</v>
      </c>
      <c r="J249" s="53"/>
      <c r="K249" s="53">
        <f t="shared" si="43"/>
        <v>535264</v>
      </c>
      <c r="L249" s="53"/>
      <c r="M249" s="53">
        <v>12665191</v>
      </c>
      <c r="N249" s="53"/>
      <c r="O249" s="53">
        <v>13200455</v>
      </c>
      <c r="P249" s="53"/>
      <c r="Q249" s="53">
        <v>7955859</v>
      </c>
      <c r="R249" s="53"/>
      <c r="S249" s="53">
        <v>424023</v>
      </c>
      <c r="T249" s="53"/>
      <c r="U249" s="53">
        <v>2566228</v>
      </c>
      <c r="V249" s="53"/>
      <c r="W249" s="53">
        <f t="shared" si="40"/>
        <v>10946110</v>
      </c>
      <c r="X249" s="51"/>
      <c r="Y249" s="51"/>
      <c r="Z249" s="35" t="s">
        <v>280</v>
      </c>
      <c r="AA249" s="53"/>
      <c r="AB249" s="35" t="s">
        <v>281</v>
      </c>
      <c r="AC249" s="51"/>
      <c r="AD249" s="53">
        <v>2691134</v>
      </c>
      <c r="AE249" s="53"/>
      <c r="AF249" s="53">
        <f>2685472-718390</f>
        <v>1967082</v>
      </c>
      <c r="AG249" s="53"/>
      <c r="AH249" s="53">
        <v>718390</v>
      </c>
      <c r="AI249" s="53"/>
      <c r="AJ249" s="45">
        <f t="shared" si="47"/>
        <v>5662</v>
      </c>
      <c r="AK249" s="45"/>
      <c r="AL249" s="53">
        <v>-599362</v>
      </c>
      <c r="AM249" s="45"/>
      <c r="AN249" s="53">
        <v>0</v>
      </c>
      <c r="AO249" s="53"/>
      <c r="AP249" s="53">
        <v>0</v>
      </c>
      <c r="AQ249" s="53"/>
      <c r="AR249" s="53">
        <v>0</v>
      </c>
      <c r="AS249" s="53"/>
      <c r="AT249" s="45">
        <f t="shared" si="46"/>
        <v>-593700</v>
      </c>
      <c r="AU249" s="45"/>
      <c r="AV249" s="53">
        <v>0</v>
      </c>
      <c r="AW249" s="53"/>
      <c r="AX249" s="53">
        <v>0</v>
      </c>
      <c r="AY249" s="53"/>
      <c r="AZ249" s="53">
        <f t="shared" si="41"/>
        <v>2253672</v>
      </c>
      <c r="BA249" s="51"/>
      <c r="BB249" s="35" t="s">
        <v>280</v>
      </c>
      <c r="BD249" s="35" t="s">
        <v>281</v>
      </c>
      <c r="BE249" s="53"/>
      <c r="BF249" s="53">
        <v>0</v>
      </c>
      <c r="BG249" s="53"/>
      <c r="BH249" s="53">
        <f>12965000+365000+37563-399198</f>
        <v>12968365</v>
      </c>
      <c r="BI249" s="53"/>
      <c r="BJ249" s="53">
        <v>0</v>
      </c>
      <c r="BK249" s="53"/>
      <c r="BL249" s="53">
        <f>61826+36413</f>
        <v>98239</v>
      </c>
      <c r="BM249" s="53"/>
      <c r="BN249" s="53">
        <f t="shared" si="45"/>
        <v>13066604</v>
      </c>
      <c r="BO249" s="54"/>
      <c r="BS249" s="55"/>
      <c r="BT249" s="55"/>
      <c r="BU249" s="84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</row>
    <row r="250" spans="1:95" s="35" customFormat="1" ht="12.75" customHeight="1">
      <c r="A250" s="35" t="s">
        <v>282</v>
      </c>
      <c r="B250" s="51"/>
      <c r="C250" s="35" t="s">
        <v>199</v>
      </c>
      <c r="D250" s="44"/>
      <c r="E250" s="53">
        <f t="shared" si="42"/>
        <v>2277738</v>
      </c>
      <c r="F250" s="53"/>
      <c r="G250" s="53">
        <v>25482412</v>
      </c>
      <c r="H250" s="53"/>
      <c r="I250" s="53">
        <v>27760150</v>
      </c>
      <c r="J250" s="53"/>
      <c r="K250" s="53">
        <f t="shared" si="43"/>
        <v>1172136</v>
      </c>
      <c r="L250" s="53"/>
      <c r="M250" s="53">
        <v>6934646</v>
      </c>
      <c r="N250" s="53"/>
      <c r="O250" s="53">
        <v>8106782</v>
      </c>
      <c r="P250" s="53"/>
      <c r="Q250" s="53">
        <v>18094639</v>
      </c>
      <c r="R250" s="53"/>
      <c r="S250" s="53">
        <v>0</v>
      </c>
      <c r="T250" s="53"/>
      <c r="U250" s="53">
        <v>1558729</v>
      </c>
      <c r="V250" s="53"/>
      <c r="W250" s="53">
        <f t="shared" si="40"/>
        <v>19653368</v>
      </c>
      <c r="X250" s="51"/>
      <c r="Y250" s="51"/>
      <c r="Z250" s="35" t="s">
        <v>282</v>
      </c>
      <c r="AA250" s="53"/>
      <c r="AB250" s="35" t="s">
        <v>199</v>
      </c>
      <c r="AC250" s="51"/>
      <c r="AD250" s="53">
        <v>5182508</v>
      </c>
      <c r="AE250" s="53"/>
      <c r="AF250" s="53">
        <f>4477600-1097687</f>
        <v>3379913</v>
      </c>
      <c r="AG250" s="53"/>
      <c r="AH250" s="53">
        <v>1097687</v>
      </c>
      <c r="AI250" s="53"/>
      <c r="AJ250" s="45">
        <f t="shared" si="47"/>
        <v>704908</v>
      </c>
      <c r="AK250" s="45"/>
      <c r="AL250" s="53">
        <f>-363682+16708</f>
        <v>-346974</v>
      </c>
      <c r="AM250" s="45"/>
      <c r="AN250" s="53">
        <v>0</v>
      </c>
      <c r="AO250" s="53"/>
      <c r="AP250" s="53">
        <v>710000</v>
      </c>
      <c r="AQ250" s="53"/>
      <c r="AR250" s="53">
        <v>51950</v>
      </c>
      <c r="AS250" s="53"/>
      <c r="AT250" s="45">
        <f t="shared" si="46"/>
        <v>-300116</v>
      </c>
      <c r="AU250" s="45"/>
      <c r="AV250" s="53">
        <v>0</v>
      </c>
      <c r="AW250" s="53"/>
      <c r="AX250" s="53">
        <v>0</v>
      </c>
      <c r="AY250" s="53"/>
      <c r="AZ250" s="53">
        <f t="shared" si="41"/>
        <v>1105602</v>
      </c>
      <c r="BA250" s="51"/>
      <c r="BB250" s="35" t="s">
        <v>282</v>
      </c>
      <c r="BD250" s="35" t="s">
        <v>199</v>
      </c>
      <c r="BE250" s="53"/>
      <c r="BF250" s="53">
        <f>6782393+605381</f>
        <v>7387774</v>
      </c>
      <c r="BG250" s="53"/>
      <c r="BH250" s="53">
        <v>0</v>
      </c>
      <c r="BI250" s="53"/>
      <c r="BJ250" s="53">
        <v>0</v>
      </c>
      <c r="BK250" s="53"/>
      <c r="BL250" s="53">
        <f>69007+152253</f>
        <v>221260</v>
      </c>
      <c r="BM250" s="53"/>
      <c r="BN250" s="53">
        <f t="shared" si="45"/>
        <v>7609034</v>
      </c>
      <c r="BO250" s="54"/>
      <c r="BS250" s="55"/>
      <c r="BT250" s="55"/>
      <c r="BU250" s="84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</row>
    <row r="251" spans="1:95" s="126" customFormat="1" ht="12.75" hidden="1" customHeight="1">
      <c r="A251" s="126" t="s">
        <v>283</v>
      </c>
      <c r="B251" s="124"/>
      <c r="C251" s="126" t="s">
        <v>43</v>
      </c>
      <c r="D251" s="121"/>
      <c r="E251" s="53">
        <f t="shared" si="42"/>
        <v>0</v>
      </c>
      <c r="F251" s="53"/>
      <c r="G251" s="53">
        <v>0</v>
      </c>
      <c r="H251" s="53"/>
      <c r="I251" s="53">
        <v>0</v>
      </c>
      <c r="J251" s="53"/>
      <c r="K251" s="53">
        <f t="shared" si="43"/>
        <v>0</v>
      </c>
      <c r="L251" s="53"/>
      <c r="M251" s="53">
        <v>0</v>
      </c>
      <c r="N251" s="53"/>
      <c r="O251" s="53">
        <v>0</v>
      </c>
      <c r="P251" s="53"/>
      <c r="Q251" s="53">
        <v>0</v>
      </c>
      <c r="R251" s="53"/>
      <c r="S251" s="53">
        <v>0</v>
      </c>
      <c r="T251" s="53"/>
      <c r="U251" s="53">
        <v>0</v>
      </c>
      <c r="V251" s="53"/>
      <c r="W251" s="53">
        <f t="shared" si="40"/>
        <v>0</v>
      </c>
      <c r="X251" s="124"/>
      <c r="Y251" s="124"/>
      <c r="Z251" s="126" t="s">
        <v>283</v>
      </c>
      <c r="AA251" s="137"/>
      <c r="AB251" s="126" t="s">
        <v>43</v>
      </c>
      <c r="AC251" s="124"/>
      <c r="AD251" s="53">
        <v>0</v>
      </c>
      <c r="AE251" s="53"/>
      <c r="AF251" s="53">
        <v>0</v>
      </c>
      <c r="AG251" s="53"/>
      <c r="AH251" s="53">
        <v>0</v>
      </c>
      <c r="AI251" s="53"/>
      <c r="AJ251" s="45">
        <f t="shared" si="47"/>
        <v>0</v>
      </c>
      <c r="AK251" s="45"/>
      <c r="AL251" s="53">
        <v>0</v>
      </c>
      <c r="AM251" s="45"/>
      <c r="AN251" s="53">
        <v>0</v>
      </c>
      <c r="AO251" s="53"/>
      <c r="AP251" s="53">
        <v>0</v>
      </c>
      <c r="AQ251" s="53"/>
      <c r="AR251" s="53">
        <v>0</v>
      </c>
      <c r="AS251" s="53"/>
      <c r="AT251" s="45">
        <f t="shared" si="46"/>
        <v>0</v>
      </c>
      <c r="AU251" s="45"/>
      <c r="AV251" s="53">
        <v>0</v>
      </c>
      <c r="AW251" s="53"/>
      <c r="AX251" s="53">
        <v>0</v>
      </c>
      <c r="AY251" s="53"/>
      <c r="AZ251" s="53">
        <f t="shared" si="41"/>
        <v>0</v>
      </c>
      <c r="BA251" s="124"/>
      <c r="BB251" s="126" t="s">
        <v>283</v>
      </c>
      <c r="BD251" s="126" t="s">
        <v>43</v>
      </c>
      <c r="BE251" s="137"/>
      <c r="BF251" s="53">
        <v>0</v>
      </c>
      <c r="BG251" s="53"/>
      <c r="BH251" s="53">
        <v>0</v>
      </c>
      <c r="BI251" s="53"/>
      <c r="BJ251" s="53">
        <v>0</v>
      </c>
      <c r="BK251" s="53"/>
      <c r="BL251" s="53">
        <v>0</v>
      </c>
      <c r="BM251" s="137"/>
      <c r="BN251" s="137">
        <f t="shared" si="45"/>
        <v>0</v>
      </c>
      <c r="BO251" s="139"/>
      <c r="BS251" s="140"/>
      <c r="BT251" s="140"/>
      <c r="BU251" s="141"/>
      <c r="BV251" s="140"/>
      <c r="BW251" s="140"/>
      <c r="BX251" s="140"/>
      <c r="BY251" s="140"/>
      <c r="BZ251" s="140"/>
      <c r="CA251" s="140"/>
      <c r="CB251" s="140"/>
      <c r="CC251" s="140"/>
      <c r="CD251" s="140"/>
      <c r="CE251" s="140"/>
      <c r="CF251" s="140"/>
      <c r="CG251" s="140"/>
      <c r="CH251" s="140"/>
      <c r="CI251" s="140"/>
      <c r="CJ251" s="140"/>
      <c r="CK251" s="140"/>
      <c r="CL251" s="140"/>
      <c r="CM251" s="140"/>
      <c r="CN251" s="140"/>
      <c r="CO251" s="140"/>
      <c r="CP251" s="140"/>
      <c r="CQ251" s="140"/>
    </row>
    <row r="252" spans="1:95" s="35" customFormat="1" ht="12.75" customHeight="1">
      <c r="A252" s="35" t="s">
        <v>284</v>
      </c>
      <c r="B252" s="51"/>
      <c r="C252" s="35" t="s">
        <v>45</v>
      </c>
      <c r="D252" s="44"/>
      <c r="E252" s="53">
        <f t="shared" si="42"/>
        <v>1619367</v>
      </c>
      <c r="F252" s="53"/>
      <c r="G252" s="53">
        <v>7393081</v>
      </c>
      <c r="H252" s="53"/>
      <c r="I252" s="53">
        <v>9012448</v>
      </c>
      <c r="J252" s="53"/>
      <c r="K252" s="53">
        <f t="shared" si="43"/>
        <v>1004833</v>
      </c>
      <c r="L252" s="53"/>
      <c r="M252" s="53">
        <v>5820691</v>
      </c>
      <c r="N252" s="53"/>
      <c r="O252" s="53">
        <v>6825524</v>
      </c>
      <c r="P252" s="53"/>
      <c r="Q252" s="53">
        <v>1470391</v>
      </c>
      <c r="R252" s="53"/>
      <c r="S252" s="53">
        <v>0</v>
      </c>
      <c r="T252" s="53"/>
      <c r="U252" s="53">
        <v>716533</v>
      </c>
      <c r="V252" s="53"/>
      <c r="W252" s="53">
        <f t="shared" si="40"/>
        <v>2186924</v>
      </c>
      <c r="X252" s="51"/>
      <c r="Y252" s="51"/>
      <c r="Z252" s="35" t="s">
        <v>284</v>
      </c>
      <c r="AA252" s="53"/>
      <c r="AB252" s="35" t="s">
        <v>45</v>
      </c>
      <c r="AC252" s="51"/>
      <c r="AD252" s="53">
        <v>2019240</v>
      </c>
      <c r="AE252" s="53"/>
      <c r="AF252" s="53">
        <f>1236961-218195</f>
        <v>1018766</v>
      </c>
      <c r="AG252" s="53"/>
      <c r="AH252" s="53">
        <v>218195</v>
      </c>
      <c r="AI252" s="53"/>
      <c r="AJ252" s="45">
        <f t="shared" si="47"/>
        <v>782279</v>
      </c>
      <c r="AK252" s="45"/>
      <c r="AL252" s="53">
        <v>-230405</v>
      </c>
      <c r="AM252" s="45"/>
      <c r="AN252" s="53">
        <v>0</v>
      </c>
      <c r="AO252" s="53"/>
      <c r="AP252" s="53">
        <v>0</v>
      </c>
      <c r="AQ252" s="53"/>
      <c r="AR252" s="53">
        <v>141107</v>
      </c>
      <c r="AS252" s="53"/>
      <c r="AT252" s="45">
        <f t="shared" si="46"/>
        <v>692981</v>
      </c>
      <c r="AU252" s="45"/>
      <c r="AV252" s="53">
        <v>0</v>
      </c>
      <c r="AW252" s="53"/>
      <c r="AX252" s="53">
        <v>0</v>
      </c>
      <c r="AY252" s="53"/>
      <c r="AZ252" s="53">
        <f t="shared" si="41"/>
        <v>614534</v>
      </c>
      <c r="BA252" s="51"/>
      <c r="BB252" s="35" t="s">
        <v>284</v>
      </c>
      <c r="BD252" s="35" t="s">
        <v>45</v>
      </c>
      <c r="BE252" s="53"/>
      <c r="BF252" s="53">
        <f>5820691+433722</f>
        <v>6254413</v>
      </c>
      <c r="BG252" s="53"/>
      <c r="BH252" s="53">
        <v>0</v>
      </c>
      <c r="BI252" s="53"/>
      <c r="BJ252" s="53">
        <v>0</v>
      </c>
      <c r="BK252" s="53"/>
      <c r="BL252" s="53">
        <f>18407+1297</f>
        <v>19704</v>
      </c>
      <c r="BM252" s="53"/>
      <c r="BN252" s="53">
        <f t="shared" si="45"/>
        <v>6274117</v>
      </c>
      <c r="BO252" s="54"/>
      <c r="BS252" s="55"/>
      <c r="BT252" s="55"/>
      <c r="BU252" s="84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</row>
    <row r="253" spans="1:95" s="35" customFormat="1" ht="12.75" customHeight="1">
      <c r="A253" s="35" t="s">
        <v>285</v>
      </c>
      <c r="C253" s="35" t="s">
        <v>30</v>
      </c>
      <c r="D253" s="44"/>
      <c r="E253" s="53">
        <f t="shared" si="42"/>
        <v>4175625</v>
      </c>
      <c r="F253" s="53"/>
      <c r="G253" s="53">
        <v>8687382</v>
      </c>
      <c r="H253" s="53"/>
      <c r="I253" s="53">
        <v>12863007</v>
      </c>
      <c r="J253" s="53"/>
      <c r="K253" s="53">
        <f t="shared" si="43"/>
        <v>198598</v>
      </c>
      <c r="L253" s="53"/>
      <c r="M253" s="53">
        <v>842833</v>
      </c>
      <c r="N253" s="53"/>
      <c r="O253" s="53">
        <v>1041431</v>
      </c>
      <c r="P253" s="53"/>
      <c r="Q253" s="53">
        <v>7930268</v>
      </c>
      <c r="R253" s="53"/>
      <c r="S253" s="53">
        <v>0</v>
      </c>
      <c r="T253" s="53"/>
      <c r="U253" s="53">
        <v>3891308</v>
      </c>
      <c r="V253" s="53"/>
      <c r="W253" s="53">
        <f t="shared" si="40"/>
        <v>11821576</v>
      </c>
      <c r="Z253" s="35" t="s">
        <v>285</v>
      </c>
      <c r="AA253" s="53"/>
      <c r="AB253" s="35" t="s">
        <v>30</v>
      </c>
      <c r="AD253" s="53">
        <v>3354055</v>
      </c>
      <c r="AE253" s="53"/>
      <c r="AF253" s="53">
        <f>2959265-444647</f>
        <v>2514618</v>
      </c>
      <c r="AG253" s="53"/>
      <c r="AH253" s="53">
        <v>444647</v>
      </c>
      <c r="AI253" s="53"/>
      <c r="AJ253" s="45">
        <f t="shared" si="47"/>
        <v>394790</v>
      </c>
      <c r="AK253" s="45"/>
      <c r="AL253" s="53">
        <f>101547-38323</f>
        <v>63224</v>
      </c>
      <c r="AM253" s="45"/>
      <c r="AN253" s="53">
        <v>0</v>
      </c>
      <c r="AO253" s="53"/>
      <c r="AP253" s="53">
        <v>0</v>
      </c>
      <c r="AQ253" s="53"/>
      <c r="AR253" s="53">
        <v>0</v>
      </c>
      <c r="AS253" s="53"/>
      <c r="AT253" s="45">
        <f t="shared" si="46"/>
        <v>458014</v>
      </c>
      <c r="AU253" s="45"/>
      <c r="AV253" s="53">
        <v>0</v>
      </c>
      <c r="AW253" s="53"/>
      <c r="AX253" s="53">
        <v>0</v>
      </c>
      <c r="AY253" s="53"/>
      <c r="AZ253" s="53">
        <f t="shared" si="41"/>
        <v>3977027</v>
      </c>
      <c r="BA253" s="51"/>
      <c r="BB253" s="35" t="s">
        <v>285</v>
      </c>
      <c r="BD253" s="35" t="s">
        <v>30</v>
      </c>
      <c r="BE253" s="53"/>
      <c r="BF253" s="53">
        <v>0</v>
      </c>
      <c r="BG253" s="53"/>
      <c r="BH253" s="53">
        <v>0</v>
      </c>
      <c r="BI253" s="53"/>
      <c r="BJ253" s="53">
        <v>0</v>
      </c>
      <c r="BK253" s="53"/>
      <c r="BL253" s="53">
        <f>842833+25636+48871</f>
        <v>917340</v>
      </c>
      <c r="BM253" s="53"/>
      <c r="BN253" s="53">
        <f t="shared" si="45"/>
        <v>917340</v>
      </c>
      <c r="BO253" s="54"/>
      <c r="BS253" s="55"/>
      <c r="BT253" s="55"/>
      <c r="BU253" s="84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</row>
    <row r="254" spans="1:95" s="126" customFormat="1" ht="12.75" hidden="1" customHeight="1">
      <c r="A254" s="126" t="s">
        <v>286</v>
      </c>
      <c r="C254" s="126" t="s">
        <v>61</v>
      </c>
      <c r="D254" s="121"/>
      <c r="E254" s="137">
        <f t="shared" si="42"/>
        <v>0</v>
      </c>
      <c r="F254" s="137"/>
      <c r="G254" s="137">
        <v>0</v>
      </c>
      <c r="H254" s="137"/>
      <c r="I254" s="137">
        <v>0</v>
      </c>
      <c r="J254" s="137"/>
      <c r="K254" s="137">
        <f t="shared" si="43"/>
        <v>0</v>
      </c>
      <c r="L254" s="137"/>
      <c r="M254" s="137">
        <v>0</v>
      </c>
      <c r="N254" s="137"/>
      <c r="O254" s="137">
        <v>0</v>
      </c>
      <c r="P254" s="137"/>
      <c r="Q254" s="137">
        <v>0</v>
      </c>
      <c r="R254" s="137"/>
      <c r="S254" s="137">
        <v>0</v>
      </c>
      <c r="T254" s="137"/>
      <c r="U254" s="137">
        <v>0</v>
      </c>
      <c r="V254" s="137"/>
      <c r="W254" s="137">
        <f t="shared" si="40"/>
        <v>0</v>
      </c>
      <c r="X254" s="124"/>
      <c r="Y254" s="124"/>
      <c r="Z254" s="126" t="s">
        <v>286</v>
      </c>
      <c r="AA254" s="137"/>
      <c r="AB254" s="126" t="s">
        <v>61</v>
      </c>
      <c r="AC254" s="124"/>
      <c r="AD254" s="137">
        <v>0</v>
      </c>
      <c r="AE254" s="137"/>
      <c r="AF254" s="137">
        <v>0</v>
      </c>
      <c r="AG254" s="137"/>
      <c r="AH254" s="137">
        <v>0</v>
      </c>
      <c r="AI254" s="137"/>
      <c r="AJ254" s="127">
        <f t="shared" si="47"/>
        <v>0</v>
      </c>
      <c r="AK254" s="127"/>
      <c r="AL254" s="137">
        <v>0</v>
      </c>
      <c r="AM254" s="127"/>
      <c r="AN254" s="137">
        <v>0</v>
      </c>
      <c r="AO254" s="137"/>
      <c r="AP254" s="137">
        <v>0</v>
      </c>
      <c r="AQ254" s="137"/>
      <c r="AR254" s="137">
        <v>0</v>
      </c>
      <c r="AS254" s="137"/>
      <c r="AT254" s="127">
        <f t="shared" si="46"/>
        <v>0</v>
      </c>
      <c r="AU254" s="127"/>
      <c r="AV254" s="137">
        <v>0</v>
      </c>
      <c r="AW254" s="137"/>
      <c r="AX254" s="137">
        <v>0</v>
      </c>
      <c r="AY254" s="137"/>
      <c r="AZ254" s="137">
        <f t="shared" si="41"/>
        <v>0</v>
      </c>
      <c r="BA254" s="124"/>
      <c r="BB254" s="126" t="s">
        <v>286</v>
      </c>
      <c r="BD254" s="126" t="s">
        <v>61</v>
      </c>
      <c r="BE254" s="137"/>
      <c r="BF254" s="137">
        <v>0</v>
      </c>
      <c r="BG254" s="137"/>
      <c r="BH254" s="137">
        <v>0</v>
      </c>
      <c r="BI254" s="137"/>
      <c r="BJ254" s="137">
        <v>0</v>
      </c>
      <c r="BK254" s="137"/>
      <c r="BL254" s="137">
        <v>0</v>
      </c>
      <c r="BM254" s="137"/>
      <c r="BN254" s="137">
        <f t="shared" si="45"/>
        <v>0</v>
      </c>
      <c r="BO254" s="139"/>
      <c r="BS254" s="140"/>
      <c r="BT254" s="140"/>
      <c r="BU254" s="141"/>
      <c r="BV254" s="140"/>
      <c r="BW254" s="140"/>
      <c r="BX254" s="140"/>
      <c r="BY254" s="140"/>
      <c r="BZ254" s="140"/>
      <c r="CA254" s="140"/>
      <c r="CB254" s="140"/>
      <c r="CC254" s="140"/>
      <c r="CD254" s="140"/>
      <c r="CE254" s="140"/>
      <c r="CF254" s="140"/>
      <c r="CG254" s="140"/>
      <c r="CH254" s="140"/>
      <c r="CI254" s="140"/>
      <c r="CJ254" s="140"/>
      <c r="CK254" s="140"/>
      <c r="CL254" s="140"/>
      <c r="CM254" s="140"/>
      <c r="CN254" s="140"/>
      <c r="CO254" s="140"/>
      <c r="CP254" s="140"/>
      <c r="CQ254" s="140"/>
    </row>
    <row r="255" spans="1:95" s="35" customFormat="1" ht="12.75" customHeight="1">
      <c r="A255" s="35" t="s">
        <v>287</v>
      </c>
      <c r="C255" s="35" t="s">
        <v>288</v>
      </c>
      <c r="D255" s="44"/>
      <c r="E255" s="53">
        <f t="shared" si="42"/>
        <v>2488235</v>
      </c>
      <c r="F255" s="53"/>
      <c r="G255" s="53">
        <v>12663327</v>
      </c>
      <c r="H255" s="53"/>
      <c r="I255" s="53">
        <v>15151562</v>
      </c>
      <c r="J255" s="53"/>
      <c r="K255" s="53">
        <f t="shared" si="43"/>
        <v>1201656</v>
      </c>
      <c r="L255" s="53"/>
      <c r="M255" s="53">
        <v>3791836</v>
      </c>
      <c r="N255" s="53"/>
      <c r="O255" s="53">
        <v>4993492</v>
      </c>
      <c r="P255" s="53"/>
      <c r="Q255" s="53">
        <v>8500493</v>
      </c>
      <c r="R255" s="53"/>
      <c r="S255" s="53">
        <v>0</v>
      </c>
      <c r="T255" s="53"/>
      <c r="U255" s="53">
        <v>1657577</v>
      </c>
      <c r="V255" s="53"/>
      <c r="W255" s="53">
        <f t="shared" si="40"/>
        <v>10158070</v>
      </c>
      <c r="X255" s="51"/>
      <c r="Y255" s="51"/>
      <c r="Z255" s="35" t="s">
        <v>287</v>
      </c>
      <c r="AA255" s="53"/>
      <c r="AB255" s="35" t="s">
        <v>288</v>
      </c>
      <c r="AD255" s="53">
        <v>5157028</v>
      </c>
      <c r="AE255" s="53"/>
      <c r="AF255" s="53">
        <f>3767684-192119</f>
        <v>3575565</v>
      </c>
      <c r="AG255" s="53"/>
      <c r="AH255" s="53">
        <v>192119</v>
      </c>
      <c r="AI255" s="53"/>
      <c r="AJ255" s="45">
        <f t="shared" si="47"/>
        <v>1389344</v>
      </c>
      <c r="AK255" s="45"/>
      <c r="AL255" s="53">
        <v>-28281</v>
      </c>
      <c r="AM255" s="45"/>
      <c r="AN255" s="53">
        <v>0</v>
      </c>
      <c r="AO255" s="53"/>
      <c r="AP255" s="53">
        <v>0</v>
      </c>
      <c r="AQ255" s="53"/>
      <c r="AR255" s="53">
        <v>4717357</v>
      </c>
      <c r="AS255" s="53"/>
      <c r="AT255" s="45">
        <f t="shared" si="46"/>
        <v>6078420</v>
      </c>
      <c r="AU255" s="45"/>
      <c r="AV255" s="53">
        <v>0</v>
      </c>
      <c r="AW255" s="53"/>
      <c r="AX255" s="53">
        <v>0</v>
      </c>
      <c r="AY255" s="53"/>
      <c r="AZ255" s="53">
        <f t="shared" si="41"/>
        <v>1286579</v>
      </c>
      <c r="BA255" s="51"/>
      <c r="BB255" s="35" t="s">
        <v>287</v>
      </c>
      <c r="BD255" s="35" t="s">
        <v>288</v>
      </c>
      <c r="BE255" s="53"/>
      <c r="BF255" s="53">
        <f>505500+63000</f>
        <v>568500</v>
      </c>
      <c r="BG255" s="53"/>
      <c r="BH255" s="53">
        <v>0</v>
      </c>
      <c r="BI255" s="53"/>
      <c r="BJ255" s="53">
        <f>128673+3076015+35241+354405</f>
        <v>3594334</v>
      </c>
      <c r="BK255" s="53"/>
      <c r="BL255" s="53">
        <f>81648+136202</f>
        <v>217850</v>
      </c>
      <c r="BM255" s="53"/>
      <c r="BN255" s="53">
        <f t="shared" si="45"/>
        <v>4380684</v>
      </c>
      <c r="BO255" s="54"/>
      <c r="BS255" s="55"/>
      <c r="BT255" s="55"/>
      <c r="BU255" s="84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</row>
    <row r="256" spans="1:95" s="35" customFormat="1" ht="12.75" customHeight="1">
      <c r="B256" s="51"/>
      <c r="D256" s="44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1"/>
      <c r="Y256" s="51"/>
      <c r="AA256" s="53"/>
      <c r="AC256" s="51"/>
      <c r="AD256" s="53"/>
      <c r="AE256" s="53"/>
      <c r="AF256" s="53"/>
      <c r="AG256" s="53"/>
      <c r="AH256" s="53"/>
      <c r="AI256" s="53"/>
      <c r="AJ256" s="45"/>
      <c r="AK256" s="45"/>
      <c r="AL256" s="53"/>
      <c r="AM256" s="45"/>
      <c r="AN256" s="53"/>
      <c r="AO256" s="53"/>
      <c r="AP256" s="53"/>
      <c r="AQ256" s="53"/>
      <c r="AR256" s="53"/>
      <c r="AS256" s="53"/>
      <c r="AT256" s="45"/>
      <c r="AU256" s="45"/>
      <c r="AV256" s="53"/>
      <c r="AW256" s="53"/>
      <c r="AX256" s="53"/>
      <c r="AY256" s="53"/>
      <c r="AZ256" s="53"/>
      <c r="BA256" s="51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4"/>
      <c r="BS256" s="55"/>
      <c r="BT256" s="55"/>
      <c r="BU256" s="84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</row>
    <row r="257" spans="2:95" s="35" customFormat="1" ht="12.75" customHeight="1">
      <c r="B257" s="51"/>
      <c r="D257" s="44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1"/>
      <c r="Y257" s="51"/>
      <c r="AA257" s="47"/>
      <c r="AC257" s="51"/>
      <c r="AD257" s="53"/>
      <c r="AE257" s="53"/>
      <c r="AF257" s="53"/>
      <c r="AG257" s="53"/>
      <c r="AH257" s="53"/>
      <c r="AI257" s="53"/>
      <c r="AJ257" s="45"/>
      <c r="AK257" s="45"/>
      <c r="AL257" s="45"/>
      <c r="AM257" s="45"/>
      <c r="AN257" s="53"/>
      <c r="AO257" s="53"/>
      <c r="AP257" s="53"/>
      <c r="AQ257" s="53"/>
      <c r="AR257" s="53"/>
      <c r="AS257" s="53"/>
      <c r="AT257" s="45"/>
      <c r="AU257" s="45"/>
      <c r="AV257" s="53"/>
      <c r="AW257" s="53"/>
      <c r="AX257" s="53"/>
      <c r="AY257" s="53"/>
      <c r="AZ257" s="53"/>
      <c r="BA257" s="51"/>
      <c r="BB257" s="55"/>
      <c r="BC257" s="55"/>
      <c r="BD257" s="55"/>
      <c r="BE257" s="55"/>
      <c r="BF257" s="53"/>
      <c r="BG257" s="53"/>
      <c r="BH257" s="53"/>
      <c r="BI257" s="53"/>
      <c r="BJ257" s="53"/>
      <c r="BK257" s="53"/>
      <c r="BL257" s="53"/>
      <c r="BM257" s="53"/>
      <c r="BN257" s="53"/>
      <c r="BO257" s="55"/>
      <c r="BP257" s="55"/>
      <c r="BQ257" s="55"/>
      <c r="BR257" s="55"/>
      <c r="BS257" s="55"/>
      <c r="BT257" s="55"/>
      <c r="BU257" s="84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</row>
    <row r="258" spans="2:95" s="35" customFormat="1" ht="12.75" customHeight="1">
      <c r="B258" s="51"/>
      <c r="D258" s="44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1"/>
      <c r="Y258" s="51"/>
      <c r="AA258" s="47"/>
      <c r="AC258" s="51"/>
      <c r="AD258" s="53"/>
      <c r="AE258" s="53"/>
      <c r="AF258" s="53"/>
      <c r="AG258" s="53"/>
      <c r="AH258" s="53"/>
      <c r="AI258" s="53"/>
      <c r="AJ258" s="45"/>
      <c r="AK258" s="45"/>
      <c r="AL258" s="45"/>
      <c r="AM258" s="45"/>
      <c r="AN258" s="53"/>
      <c r="AO258" s="53"/>
      <c r="AP258" s="53"/>
      <c r="AQ258" s="53"/>
      <c r="AR258" s="53"/>
      <c r="AS258" s="53"/>
      <c r="AT258" s="45"/>
      <c r="AU258" s="45"/>
      <c r="AV258" s="53"/>
      <c r="AW258" s="53"/>
      <c r="AX258" s="53"/>
      <c r="AY258" s="53"/>
      <c r="AZ258" s="53"/>
      <c r="BA258" s="51"/>
      <c r="BB258" s="55"/>
      <c r="BC258" s="55"/>
      <c r="BD258" s="55"/>
      <c r="BE258" s="55"/>
      <c r="BF258" s="53"/>
      <c r="BG258" s="53"/>
      <c r="BH258" s="53"/>
      <c r="BI258" s="53"/>
      <c r="BJ258" s="53"/>
      <c r="BK258" s="53"/>
      <c r="BL258" s="53"/>
      <c r="BM258" s="53"/>
      <c r="BN258" s="53"/>
      <c r="BO258" s="55"/>
      <c r="BP258" s="55"/>
      <c r="BQ258" s="55"/>
      <c r="BR258" s="55"/>
      <c r="BS258" s="55"/>
      <c r="BT258" s="55"/>
      <c r="BU258" s="84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</row>
    <row r="259" spans="2:95" s="35" customFormat="1" ht="12.75" customHeight="1">
      <c r="D259" s="44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AA259" s="53"/>
      <c r="AD259" s="53"/>
      <c r="AE259" s="53"/>
      <c r="AF259" s="53"/>
      <c r="AG259" s="53"/>
      <c r="AH259" s="53"/>
      <c r="AI259" s="53"/>
      <c r="AJ259" s="45"/>
      <c r="AK259" s="45"/>
      <c r="AL259" s="45"/>
      <c r="AM259" s="45"/>
      <c r="AN259" s="53"/>
      <c r="AO259" s="53"/>
      <c r="AP259" s="53"/>
      <c r="AQ259" s="53"/>
      <c r="AR259" s="53"/>
      <c r="AS259" s="53"/>
      <c r="AT259" s="45"/>
      <c r="AU259" s="45"/>
      <c r="AV259" s="53"/>
      <c r="AW259" s="53"/>
      <c r="AX259" s="53"/>
      <c r="AY259" s="53"/>
      <c r="AZ259" s="53"/>
      <c r="BA259" s="51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4"/>
      <c r="BS259" s="55"/>
      <c r="BT259" s="55"/>
      <c r="BU259" s="84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</row>
    <row r="260" spans="2:95" s="35" customFormat="1" ht="12.75" customHeight="1">
      <c r="D260" s="44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AA260" s="53"/>
      <c r="AD260" s="53"/>
      <c r="AE260" s="53"/>
      <c r="AF260" s="53"/>
      <c r="AG260" s="53"/>
      <c r="AH260" s="53"/>
      <c r="AI260" s="53"/>
      <c r="AJ260" s="45"/>
      <c r="AK260" s="45"/>
      <c r="AL260" s="45"/>
      <c r="AM260" s="45"/>
      <c r="AN260" s="53"/>
      <c r="AO260" s="53"/>
      <c r="AP260" s="53"/>
      <c r="AQ260" s="53"/>
      <c r="AR260" s="53"/>
      <c r="AS260" s="53"/>
      <c r="AT260" s="45"/>
      <c r="AU260" s="45"/>
      <c r="AV260" s="53"/>
      <c r="AW260" s="53"/>
      <c r="AX260" s="53"/>
      <c r="AY260" s="53"/>
      <c r="AZ260" s="53"/>
      <c r="BA260" s="51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4"/>
      <c r="BS260" s="55"/>
      <c r="BT260" s="55"/>
      <c r="BU260" s="84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</row>
    <row r="261" spans="2:95" s="35" customFormat="1" ht="12.75" customHeight="1">
      <c r="B261" s="51"/>
      <c r="D261" s="44"/>
      <c r="X261" s="51"/>
      <c r="Y261" s="51"/>
      <c r="AA261" s="47"/>
      <c r="AC261" s="51"/>
      <c r="AT261" s="45"/>
      <c r="AU261" s="45"/>
      <c r="BA261" s="51"/>
      <c r="BC261" s="47"/>
      <c r="BO261" s="54"/>
      <c r="BS261" s="55"/>
      <c r="BT261" s="55"/>
      <c r="BU261" s="84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</row>
    <row r="262" spans="2:95" s="35" customFormat="1" ht="12.75" customHeight="1">
      <c r="B262" s="51"/>
      <c r="D262" s="44"/>
      <c r="X262" s="51"/>
      <c r="Y262" s="51"/>
      <c r="AA262" s="47"/>
      <c r="AC262" s="51"/>
      <c r="BA262" s="51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84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</row>
    <row r="263" spans="2:95" s="35" customFormat="1" ht="12.75" customHeight="1">
      <c r="B263" s="51"/>
      <c r="D263" s="44"/>
      <c r="X263" s="51"/>
      <c r="Y263" s="51"/>
      <c r="AA263" s="47"/>
      <c r="AC263" s="51"/>
      <c r="BA263" s="51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84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</row>
    <row r="264" spans="2:95" s="35" customFormat="1" ht="12.75" customHeight="1">
      <c r="B264" s="51"/>
      <c r="D264" s="44"/>
      <c r="X264" s="51"/>
      <c r="Y264" s="51"/>
      <c r="AA264" s="47"/>
      <c r="AC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65"/>
      <c r="BA264" s="51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84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</row>
    <row r="265" spans="2:95" s="35" customFormat="1" ht="12.75" customHeight="1">
      <c r="B265" s="51"/>
      <c r="D265" s="44"/>
      <c r="M265" s="53"/>
      <c r="X265" s="51"/>
      <c r="Y265" s="51"/>
      <c r="AA265" s="47"/>
      <c r="AC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65"/>
      <c r="BA265" s="51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84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</row>
    <row r="266" spans="2:95" s="35" customFormat="1" ht="12.75" customHeight="1">
      <c r="B266" s="51"/>
      <c r="D266" s="44"/>
      <c r="X266" s="51"/>
      <c r="Y266" s="51"/>
      <c r="AA266" s="47"/>
      <c r="AC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65"/>
      <c r="BA266" s="51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84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</row>
    <row r="267" spans="2:95" s="35" customFormat="1" ht="12.75" customHeight="1">
      <c r="B267" s="51"/>
      <c r="D267" s="44"/>
      <c r="X267" s="51"/>
      <c r="Y267" s="51"/>
      <c r="AA267" s="47"/>
      <c r="AC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65"/>
      <c r="BA267" s="51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84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</row>
    <row r="268" spans="2:95" s="35" customFormat="1" ht="12.75" customHeight="1">
      <c r="B268" s="51"/>
      <c r="D268" s="44"/>
      <c r="X268" s="51"/>
      <c r="Y268" s="51"/>
      <c r="AA268" s="47"/>
      <c r="AC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65"/>
      <c r="BA268" s="51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84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</row>
    <row r="269" spans="2:95" s="35" customFormat="1" ht="12.75" customHeight="1">
      <c r="B269" s="51"/>
      <c r="D269" s="44"/>
      <c r="X269" s="51"/>
      <c r="Y269" s="51"/>
      <c r="AA269" s="47"/>
      <c r="AC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65"/>
      <c r="BA269" s="51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84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</row>
    <row r="270" spans="2:95" s="35" customFormat="1" ht="12.75" customHeight="1">
      <c r="B270" s="51"/>
      <c r="D270" s="44"/>
      <c r="X270" s="51"/>
      <c r="Y270" s="51"/>
      <c r="AA270" s="47"/>
      <c r="AC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65"/>
      <c r="BA270" s="51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84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</row>
    <row r="271" spans="2:95" s="35" customFormat="1" ht="12.75" customHeight="1">
      <c r="B271" s="51"/>
      <c r="D271" s="44"/>
      <c r="X271" s="51"/>
      <c r="Y271" s="51"/>
      <c r="AA271" s="47"/>
      <c r="AC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65"/>
      <c r="BA271" s="51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84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</row>
    <row r="272" spans="2:95" s="35" customFormat="1" ht="12.75" customHeight="1">
      <c r="B272" s="51"/>
      <c r="D272" s="44"/>
      <c r="X272" s="51"/>
      <c r="Y272" s="51"/>
      <c r="AA272" s="47"/>
      <c r="AC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65"/>
      <c r="BA272" s="51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84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</row>
    <row r="273" spans="2:95" s="35" customFormat="1" ht="12.75" customHeight="1">
      <c r="B273" s="51"/>
      <c r="D273" s="44"/>
      <c r="X273" s="51"/>
      <c r="Y273" s="51"/>
      <c r="AA273" s="47"/>
      <c r="AC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65"/>
      <c r="BA273" s="51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84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</row>
    <row r="274" spans="2:95" s="35" customFormat="1" ht="12.75" customHeight="1">
      <c r="B274" s="51"/>
      <c r="D274" s="44"/>
      <c r="X274" s="51"/>
      <c r="Y274" s="51"/>
      <c r="AA274" s="47"/>
      <c r="AC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65"/>
      <c r="BA274" s="51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84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</row>
    <row r="275" spans="2:95" s="35" customFormat="1" ht="12.75" customHeight="1">
      <c r="B275" s="51"/>
      <c r="D275" s="44"/>
      <c r="X275" s="51"/>
      <c r="Y275" s="51"/>
      <c r="AA275" s="47"/>
      <c r="AC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65"/>
      <c r="BA275" s="51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84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</row>
    <row r="276" spans="2:95" s="35" customFormat="1" ht="12.75" customHeight="1">
      <c r="B276" s="51"/>
      <c r="D276" s="44"/>
      <c r="X276" s="51"/>
      <c r="Y276" s="51"/>
      <c r="AA276" s="47"/>
      <c r="AC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65"/>
      <c r="BA276" s="51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84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</row>
    <row r="277" spans="2:95" s="35" customFormat="1" ht="12.75" customHeight="1">
      <c r="B277" s="51"/>
      <c r="D277" s="44"/>
      <c r="X277" s="51"/>
      <c r="Y277" s="51"/>
      <c r="AA277" s="47"/>
      <c r="AC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65"/>
      <c r="BA277" s="51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84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</row>
    <row r="278" spans="2:95" s="35" customFormat="1" ht="12.75" customHeight="1">
      <c r="B278" s="51"/>
      <c r="D278" s="44"/>
      <c r="X278" s="51"/>
      <c r="Y278" s="51"/>
      <c r="AA278" s="47"/>
      <c r="AC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65"/>
      <c r="BA278" s="51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84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</row>
    <row r="279" spans="2:95" s="35" customFormat="1" ht="12.75" customHeight="1">
      <c r="B279" s="51"/>
      <c r="D279" s="44"/>
      <c r="X279" s="51"/>
      <c r="Y279" s="51"/>
      <c r="AA279" s="47"/>
      <c r="AC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65"/>
      <c r="BA279" s="51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84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</row>
    <row r="280" spans="2:95" s="35" customFormat="1" ht="12.75" customHeight="1">
      <c r="B280" s="51"/>
      <c r="D280" s="44"/>
      <c r="X280" s="51"/>
      <c r="Y280" s="51"/>
      <c r="AA280" s="47"/>
      <c r="AC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65"/>
      <c r="BA280" s="51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84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</row>
    <row r="281" spans="2:95" s="35" customFormat="1" ht="12.75" customHeight="1">
      <c r="B281" s="51"/>
      <c r="D281" s="44"/>
      <c r="X281" s="51"/>
      <c r="Y281" s="51"/>
      <c r="AA281" s="47"/>
      <c r="AC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65"/>
      <c r="BA281" s="51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84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</row>
    <row r="282" spans="2:95" s="35" customFormat="1" ht="12.75" customHeight="1">
      <c r="B282" s="51"/>
      <c r="D282" s="44"/>
      <c r="X282" s="51"/>
      <c r="Y282" s="51"/>
      <c r="AA282" s="47"/>
      <c r="AC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65"/>
      <c r="BA282" s="51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84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</row>
    <row r="283" spans="2:95" s="35" customFormat="1" ht="12.75" customHeight="1">
      <c r="B283" s="51"/>
      <c r="D283" s="44"/>
      <c r="X283" s="51"/>
      <c r="Y283" s="51"/>
      <c r="AA283" s="47"/>
      <c r="AC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65"/>
      <c r="BA283" s="51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84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</row>
    <row r="284" spans="2:95" s="35" customFormat="1" ht="12.75" customHeight="1">
      <c r="B284" s="51"/>
      <c r="D284" s="44"/>
      <c r="X284" s="51"/>
      <c r="Y284" s="51"/>
      <c r="AA284" s="47"/>
      <c r="AC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65"/>
      <c r="BA284" s="51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84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</row>
    <row r="285" spans="2:95" s="35" customFormat="1" ht="12.75" customHeight="1">
      <c r="B285" s="51"/>
      <c r="D285" s="44"/>
      <c r="X285" s="51"/>
      <c r="Y285" s="51"/>
      <c r="AA285" s="47"/>
      <c r="AC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65"/>
      <c r="BA285" s="51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84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</row>
    <row r="286" spans="2:95" s="35" customFormat="1" ht="12.75" customHeight="1">
      <c r="B286" s="51"/>
      <c r="D286" s="44"/>
      <c r="X286" s="51"/>
      <c r="Y286" s="51"/>
      <c r="AA286" s="47"/>
      <c r="AC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65"/>
      <c r="BA286" s="51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84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</row>
    <row r="287" spans="2:95" s="35" customFormat="1" ht="12.75" customHeight="1">
      <c r="B287" s="51"/>
      <c r="D287" s="44"/>
      <c r="X287" s="51"/>
      <c r="Y287" s="51"/>
      <c r="AA287" s="47"/>
      <c r="AC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65"/>
      <c r="BA287" s="51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84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</row>
    <row r="288" spans="2:95" s="35" customFormat="1" ht="12.75" customHeight="1">
      <c r="B288" s="51"/>
      <c r="D288" s="44"/>
      <c r="X288" s="51"/>
      <c r="Y288" s="51"/>
      <c r="AA288" s="47"/>
      <c r="AC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65"/>
      <c r="BA288" s="51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84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</row>
    <row r="289" spans="2:95" s="35" customFormat="1" ht="12.75" customHeight="1">
      <c r="B289" s="51"/>
      <c r="D289" s="44"/>
      <c r="X289" s="51"/>
      <c r="Y289" s="51"/>
      <c r="AA289" s="47"/>
      <c r="AC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65"/>
      <c r="BA289" s="51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84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</row>
    <row r="290" spans="2:95" s="35" customFormat="1" ht="12.75" customHeight="1">
      <c r="B290" s="51"/>
      <c r="D290" s="44"/>
      <c r="X290" s="51"/>
      <c r="Y290" s="51"/>
      <c r="AA290" s="47"/>
      <c r="AC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65"/>
      <c r="BA290" s="51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84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</row>
    <row r="291" spans="2:95" s="35" customFormat="1" ht="12.75" customHeight="1">
      <c r="B291" s="51"/>
      <c r="D291" s="44"/>
      <c r="X291" s="51"/>
      <c r="Y291" s="51"/>
      <c r="AA291" s="47"/>
      <c r="AC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65"/>
      <c r="BA291" s="51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84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</row>
    <row r="292" spans="2:95" s="35" customFormat="1" ht="12.75" customHeight="1">
      <c r="B292" s="51"/>
      <c r="D292" s="44"/>
      <c r="X292" s="51"/>
      <c r="Y292" s="51"/>
      <c r="AA292" s="47"/>
      <c r="AC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65"/>
      <c r="BA292" s="51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84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</row>
    <row r="293" spans="2:95" s="35" customFormat="1" ht="12.75" customHeight="1">
      <c r="B293" s="51"/>
      <c r="D293" s="44"/>
      <c r="X293" s="51"/>
      <c r="Y293" s="51"/>
      <c r="AA293" s="47"/>
      <c r="AC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65"/>
      <c r="BA293" s="51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84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</row>
    <row r="294" spans="2:95" s="35" customFormat="1" ht="12.75" customHeight="1">
      <c r="B294" s="51"/>
      <c r="D294" s="44"/>
      <c r="X294" s="51"/>
      <c r="Y294" s="51"/>
      <c r="AA294" s="47"/>
      <c r="AC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65"/>
      <c r="BA294" s="51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84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</row>
    <row r="295" spans="2:95" s="35" customFormat="1" ht="12.75" customHeight="1">
      <c r="B295" s="51"/>
      <c r="D295" s="44"/>
      <c r="X295" s="51"/>
      <c r="Y295" s="51"/>
      <c r="AA295" s="47"/>
      <c r="AC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65"/>
      <c r="BA295" s="51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84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</row>
    <row r="296" spans="2:95" s="35" customFormat="1" ht="12.75" customHeight="1">
      <c r="B296" s="51"/>
      <c r="D296" s="44"/>
      <c r="X296" s="51"/>
      <c r="Y296" s="51"/>
      <c r="AA296" s="47"/>
      <c r="AC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65"/>
      <c r="BA296" s="51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84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</row>
    <row r="297" spans="2:95" s="35" customFormat="1" ht="12.75" customHeight="1">
      <c r="B297" s="51"/>
      <c r="D297" s="44"/>
      <c r="X297" s="51"/>
      <c r="Y297" s="51"/>
      <c r="AA297" s="47"/>
      <c r="AC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65"/>
      <c r="BA297" s="51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84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</row>
    <row r="298" spans="2:95" s="35" customFormat="1" ht="12.75" customHeight="1">
      <c r="B298" s="51"/>
      <c r="D298" s="44"/>
      <c r="X298" s="51"/>
      <c r="Y298" s="51"/>
      <c r="AA298" s="47"/>
      <c r="AC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65"/>
      <c r="BA298" s="51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84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</row>
    <row r="299" spans="2:95" s="35" customFormat="1" ht="12.75" customHeight="1">
      <c r="B299" s="51"/>
      <c r="D299" s="44"/>
      <c r="X299" s="51"/>
      <c r="Y299" s="51"/>
      <c r="AA299" s="47"/>
      <c r="AC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65"/>
      <c r="BA299" s="51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84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</row>
    <row r="300" spans="2:95" s="35" customFormat="1" ht="12.75" customHeight="1">
      <c r="B300" s="51"/>
      <c r="D300" s="44"/>
      <c r="X300" s="51"/>
      <c r="Y300" s="51"/>
      <c r="AA300" s="47"/>
      <c r="AC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65"/>
      <c r="BA300" s="51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84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</row>
    <row r="301" spans="2:95" s="35" customFormat="1" ht="12.75" customHeight="1">
      <c r="B301" s="51"/>
      <c r="D301" s="44"/>
      <c r="X301" s="51"/>
      <c r="Y301" s="51"/>
      <c r="AA301" s="47"/>
      <c r="AC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65"/>
      <c r="BA301" s="51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84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</row>
    <row r="302" spans="2:95" s="35" customFormat="1" ht="12.75" customHeight="1">
      <c r="B302" s="51"/>
      <c r="D302" s="44"/>
      <c r="X302" s="51"/>
      <c r="Y302" s="51"/>
      <c r="AA302" s="47"/>
      <c r="AC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65"/>
      <c r="BA302" s="51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84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</row>
    <row r="303" spans="2:95" s="35" customFormat="1" ht="12.75" customHeight="1">
      <c r="B303" s="51"/>
      <c r="D303" s="44"/>
      <c r="X303" s="51"/>
      <c r="Y303" s="51"/>
      <c r="AA303" s="47"/>
      <c r="AC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65"/>
      <c r="BA303" s="51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84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</row>
    <row r="304" spans="2:95" s="35" customFormat="1" ht="12.75" customHeight="1">
      <c r="B304" s="51"/>
      <c r="D304" s="44"/>
      <c r="X304" s="51"/>
      <c r="Y304" s="51"/>
      <c r="AA304" s="47"/>
      <c r="AC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65"/>
      <c r="BA304" s="51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84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</row>
    <row r="305" spans="2:95" s="35" customFormat="1" ht="12.75" customHeight="1">
      <c r="B305" s="51"/>
      <c r="D305" s="44"/>
      <c r="X305" s="51"/>
      <c r="Y305" s="51"/>
      <c r="AA305" s="47"/>
      <c r="AC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65"/>
      <c r="BA305" s="51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84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</row>
    <row r="306" spans="2:95" s="35" customFormat="1" ht="12.75" customHeight="1">
      <c r="B306" s="51"/>
      <c r="D306" s="44"/>
      <c r="X306" s="51"/>
      <c r="Y306" s="51"/>
      <c r="AA306" s="47"/>
      <c r="AC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65"/>
      <c r="BA306" s="51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84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</row>
    <row r="307" spans="2:95" s="35" customFormat="1" ht="12.75" customHeight="1">
      <c r="B307" s="51"/>
      <c r="D307" s="44"/>
      <c r="X307" s="51"/>
      <c r="Y307" s="51"/>
      <c r="AA307" s="47"/>
      <c r="AC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65"/>
      <c r="BA307" s="51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84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</row>
    <row r="308" spans="2:95" s="35" customFormat="1" ht="12.75" customHeight="1">
      <c r="B308" s="51"/>
      <c r="D308" s="44"/>
      <c r="X308" s="51"/>
      <c r="Y308" s="51"/>
      <c r="AA308" s="47"/>
      <c r="AC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65"/>
      <c r="BA308" s="51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84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</row>
    <row r="309" spans="2:95" s="35" customFormat="1" ht="12.75" customHeight="1">
      <c r="B309" s="51"/>
      <c r="D309" s="44"/>
      <c r="X309" s="51"/>
      <c r="Y309" s="51"/>
      <c r="AA309" s="47"/>
      <c r="AC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65"/>
      <c r="BA309" s="51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84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</row>
    <row r="310" spans="2:95" s="35" customFormat="1" ht="12.75" customHeight="1">
      <c r="B310" s="51"/>
      <c r="D310" s="44"/>
      <c r="X310" s="51"/>
      <c r="Y310" s="51"/>
      <c r="AA310" s="47"/>
      <c r="AC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65"/>
      <c r="BA310" s="51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84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</row>
    <row r="311" spans="2:95" s="35" customFormat="1" ht="12.75" customHeight="1">
      <c r="B311" s="51"/>
      <c r="D311" s="44"/>
      <c r="X311" s="51"/>
      <c r="Y311" s="51"/>
      <c r="AA311" s="47"/>
      <c r="AC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65"/>
      <c r="BA311" s="51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84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</row>
    <row r="312" spans="2:95" s="35" customFormat="1" ht="12.75" customHeight="1">
      <c r="B312" s="51"/>
      <c r="D312" s="44"/>
      <c r="X312" s="51"/>
      <c r="Y312" s="51"/>
      <c r="AA312" s="47"/>
      <c r="AC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65"/>
      <c r="BA312" s="51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84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</row>
    <row r="313" spans="2:95" s="35" customFormat="1" ht="12.75" customHeight="1">
      <c r="B313" s="51"/>
      <c r="D313" s="44"/>
      <c r="X313" s="51"/>
      <c r="Y313" s="51"/>
      <c r="AA313" s="47"/>
      <c r="AC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65"/>
      <c r="BA313" s="51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84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</row>
    <row r="314" spans="2:95" s="35" customFormat="1" ht="12.75" customHeight="1">
      <c r="B314" s="51"/>
      <c r="D314" s="44"/>
      <c r="X314" s="51"/>
      <c r="Y314" s="51"/>
      <c r="AA314" s="47"/>
      <c r="AC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65"/>
      <c r="BA314" s="51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84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</row>
    <row r="315" spans="2:95" s="35" customFormat="1" ht="12.75" customHeight="1">
      <c r="B315" s="51"/>
      <c r="D315" s="44"/>
      <c r="X315" s="51"/>
      <c r="Y315" s="51"/>
      <c r="AA315" s="47"/>
      <c r="AC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65"/>
      <c r="BA315" s="51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84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</row>
    <row r="316" spans="2:95" s="35" customFormat="1" ht="12.75" customHeight="1">
      <c r="B316" s="51"/>
      <c r="D316" s="44"/>
      <c r="X316" s="51"/>
      <c r="Y316" s="51"/>
      <c r="AA316" s="47"/>
      <c r="AC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65"/>
      <c r="BA316" s="51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84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</row>
    <row r="317" spans="2:95" s="35" customFormat="1" ht="12.75" customHeight="1">
      <c r="B317" s="51"/>
      <c r="D317" s="44"/>
      <c r="X317" s="51"/>
      <c r="Y317" s="51"/>
      <c r="AA317" s="47"/>
      <c r="AC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65"/>
      <c r="BA317" s="51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84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</row>
    <row r="318" spans="2:95" s="35" customFormat="1" ht="12.75" customHeight="1">
      <c r="B318" s="51"/>
      <c r="D318" s="44"/>
      <c r="X318" s="51"/>
      <c r="Y318" s="51"/>
      <c r="AA318" s="47"/>
      <c r="AC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65"/>
      <c r="BA318" s="51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84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</row>
    <row r="319" spans="2:95" s="35" customFormat="1" ht="12.75" customHeight="1">
      <c r="B319" s="51"/>
      <c r="D319" s="44"/>
      <c r="X319" s="51"/>
      <c r="Y319" s="51"/>
      <c r="AA319" s="47"/>
      <c r="AC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65"/>
      <c r="BA319" s="51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84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</row>
    <row r="320" spans="2:95" s="35" customFormat="1" ht="12.75" customHeight="1">
      <c r="B320" s="51"/>
      <c r="D320" s="44"/>
      <c r="X320" s="51"/>
      <c r="Y320" s="51"/>
      <c r="AA320" s="47"/>
      <c r="AC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65"/>
      <c r="BA320" s="51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84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</row>
    <row r="321" spans="2:95" s="35" customFormat="1" ht="12.75" customHeight="1">
      <c r="B321" s="51"/>
      <c r="D321" s="44"/>
      <c r="X321" s="51"/>
      <c r="Y321" s="51"/>
      <c r="AA321" s="47"/>
      <c r="AC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65"/>
      <c r="BA321" s="51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84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</row>
    <row r="322" spans="2:95" s="35" customFormat="1" ht="12.75" customHeight="1">
      <c r="B322" s="51"/>
      <c r="D322" s="44"/>
      <c r="X322" s="51"/>
      <c r="Y322" s="51"/>
      <c r="AA322" s="47"/>
      <c r="AC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65"/>
      <c r="BA322" s="51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84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</row>
    <row r="323" spans="2:95" s="35" customFormat="1" ht="12.75" customHeight="1">
      <c r="B323" s="51"/>
      <c r="D323" s="44"/>
      <c r="X323" s="51"/>
      <c r="Y323" s="51"/>
      <c r="AA323" s="47"/>
      <c r="AC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65"/>
      <c r="BA323" s="51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84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</row>
    <row r="324" spans="2:95" s="35" customFormat="1" ht="12.75" customHeight="1">
      <c r="B324" s="51"/>
      <c r="D324" s="44"/>
      <c r="X324" s="51"/>
      <c r="Y324" s="51"/>
      <c r="AA324" s="47"/>
      <c r="AC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65"/>
      <c r="BA324" s="51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84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</row>
    <row r="325" spans="2:95" s="35" customFormat="1" ht="12.75" customHeight="1">
      <c r="B325" s="51"/>
      <c r="D325" s="44"/>
      <c r="X325" s="51"/>
      <c r="Y325" s="51"/>
      <c r="AA325" s="47"/>
      <c r="AC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65"/>
      <c r="BA325" s="51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84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</row>
    <row r="326" spans="2:95" s="35" customFormat="1" ht="12.75" customHeight="1">
      <c r="B326" s="51"/>
      <c r="D326" s="44"/>
      <c r="X326" s="51"/>
      <c r="Y326" s="51"/>
      <c r="AA326" s="47"/>
      <c r="AC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65"/>
      <c r="BA326" s="51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84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</row>
    <row r="327" spans="2:95" s="35" customFormat="1" ht="12.75" customHeight="1">
      <c r="B327" s="51"/>
      <c r="D327" s="44"/>
      <c r="X327" s="51"/>
      <c r="Y327" s="51"/>
      <c r="AA327" s="47"/>
      <c r="AC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65"/>
      <c r="BA327" s="51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84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</row>
    <row r="328" spans="2:95" s="35" customFormat="1" ht="12.75" customHeight="1">
      <c r="B328" s="51"/>
      <c r="D328" s="44"/>
      <c r="X328" s="51"/>
      <c r="Y328" s="51"/>
      <c r="AA328" s="47"/>
      <c r="AC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65"/>
      <c r="BA328" s="51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84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</row>
    <row r="329" spans="2:95" s="35" customFormat="1" ht="12.75" customHeight="1">
      <c r="B329" s="51"/>
      <c r="D329" s="44"/>
      <c r="X329" s="51"/>
      <c r="Y329" s="51"/>
      <c r="AA329" s="47"/>
      <c r="AC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65"/>
      <c r="BA329" s="51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84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</row>
    <row r="330" spans="2:95" s="35" customFormat="1" ht="12.75" customHeight="1">
      <c r="B330" s="51"/>
      <c r="D330" s="44"/>
      <c r="X330" s="51"/>
      <c r="Y330" s="51"/>
      <c r="AA330" s="47"/>
      <c r="AC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65"/>
      <c r="BA330" s="51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84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</row>
    <row r="331" spans="2:95" s="35" customFormat="1" ht="12.75" customHeight="1">
      <c r="B331" s="51"/>
      <c r="D331" s="44"/>
      <c r="X331" s="51"/>
      <c r="Y331" s="51"/>
      <c r="AA331" s="47"/>
      <c r="AC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65"/>
      <c r="BA331" s="51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84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</row>
    <row r="332" spans="2:95" s="35" customFormat="1" ht="12.75" customHeight="1">
      <c r="B332" s="51"/>
      <c r="D332" s="44"/>
      <c r="X332" s="51"/>
      <c r="Y332" s="51"/>
      <c r="AA332" s="47"/>
      <c r="AC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65"/>
      <c r="BA332" s="51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84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</row>
    <row r="333" spans="2:95" s="35" customFormat="1" ht="12.75" customHeight="1">
      <c r="B333" s="51"/>
      <c r="D333" s="44"/>
      <c r="X333" s="51"/>
      <c r="Y333" s="51"/>
      <c r="AA333" s="47"/>
      <c r="AC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65"/>
      <c r="BA333" s="51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84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</row>
    <row r="334" spans="2:95" s="35" customFormat="1" ht="12.75" customHeight="1">
      <c r="B334" s="51"/>
      <c r="D334" s="44"/>
      <c r="X334" s="51"/>
      <c r="Y334" s="51"/>
      <c r="AA334" s="47"/>
      <c r="AC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65"/>
      <c r="BA334" s="51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84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</row>
    <row r="335" spans="2:95" s="35" customFormat="1" ht="12.75" customHeight="1">
      <c r="B335" s="51"/>
      <c r="D335" s="44"/>
      <c r="X335" s="51"/>
      <c r="Y335" s="51"/>
      <c r="AA335" s="47"/>
      <c r="AC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65"/>
      <c r="BA335" s="51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84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</row>
    <row r="336" spans="2:95" s="35" customFormat="1" ht="12.75" customHeight="1">
      <c r="B336" s="51"/>
      <c r="D336" s="44"/>
      <c r="X336" s="51"/>
      <c r="Y336" s="51"/>
      <c r="AA336" s="47"/>
      <c r="AC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65"/>
      <c r="BA336" s="51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84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</row>
    <row r="337" spans="2:95" s="35" customFormat="1" ht="12.75" customHeight="1">
      <c r="B337" s="51"/>
      <c r="D337" s="44"/>
      <c r="X337" s="51"/>
      <c r="Y337" s="51"/>
      <c r="AA337" s="47"/>
      <c r="AC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65"/>
      <c r="BA337" s="51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84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</row>
    <row r="338" spans="2:95" s="35" customFormat="1" ht="12.75" customHeight="1">
      <c r="B338" s="51"/>
      <c r="D338" s="44"/>
      <c r="X338" s="51"/>
      <c r="Y338" s="51"/>
      <c r="AA338" s="47"/>
      <c r="AC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65"/>
      <c r="BA338" s="51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84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</row>
    <row r="339" spans="2:95" s="35" customFormat="1" ht="12.75" customHeight="1">
      <c r="B339" s="51"/>
      <c r="D339" s="44"/>
      <c r="X339" s="51"/>
      <c r="Y339" s="51"/>
      <c r="AA339" s="47"/>
      <c r="AC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65"/>
      <c r="BA339" s="51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84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</row>
    <row r="340" spans="2:95" s="35" customFormat="1" ht="12.75" customHeight="1">
      <c r="B340" s="51"/>
      <c r="D340" s="44"/>
      <c r="X340" s="51"/>
      <c r="Y340" s="51"/>
      <c r="AA340" s="47"/>
      <c r="AC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65"/>
      <c r="BA340" s="51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84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</row>
    <row r="341" spans="2:95" s="35" customFormat="1" ht="12.75" customHeight="1">
      <c r="B341" s="51"/>
      <c r="D341" s="44"/>
      <c r="X341" s="51"/>
      <c r="Y341" s="51"/>
      <c r="AA341" s="47"/>
      <c r="AC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65"/>
      <c r="BA341" s="51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84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</row>
    <row r="342" spans="2:95" s="35" customFormat="1" ht="12.75" customHeight="1">
      <c r="B342" s="51"/>
      <c r="D342" s="44"/>
      <c r="X342" s="51"/>
      <c r="Y342" s="51"/>
      <c r="AA342" s="47"/>
      <c r="AC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65"/>
      <c r="BA342" s="51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84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</row>
    <row r="343" spans="2:95" s="35" customFormat="1" ht="12.75" customHeight="1">
      <c r="B343" s="51"/>
      <c r="D343" s="44"/>
      <c r="X343" s="51"/>
      <c r="Y343" s="51"/>
      <c r="AA343" s="47"/>
      <c r="AC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65"/>
      <c r="BA343" s="51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84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</row>
    <row r="344" spans="2:95" s="35" customFormat="1" ht="12.75" customHeight="1">
      <c r="B344" s="51"/>
      <c r="D344" s="44"/>
      <c r="X344" s="51"/>
      <c r="Y344" s="51"/>
      <c r="AA344" s="47"/>
      <c r="AC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65"/>
      <c r="BA344" s="51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84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</row>
  </sheetData>
  <mergeCells count="1">
    <mergeCell ref="Q7:U7"/>
  </mergeCells>
  <phoneticPr fontId="4" type="noConversion"/>
  <pageMargins left="0.75" right="0.75" top="0.5" bottom="0.5" header="0" footer="0.25"/>
  <pageSetup scale="95" firstPageNumber="90" pageOrder="overThenDown" orientation="portrait" useFirstPageNumber="1" r:id="rId1"/>
  <headerFooter alignWithMargins="0">
    <oddFooter>&amp;C&amp;"Times New Roman,Regular"&amp;11&amp;P</oddFooter>
  </headerFooter>
  <rowBreaks count="9" manualBreakCount="9">
    <brk id="82" max="22" man="1"/>
    <brk id="82" min="25" max="51" man="1"/>
    <brk id="82" min="53" max="65" man="1"/>
    <brk id="163" max="22" man="1"/>
    <brk id="163" min="25" max="51" man="1"/>
    <brk id="163" min="53" max="65" man="1"/>
    <brk id="237" max="22" man="1"/>
    <brk id="237" min="25" max="51" man="1"/>
    <brk id="237" min="53" max="65" man="1"/>
  </rowBreaks>
  <colBreaks count="1" manualBreakCount="1">
    <brk id="13" min="11" max="25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DD317"/>
  <sheetViews>
    <sheetView tabSelected="1" view="pageBreakPreview" zoomScale="90" zoomScaleNormal="100" zoomScaleSheetLayoutView="90" workbookViewId="0">
      <pane xSplit="4" ySplit="8" topLeftCell="P215" activePane="bottomRight" state="frozen"/>
      <selection activeCell="A49" sqref="A49:IV50"/>
      <selection pane="topRight" activeCell="A49" sqref="A49:IV50"/>
      <selection pane="bottomLeft" activeCell="A49" sqref="A49:IV50"/>
      <selection pane="bottomRight" activeCell="Y5" sqref="Y5"/>
    </sheetView>
  </sheetViews>
  <sheetFormatPr defaultColWidth="8.42578125" defaultRowHeight="12.75" customHeight="1"/>
  <cols>
    <col min="1" max="1" width="13.7109375" style="36" customWidth="1"/>
    <col min="2" max="2" width="2.140625" customWidth="1"/>
    <col min="3" max="3" width="10.140625" style="36" customWidth="1"/>
    <col min="4" max="4" width="2.140625" style="2" customWidth="1"/>
    <col min="5" max="5" width="11.7109375" style="36" customWidth="1"/>
    <col min="6" max="6" width="2" style="36" customWidth="1"/>
    <col min="7" max="7" width="11.7109375" style="36" customWidth="1"/>
    <col min="8" max="8" width="2" style="36" customWidth="1"/>
    <col min="9" max="9" width="11.7109375" style="36" customWidth="1"/>
    <col min="10" max="10" width="2" style="36" customWidth="1"/>
    <col min="11" max="11" width="11.7109375" style="36" customWidth="1"/>
    <col min="12" max="12" width="2" style="36" customWidth="1"/>
    <col min="13" max="13" width="11.7109375" style="36" customWidth="1"/>
    <col min="14" max="14" width="1.7109375" style="36" customWidth="1"/>
    <col min="15" max="15" width="11.7109375" style="36" customWidth="1"/>
    <col min="16" max="16" width="1.7109375" style="36" customWidth="1"/>
    <col min="17" max="17" width="11.7109375" style="36" customWidth="1"/>
    <col min="18" max="18" width="1.7109375" style="36" customWidth="1"/>
    <col min="19" max="19" width="11.7109375" style="36" customWidth="1"/>
    <col min="20" max="20" width="1.7109375" style="36" customWidth="1"/>
    <col min="21" max="21" width="11.7109375" style="36" customWidth="1"/>
    <col min="22" max="22" width="1.7109375" style="36" customWidth="1"/>
    <col min="23" max="24" width="11.7109375" style="36" customWidth="1"/>
    <col min="25" max="25" width="14.140625" style="36" customWidth="1"/>
    <col min="26" max="26" width="1.7109375" style="36" customWidth="1"/>
    <col min="27" max="27" width="10.85546875" style="36" customWidth="1"/>
    <col min="28" max="28" width="1.7109375" style="36" customWidth="1"/>
    <col min="29" max="29" width="11.7109375" style="36" customWidth="1"/>
    <col min="30" max="30" width="1.7109375" style="36" customWidth="1"/>
    <col min="31" max="31" width="11.7109375" style="36" customWidth="1"/>
    <col min="32" max="32" width="1.7109375" style="36" customWidth="1"/>
    <col min="33" max="33" width="11.7109375" style="36" customWidth="1"/>
    <col min="34" max="34" width="1.7109375" style="36" customWidth="1"/>
    <col min="35" max="35" width="11.7109375" style="36" customWidth="1"/>
    <col min="36" max="36" width="1.7109375" style="36" customWidth="1"/>
    <col min="37" max="37" width="11.7109375" style="36" customWidth="1"/>
    <col min="38" max="38" width="1.7109375" style="36" customWidth="1"/>
    <col min="39" max="39" width="11.7109375" style="36" customWidth="1"/>
    <col min="40" max="40" width="1.7109375" style="36" customWidth="1"/>
    <col min="41" max="41" width="11.7109375" style="36" customWidth="1"/>
    <col min="42" max="42" width="1.7109375" style="36" customWidth="1"/>
    <col min="43" max="43" width="11.7109375" style="36" customWidth="1"/>
    <col min="44" max="44" width="1.7109375" style="36" customWidth="1"/>
    <col min="45" max="45" width="11.7109375" style="36" customWidth="1"/>
    <col min="46" max="46" width="1.7109375" style="36" customWidth="1"/>
    <col min="47" max="47" width="10.85546875" style="36" hidden="1" customWidth="1"/>
    <col min="48" max="48" width="1.7109375" style="36" hidden="1" customWidth="1"/>
    <col min="49" max="49" width="10.85546875" style="36" hidden="1" customWidth="1"/>
    <col min="50" max="50" width="1.7109375" style="36" hidden="1" customWidth="1"/>
    <col min="51" max="51" width="11.7109375" style="36" customWidth="1"/>
    <col min="52" max="52" width="11.85546875" style="36" customWidth="1"/>
    <col min="53" max="53" width="13" style="36" customWidth="1"/>
    <col min="54" max="54" width="1.7109375" style="36" customWidth="1"/>
    <col min="55" max="55" width="10.7109375" style="36" customWidth="1"/>
    <col min="56" max="56" width="1.7109375" style="36" customWidth="1"/>
    <col min="57" max="57" width="11.7109375" style="10" customWidth="1"/>
    <col min="58" max="58" width="1.7109375" style="36" customWidth="1"/>
    <col min="59" max="59" width="11.7109375" style="36" customWidth="1"/>
    <col min="60" max="60" width="1.7109375" style="36" customWidth="1"/>
    <col min="61" max="61" width="11.7109375" style="36" customWidth="1"/>
    <col min="62" max="62" width="1.7109375" style="36" customWidth="1"/>
    <col min="63" max="63" width="11.7109375" style="36" customWidth="1"/>
    <col min="64" max="64" width="1.7109375" style="36" customWidth="1"/>
    <col min="65" max="65" width="11.7109375" style="36" customWidth="1"/>
    <col min="66" max="66" width="1.7109375" style="36" hidden="1" customWidth="1"/>
    <col min="67" max="67" width="10.7109375" style="36" hidden="1" customWidth="1"/>
    <col min="68" max="68" width="11.7109375" style="21" hidden="1" customWidth="1"/>
    <col min="69" max="69" width="10.7109375" style="21" hidden="1" customWidth="1"/>
    <col min="70" max="70" width="1.7109375" style="21" customWidth="1"/>
    <col min="71" max="71" width="10.7109375" style="21" customWidth="1"/>
    <col min="72" max="72" width="11.7109375" style="21" customWidth="1"/>
    <col min="73" max="73" width="1.7109375" style="21" customWidth="1"/>
    <col min="74" max="74" width="11.7109375" style="21" customWidth="1"/>
    <col min="75" max="75" width="1.7109375" style="21" customWidth="1"/>
    <col min="76" max="76" width="11.7109375" style="36" customWidth="1"/>
    <col min="77" max="77" width="1.7109375" style="36" customWidth="1"/>
    <col min="78" max="78" width="11.7109375" style="36" customWidth="1"/>
    <col min="79" max="79" width="1.7109375" style="36" customWidth="1"/>
    <col min="80" max="80" width="11.7109375" style="36" customWidth="1"/>
    <col min="81" max="81" width="1.7109375" style="36" customWidth="1"/>
    <col min="82" max="82" width="11.7109375" style="36" customWidth="1"/>
    <col min="83" max="83" width="1.7109375" style="36" customWidth="1"/>
    <col min="84" max="84" width="15.42578125" style="36" customWidth="1"/>
    <col min="85" max="85" width="1.7109375" style="10" customWidth="1"/>
    <col min="86" max="86" width="10.140625" style="36" customWidth="1"/>
    <col min="87" max="87" width="1.7109375" style="36" customWidth="1"/>
    <col min="88" max="88" width="11.7109375" style="36" customWidth="1"/>
    <col min="89" max="89" width="1.7109375" style="36" customWidth="1"/>
    <col min="90" max="90" width="11.7109375" style="36" customWidth="1"/>
    <col min="91" max="91" width="1.7109375" style="36" customWidth="1"/>
    <col min="92" max="92" width="11.7109375" style="36" customWidth="1"/>
    <col min="93" max="93" width="1.7109375" style="36" customWidth="1"/>
    <col min="94" max="94" width="11.7109375" style="36" customWidth="1"/>
    <col min="95" max="95" width="2.7109375" style="36" customWidth="1"/>
    <col min="96" max="96" width="11.7109375" style="36" customWidth="1"/>
    <col min="97" max="97" width="1.7109375" style="36" customWidth="1"/>
    <col min="98" max="16384" width="8.42578125" style="36"/>
  </cols>
  <sheetData>
    <row r="1" spans="1:97" s="39" customFormat="1" ht="12.75" customHeight="1">
      <c r="A1" s="29" t="s">
        <v>392</v>
      </c>
      <c r="C1" s="38"/>
      <c r="D1" s="2"/>
      <c r="E1" s="22"/>
      <c r="F1" s="22"/>
      <c r="G1" s="22"/>
      <c r="H1" s="22"/>
      <c r="I1" s="22"/>
      <c r="J1" s="22"/>
      <c r="K1" s="22"/>
      <c r="L1" s="22"/>
      <c r="N1" s="22"/>
      <c r="O1" s="29"/>
      <c r="P1" s="22"/>
      <c r="Q1" s="22"/>
      <c r="R1" s="22"/>
      <c r="S1" s="22"/>
      <c r="T1" s="22"/>
      <c r="U1" s="22"/>
      <c r="V1" s="22"/>
      <c r="W1" s="22"/>
      <c r="X1" s="22"/>
      <c r="Y1" s="29" t="s">
        <v>392</v>
      </c>
      <c r="AA1" s="38"/>
      <c r="AB1" s="38"/>
      <c r="AD1" s="5"/>
      <c r="AE1" s="29"/>
      <c r="AF1" s="5"/>
      <c r="AG1" s="5"/>
      <c r="AH1" s="5"/>
      <c r="AI1" s="5"/>
      <c r="AJ1" s="5"/>
      <c r="AK1" s="5"/>
      <c r="AL1" s="5"/>
      <c r="AM1" s="5"/>
      <c r="AN1" s="5"/>
      <c r="AP1" s="5"/>
      <c r="AQ1" s="5"/>
      <c r="AR1" s="5"/>
      <c r="AS1" s="29"/>
      <c r="AT1" s="5"/>
      <c r="AU1" s="5"/>
      <c r="AV1" s="5"/>
      <c r="AW1" s="5"/>
      <c r="AX1" s="5"/>
      <c r="AY1" s="5"/>
      <c r="AZ1" s="5"/>
      <c r="BA1" s="29" t="s">
        <v>392</v>
      </c>
      <c r="BC1" s="38"/>
      <c r="BD1" s="5"/>
      <c r="BF1" s="5"/>
      <c r="BG1" s="5"/>
      <c r="BH1" s="5"/>
      <c r="BI1" s="5"/>
      <c r="BJ1" s="5"/>
      <c r="BK1" s="29"/>
      <c r="BL1" s="5"/>
      <c r="BM1" s="22"/>
      <c r="BN1" s="22"/>
      <c r="BR1"/>
      <c r="BS1" s="5"/>
      <c r="BU1" s="5"/>
      <c r="BV1" s="5"/>
      <c r="BW1" s="5"/>
      <c r="BX1" s="29"/>
      <c r="BY1" s="5"/>
      <c r="BZ1" s="5"/>
      <c r="CA1" s="5"/>
      <c r="CB1" s="5"/>
      <c r="CC1" s="5"/>
      <c r="CD1" s="5"/>
      <c r="CE1" s="5"/>
      <c r="CF1" s="29"/>
      <c r="CH1" s="38"/>
      <c r="CI1" s="5"/>
      <c r="CK1" s="5"/>
      <c r="CL1" s="5"/>
      <c r="CM1" s="5"/>
      <c r="CN1" s="5"/>
      <c r="CO1" s="5"/>
      <c r="CP1" s="29"/>
      <c r="CQ1" s="5"/>
      <c r="CR1" s="22"/>
      <c r="CS1" s="22"/>
    </row>
    <row r="2" spans="1:97" s="39" customFormat="1" ht="12.75" customHeight="1">
      <c r="A2" s="23" t="s">
        <v>472</v>
      </c>
      <c r="C2" s="38"/>
      <c r="D2" s="2"/>
      <c r="E2" s="22"/>
      <c r="F2" s="22"/>
      <c r="G2" s="22"/>
      <c r="H2" s="22"/>
      <c r="I2" s="22"/>
      <c r="J2" s="22"/>
      <c r="K2" s="22"/>
      <c r="L2" s="22"/>
      <c r="N2" s="22"/>
      <c r="O2" s="29"/>
      <c r="P2" s="22"/>
      <c r="Q2" s="22"/>
      <c r="R2" s="22"/>
      <c r="S2" s="22"/>
      <c r="T2" s="22"/>
      <c r="U2" s="22"/>
      <c r="V2" s="22"/>
      <c r="W2" s="22"/>
      <c r="X2" s="22"/>
      <c r="Y2" s="23" t="s">
        <v>473</v>
      </c>
      <c r="AA2" s="38"/>
      <c r="AB2" s="38"/>
      <c r="AD2" s="5"/>
      <c r="AE2" s="29"/>
      <c r="AF2" s="5"/>
      <c r="AG2" s="5"/>
      <c r="AH2" s="5"/>
      <c r="AI2" s="5"/>
      <c r="AJ2" s="5"/>
      <c r="AK2" s="5"/>
      <c r="AL2" s="5"/>
      <c r="AM2" s="5"/>
      <c r="AN2" s="5"/>
      <c r="AP2" s="5"/>
      <c r="AQ2" s="5"/>
      <c r="AR2" s="5"/>
      <c r="AS2" s="29"/>
      <c r="AT2" s="5"/>
      <c r="AU2" s="5"/>
      <c r="AV2" s="5"/>
      <c r="AW2" s="5"/>
      <c r="AX2" s="5"/>
      <c r="AY2" s="5"/>
      <c r="AZ2" s="5"/>
      <c r="BA2" s="43" t="s">
        <v>348</v>
      </c>
      <c r="BC2" s="38"/>
      <c r="BD2" s="5"/>
      <c r="BF2" s="5"/>
      <c r="BG2" s="5"/>
      <c r="BH2" s="5"/>
      <c r="BI2" s="5"/>
      <c r="BJ2" s="5"/>
      <c r="BK2" s="29"/>
      <c r="BL2" s="5"/>
      <c r="BM2" s="22"/>
      <c r="BN2" s="22"/>
      <c r="BR2"/>
      <c r="BS2" s="5"/>
      <c r="BU2" s="5"/>
      <c r="BV2" s="5"/>
      <c r="BW2" s="5"/>
      <c r="BX2" s="29"/>
      <c r="BY2" s="5"/>
      <c r="BZ2" s="5"/>
      <c r="CA2" s="5"/>
      <c r="CB2" s="5"/>
      <c r="CC2" s="5"/>
      <c r="CD2" s="5"/>
      <c r="CE2" s="5"/>
      <c r="CF2" s="43"/>
      <c r="CH2" s="38"/>
      <c r="CI2" s="5"/>
      <c r="CK2" s="5"/>
      <c r="CL2" s="5"/>
      <c r="CM2" s="5"/>
      <c r="CN2" s="5"/>
      <c r="CO2" s="5"/>
      <c r="CP2" s="29"/>
      <c r="CQ2" s="5"/>
      <c r="CR2" s="22"/>
      <c r="CS2" s="22"/>
    </row>
    <row r="3" spans="1:97" s="39" customFormat="1" ht="12.75" customHeight="1">
      <c r="A3" s="29" t="s">
        <v>499</v>
      </c>
      <c r="C3" s="38"/>
      <c r="D3" s="2"/>
      <c r="E3" s="22"/>
      <c r="F3" s="22"/>
      <c r="G3" s="22"/>
      <c r="H3" s="22"/>
      <c r="I3" s="22"/>
      <c r="J3" s="22"/>
      <c r="K3" s="22"/>
      <c r="L3" s="22"/>
      <c r="N3" s="22"/>
      <c r="O3" s="29"/>
      <c r="P3" s="22"/>
      <c r="Q3" s="22"/>
      <c r="R3" s="22"/>
      <c r="S3" s="22"/>
      <c r="T3" s="22"/>
      <c r="U3" s="22"/>
      <c r="V3" s="22"/>
      <c r="W3" s="22"/>
      <c r="X3" s="22"/>
      <c r="Y3" s="29" t="s">
        <v>499</v>
      </c>
      <c r="AA3" s="38"/>
      <c r="AB3" s="38"/>
      <c r="AD3" s="5"/>
      <c r="AE3" s="29"/>
      <c r="AF3" s="5"/>
      <c r="AG3" s="5"/>
      <c r="AH3" s="5"/>
      <c r="AI3" s="5"/>
      <c r="AJ3" s="5"/>
      <c r="AK3" s="5"/>
      <c r="AL3" s="5"/>
      <c r="AM3" s="5"/>
      <c r="AN3" s="5"/>
      <c r="AP3" s="5"/>
      <c r="AQ3" s="5"/>
      <c r="AR3" s="5"/>
      <c r="AS3" s="29"/>
      <c r="AT3" s="5"/>
      <c r="AU3" s="5"/>
      <c r="AV3" s="5"/>
      <c r="AW3" s="5"/>
      <c r="AX3" s="5"/>
      <c r="AY3" s="5"/>
      <c r="AZ3" s="5"/>
      <c r="BA3" s="29" t="s">
        <v>499</v>
      </c>
      <c r="BC3" s="38"/>
      <c r="BD3" s="5"/>
      <c r="BF3" s="5"/>
      <c r="BG3" s="5"/>
      <c r="BH3" s="5"/>
      <c r="BI3" s="5"/>
      <c r="BJ3" s="5"/>
      <c r="BK3" s="29"/>
      <c r="BL3" s="5"/>
      <c r="BM3" s="22"/>
      <c r="BN3" s="22"/>
      <c r="BR3"/>
      <c r="BS3" s="5"/>
      <c r="BU3" s="5"/>
      <c r="BV3" s="5"/>
      <c r="BW3" s="5"/>
      <c r="BX3" s="29"/>
      <c r="BY3" s="5"/>
      <c r="BZ3" s="5"/>
      <c r="CA3" s="5"/>
      <c r="CB3" s="5"/>
      <c r="CC3" s="5"/>
      <c r="CD3" s="5"/>
      <c r="CE3" s="5"/>
      <c r="CF3" s="29"/>
      <c r="CH3" s="38"/>
      <c r="CI3" s="5"/>
      <c r="CK3" s="5"/>
      <c r="CL3" s="5"/>
      <c r="CM3" s="5"/>
      <c r="CN3" s="5"/>
      <c r="CO3" s="5"/>
      <c r="CP3" s="29"/>
      <c r="CQ3" s="5"/>
      <c r="CR3" s="22"/>
      <c r="CS3" s="22"/>
    </row>
    <row r="4" spans="1:97" ht="12.75" customHeight="1">
      <c r="A4" s="42" t="s">
        <v>289</v>
      </c>
      <c r="C4" s="40"/>
      <c r="E4" s="5"/>
      <c r="F4" s="5"/>
      <c r="G4" s="5"/>
      <c r="H4" s="5"/>
      <c r="I4" s="5"/>
      <c r="J4" s="5"/>
      <c r="K4" s="5"/>
      <c r="L4" s="5"/>
      <c r="N4" s="5"/>
      <c r="O4" s="42"/>
      <c r="P4" s="5"/>
      <c r="Q4" s="5"/>
      <c r="R4" s="5"/>
      <c r="S4" s="5"/>
      <c r="T4" s="5"/>
      <c r="U4" s="5"/>
      <c r="V4" s="5"/>
      <c r="W4" s="5"/>
      <c r="X4" s="5"/>
      <c r="Y4" s="42" t="s">
        <v>289</v>
      </c>
      <c r="Z4" s="10"/>
      <c r="AA4" s="40"/>
      <c r="AB4" s="40"/>
      <c r="AD4" s="5"/>
      <c r="AE4" s="42"/>
      <c r="AF4" s="5"/>
      <c r="AG4" s="5"/>
      <c r="AH4" s="5"/>
      <c r="AI4" s="5"/>
      <c r="AJ4" s="5"/>
      <c r="AK4" s="5"/>
      <c r="AL4" s="5"/>
      <c r="AM4" s="5"/>
      <c r="AN4" s="5"/>
      <c r="AP4" s="5"/>
      <c r="AQ4" s="5"/>
      <c r="AR4" s="5"/>
      <c r="AS4" s="42"/>
      <c r="AT4" s="5"/>
      <c r="AU4" s="5"/>
      <c r="AV4" s="5"/>
      <c r="AW4" s="5"/>
      <c r="AX4" s="5"/>
      <c r="AY4" s="5"/>
      <c r="AZ4" s="5"/>
      <c r="BA4" s="42" t="s">
        <v>289</v>
      </c>
      <c r="BB4" s="10"/>
      <c r="BC4" s="40"/>
      <c r="BD4" s="5"/>
      <c r="BE4" s="36"/>
      <c r="BF4" s="5"/>
      <c r="BG4" s="5"/>
      <c r="BH4" s="5"/>
      <c r="BI4" s="5"/>
      <c r="BJ4" s="5"/>
      <c r="BK4" s="42"/>
      <c r="BL4" s="5"/>
      <c r="BM4" s="5"/>
      <c r="BN4" s="5"/>
      <c r="BP4" s="36"/>
      <c r="BQ4" s="36"/>
      <c r="BR4"/>
      <c r="BS4" s="5"/>
      <c r="BT4" s="36"/>
      <c r="BU4" s="5"/>
      <c r="BV4" s="5"/>
      <c r="BW4" s="5"/>
      <c r="BX4" s="42"/>
      <c r="BY4" s="5"/>
      <c r="BZ4" s="5"/>
      <c r="CA4" s="5"/>
      <c r="CB4" s="5"/>
      <c r="CC4" s="5"/>
      <c r="CD4" s="5"/>
      <c r="CE4" s="5"/>
      <c r="CF4" s="42"/>
      <c r="CH4" s="40"/>
      <c r="CI4" s="5"/>
      <c r="CK4" s="5"/>
      <c r="CL4" s="5"/>
      <c r="CM4" s="5"/>
      <c r="CN4" s="5"/>
      <c r="CO4" s="5"/>
      <c r="CP4" s="42"/>
      <c r="CQ4" s="5"/>
      <c r="CR4" s="5"/>
      <c r="CS4" s="5"/>
    </row>
    <row r="5" spans="1:97" ht="12.75" customHeight="1">
      <c r="A5" s="74" t="s">
        <v>484</v>
      </c>
      <c r="Q5" s="159" t="s">
        <v>2</v>
      </c>
      <c r="R5" s="159"/>
      <c r="S5" s="159"/>
      <c r="T5" s="159"/>
      <c r="U5" s="159"/>
      <c r="Y5" s="74" t="s">
        <v>484</v>
      </c>
      <c r="AU5" s="41" t="s">
        <v>411</v>
      </c>
      <c r="AW5" s="41" t="s">
        <v>412</v>
      </c>
      <c r="BA5" s="74"/>
      <c r="BE5" s="34" t="s">
        <v>348</v>
      </c>
      <c r="BF5" s="34"/>
      <c r="BG5" s="34"/>
      <c r="BH5" s="34"/>
      <c r="BI5" s="34"/>
      <c r="BJ5" s="34"/>
      <c r="BK5" s="4"/>
      <c r="CG5" s="19"/>
    </row>
    <row r="6" spans="1:97" s="41" customFormat="1" ht="12.75" customHeight="1">
      <c r="D6" s="3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 t="s">
        <v>7</v>
      </c>
      <c r="W6" s="6"/>
      <c r="X6" s="6"/>
      <c r="Z6" s="12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 t="s">
        <v>349</v>
      </c>
      <c r="AV6" s="6"/>
      <c r="AW6" s="6" t="s">
        <v>349</v>
      </c>
      <c r="AX6" s="6"/>
      <c r="AY6" s="6"/>
      <c r="AZ6" s="6"/>
      <c r="BB6" s="12"/>
      <c r="BD6" s="6"/>
      <c r="BE6" s="6" t="s">
        <v>296</v>
      </c>
      <c r="BF6" s="6"/>
      <c r="BG6" s="6" t="s">
        <v>350</v>
      </c>
      <c r="BH6" s="6"/>
      <c r="BI6" s="6"/>
      <c r="BJ6" s="6"/>
      <c r="BK6" s="6" t="s">
        <v>294</v>
      </c>
      <c r="BL6" s="6"/>
      <c r="BM6" s="6" t="s">
        <v>6</v>
      </c>
      <c r="BN6" s="33"/>
      <c r="BR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G6" s="15"/>
      <c r="CI6" s="6"/>
      <c r="CJ6" s="6"/>
      <c r="CK6" s="6"/>
      <c r="CL6" s="6"/>
      <c r="CM6" s="6"/>
      <c r="CN6" s="6"/>
      <c r="CO6" s="6"/>
      <c r="CP6" s="6"/>
      <c r="CQ6" s="6"/>
      <c r="CR6" s="6"/>
      <c r="CS6" s="33"/>
    </row>
    <row r="7" spans="1:97" s="41" customFormat="1" ht="12.75" customHeight="1">
      <c r="D7" s="6"/>
      <c r="E7" s="6" t="s">
        <v>3</v>
      </c>
      <c r="F7" s="6"/>
      <c r="G7" s="6" t="s">
        <v>351</v>
      </c>
      <c r="H7" s="6"/>
      <c r="I7" s="6" t="s">
        <v>6</v>
      </c>
      <c r="J7" s="6"/>
      <c r="K7" s="6" t="s">
        <v>3</v>
      </c>
      <c r="L7" s="6"/>
      <c r="M7" s="6" t="s">
        <v>351</v>
      </c>
      <c r="N7" s="6"/>
      <c r="O7" s="6" t="s">
        <v>6</v>
      </c>
      <c r="P7" s="6"/>
      <c r="Q7" s="41" t="s">
        <v>4</v>
      </c>
      <c r="R7" s="6"/>
      <c r="S7" s="6"/>
      <c r="T7" s="6"/>
      <c r="U7" s="6"/>
      <c r="V7" s="6"/>
      <c r="W7" s="8" t="s">
        <v>6</v>
      </c>
      <c r="X7" s="8"/>
      <c r="AC7" s="6" t="s">
        <v>345</v>
      </c>
      <c r="AD7" s="6"/>
      <c r="AE7" s="6" t="s">
        <v>353</v>
      </c>
      <c r="AF7" s="6"/>
      <c r="AG7" s="6"/>
      <c r="AH7" s="6"/>
      <c r="AI7" s="6" t="s">
        <v>345</v>
      </c>
      <c r="AJ7" s="6"/>
      <c r="AK7" s="6" t="s">
        <v>354</v>
      </c>
      <c r="AL7" s="6"/>
      <c r="AM7" s="6"/>
      <c r="AN7" s="6"/>
      <c r="AO7" s="6"/>
      <c r="AP7" s="6"/>
      <c r="AQ7" s="6" t="s">
        <v>4</v>
      </c>
      <c r="AR7" s="6"/>
      <c r="AS7" s="6" t="s">
        <v>368</v>
      </c>
      <c r="AT7" s="6"/>
      <c r="AU7" s="6" t="s">
        <v>413</v>
      </c>
      <c r="AV7" s="6"/>
      <c r="AW7" s="6" t="s">
        <v>413</v>
      </c>
      <c r="AX7" s="6"/>
      <c r="AY7" s="6" t="s">
        <v>355</v>
      </c>
      <c r="AZ7" s="6"/>
      <c r="BD7" s="6"/>
      <c r="BE7" s="6" t="s">
        <v>356</v>
      </c>
      <c r="BF7" s="6"/>
      <c r="BG7" s="6" t="s">
        <v>302</v>
      </c>
      <c r="BH7" s="6"/>
      <c r="BI7" s="6"/>
      <c r="BJ7" s="6"/>
      <c r="BK7" s="6" t="s">
        <v>352</v>
      </c>
      <c r="BL7" s="6"/>
      <c r="BM7" s="6" t="s">
        <v>352</v>
      </c>
      <c r="BN7" s="33"/>
      <c r="BR7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33"/>
    </row>
    <row r="8" spans="1:97" s="89" customFormat="1" ht="12.75" customHeight="1">
      <c r="A8" s="7" t="s">
        <v>8</v>
      </c>
      <c r="C8" s="7" t="s">
        <v>9</v>
      </c>
      <c r="D8" s="8"/>
      <c r="E8" s="7" t="s">
        <v>0</v>
      </c>
      <c r="F8" s="8"/>
      <c r="G8" s="7" t="s">
        <v>0</v>
      </c>
      <c r="H8" s="8"/>
      <c r="I8" s="7" t="s">
        <v>0</v>
      </c>
      <c r="J8" s="8"/>
      <c r="K8" s="7" t="s">
        <v>1</v>
      </c>
      <c r="L8" s="8"/>
      <c r="M8" s="7" t="s">
        <v>1</v>
      </c>
      <c r="N8" s="8"/>
      <c r="O8" s="7" t="s">
        <v>1</v>
      </c>
      <c r="P8" s="8"/>
      <c r="Q8" s="7" t="s">
        <v>0</v>
      </c>
      <c r="R8" s="8"/>
      <c r="S8" s="7" t="s">
        <v>10</v>
      </c>
      <c r="T8" s="8"/>
      <c r="U8" s="7" t="s">
        <v>11</v>
      </c>
      <c r="V8" s="8"/>
      <c r="W8" s="105" t="s">
        <v>2</v>
      </c>
      <c r="Y8" s="7" t="s">
        <v>8</v>
      </c>
      <c r="AA8" s="7" t="s">
        <v>9</v>
      </c>
      <c r="AB8" s="8"/>
      <c r="AC8" s="78" t="s">
        <v>302</v>
      </c>
      <c r="AD8" s="8"/>
      <c r="AE8" s="78" t="s">
        <v>357</v>
      </c>
      <c r="AF8" s="8"/>
      <c r="AG8" s="78" t="s">
        <v>357</v>
      </c>
      <c r="AH8" s="8"/>
      <c r="AI8" s="78" t="s">
        <v>358</v>
      </c>
      <c r="AJ8" s="8"/>
      <c r="AK8" s="78" t="s">
        <v>414</v>
      </c>
      <c r="AL8" s="8"/>
      <c r="AM8" s="78" t="s">
        <v>359</v>
      </c>
      <c r="AN8" s="8"/>
      <c r="AO8" s="78" t="s">
        <v>360</v>
      </c>
      <c r="AP8" s="8"/>
      <c r="AQ8" s="78" t="s">
        <v>361</v>
      </c>
      <c r="AR8" s="8"/>
      <c r="AS8" s="78" t="s">
        <v>2</v>
      </c>
      <c r="AT8" s="8"/>
      <c r="AU8" s="7" t="s">
        <v>415</v>
      </c>
      <c r="AV8" s="8"/>
      <c r="AW8" s="7" t="s">
        <v>415</v>
      </c>
      <c r="AX8" s="8"/>
      <c r="AY8" s="78" t="s">
        <v>4</v>
      </c>
      <c r="AZ8" s="8"/>
      <c r="BA8" s="7" t="s">
        <v>8</v>
      </c>
      <c r="BC8" s="7" t="s">
        <v>9</v>
      </c>
      <c r="BD8" s="8"/>
      <c r="BE8" s="78" t="s">
        <v>362</v>
      </c>
      <c r="BF8" s="8"/>
      <c r="BG8" s="78" t="s">
        <v>362</v>
      </c>
      <c r="BH8" s="8"/>
      <c r="BI8" s="78" t="s">
        <v>363</v>
      </c>
      <c r="BJ8" s="8"/>
      <c r="BK8" s="78" t="s">
        <v>364</v>
      </c>
      <c r="BL8" s="8"/>
      <c r="BM8" s="7" t="s">
        <v>364</v>
      </c>
      <c r="BN8" s="54"/>
      <c r="BR8" s="51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54"/>
    </row>
    <row r="9" spans="1:97" s="89" customFormat="1" ht="12.75" customHeight="1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Y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54"/>
      <c r="BR9" s="51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54"/>
    </row>
    <row r="10" spans="1:97" s="90" customFormat="1" ht="12.75" hidden="1" customHeight="1">
      <c r="A10" s="35" t="s">
        <v>12</v>
      </c>
      <c r="B10" s="51"/>
      <c r="C10" s="35" t="s">
        <v>13</v>
      </c>
      <c r="D10" s="44"/>
      <c r="E10" s="79">
        <f t="shared" ref="E10:E11" si="0">I10-G10</f>
        <v>0</v>
      </c>
      <c r="F10" s="79"/>
      <c r="G10" s="79">
        <v>0</v>
      </c>
      <c r="H10" s="79"/>
      <c r="I10" s="79">
        <v>0</v>
      </c>
      <c r="J10" s="79"/>
      <c r="K10" s="79">
        <f t="shared" ref="K10:K11" si="1">O10-M10</f>
        <v>0</v>
      </c>
      <c r="L10" s="79"/>
      <c r="M10" s="79">
        <v>0</v>
      </c>
      <c r="N10" s="79"/>
      <c r="O10" s="79">
        <v>0</v>
      </c>
      <c r="P10" s="79"/>
      <c r="Q10" s="79">
        <v>0</v>
      </c>
      <c r="R10" s="79"/>
      <c r="S10" s="79">
        <v>0</v>
      </c>
      <c r="T10" s="79"/>
      <c r="U10" s="79">
        <v>0</v>
      </c>
      <c r="V10" s="79"/>
      <c r="W10" s="79">
        <f t="shared" ref="W10:W22" si="2">SUM(Q10:U10)</f>
        <v>0</v>
      </c>
      <c r="X10" s="53"/>
      <c r="Y10" s="35" t="s">
        <v>12</v>
      </c>
      <c r="Z10" s="55"/>
      <c r="AA10" s="35" t="s">
        <v>13</v>
      </c>
      <c r="AB10" s="35"/>
      <c r="AC10" s="79">
        <v>0</v>
      </c>
      <c r="AD10" s="79"/>
      <c r="AE10" s="79">
        <v>0</v>
      </c>
      <c r="AF10" s="79"/>
      <c r="AG10" s="79">
        <v>0</v>
      </c>
      <c r="AH10" s="79"/>
      <c r="AI10" s="94">
        <f t="shared" ref="AI10:AI11" si="3">+AC10-AE10-AG10</f>
        <v>0</v>
      </c>
      <c r="AJ10" s="94"/>
      <c r="AK10" s="94">
        <v>0</v>
      </c>
      <c r="AL10" s="94"/>
      <c r="AM10" s="79">
        <v>0</v>
      </c>
      <c r="AN10" s="79"/>
      <c r="AO10" s="79">
        <v>0</v>
      </c>
      <c r="AP10" s="79"/>
      <c r="AQ10" s="79">
        <v>0</v>
      </c>
      <c r="AR10" s="79"/>
      <c r="AS10" s="94">
        <f t="shared" ref="AS10:AS73" si="4">+AI10+AK10+AM10-AO10+AQ10</f>
        <v>0</v>
      </c>
      <c r="AT10" s="94"/>
      <c r="AU10" s="79">
        <v>0</v>
      </c>
      <c r="AV10" s="79"/>
      <c r="AW10" s="79">
        <v>0</v>
      </c>
      <c r="AX10" s="79"/>
      <c r="AY10" s="79">
        <f t="shared" ref="AY10:AY71" si="5">+E10-K10</f>
        <v>0</v>
      </c>
      <c r="AZ10" s="53"/>
      <c r="BA10" s="35" t="s">
        <v>12</v>
      </c>
      <c r="BB10" s="55"/>
      <c r="BC10" s="35" t="s">
        <v>13</v>
      </c>
      <c r="BD10" s="53"/>
      <c r="BE10" s="79">
        <v>0</v>
      </c>
      <c r="BF10" s="79"/>
      <c r="BG10" s="79">
        <v>0</v>
      </c>
      <c r="BH10" s="79"/>
      <c r="BI10" s="79">
        <v>0</v>
      </c>
      <c r="BJ10" s="79"/>
      <c r="BK10" s="79">
        <v>0</v>
      </c>
      <c r="BL10" s="79"/>
      <c r="BM10" s="79">
        <f t="shared" ref="BM10:BM18" si="6">SUM(BE10:BK10)</f>
        <v>0</v>
      </c>
      <c r="BN10" s="91" t="s">
        <v>347</v>
      </c>
      <c r="BR10" s="66"/>
      <c r="BS10" s="79"/>
      <c r="BT10" s="79"/>
      <c r="BU10" s="79"/>
      <c r="BV10" s="79"/>
      <c r="BW10" s="79"/>
      <c r="BX10" s="94"/>
      <c r="BY10" s="94"/>
      <c r="BZ10" s="79"/>
      <c r="CA10" s="79"/>
      <c r="CB10" s="79"/>
      <c r="CC10" s="79"/>
      <c r="CD10" s="79"/>
      <c r="CE10" s="79"/>
      <c r="CF10" s="64"/>
      <c r="CH10" s="64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91"/>
    </row>
    <row r="11" spans="1:97" s="90" customFormat="1" ht="12.75" customHeight="1">
      <c r="A11" s="64" t="s">
        <v>14</v>
      </c>
      <c r="B11" s="66"/>
      <c r="C11" s="64" t="s">
        <v>15</v>
      </c>
      <c r="D11" s="46"/>
      <c r="E11" s="79">
        <f t="shared" si="0"/>
        <v>5798352</v>
      </c>
      <c r="F11" s="79"/>
      <c r="G11" s="79">
        <v>9237865</v>
      </c>
      <c r="H11" s="79"/>
      <c r="I11" s="79">
        <v>15036217</v>
      </c>
      <c r="J11" s="79"/>
      <c r="K11" s="79">
        <f t="shared" si="1"/>
        <v>435515</v>
      </c>
      <c r="L11" s="79"/>
      <c r="M11" s="79">
        <v>2159629</v>
      </c>
      <c r="N11" s="79"/>
      <c r="O11" s="79">
        <v>2595144</v>
      </c>
      <c r="P11" s="79"/>
      <c r="Q11" s="79">
        <v>7338671</v>
      </c>
      <c r="R11" s="79"/>
      <c r="S11" s="79">
        <v>0</v>
      </c>
      <c r="T11" s="79"/>
      <c r="U11" s="79">
        <v>5102402</v>
      </c>
      <c r="V11" s="79"/>
      <c r="W11" s="79">
        <f t="shared" si="2"/>
        <v>12441073</v>
      </c>
      <c r="X11" s="79"/>
      <c r="Y11" s="64" t="s">
        <v>14</v>
      </c>
      <c r="AA11" s="64" t="s">
        <v>15</v>
      </c>
      <c r="AB11" s="64"/>
      <c r="AC11" s="79">
        <v>4223398</v>
      </c>
      <c r="AD11" s="79"/>
      <c r="AE11" s="79">
        <f>3323030-476417</f>
        <v>2846613</v>
      </c>
      <c r="AF11" s="79"/>
      <c r="AG11" s="79">
        <v>476417</v>
      </c>
      <c r="AH11" s="79"/>
      <c r="AI11" s="94">
        <f t="shared" si="3"/>
        <v>900368</v>
      </c>
      <c r="AJ11" s="94"/>
      <c r="AK11" s="79">
        <v>-72387</v>
      </c>
      <c r="AL11" s="94"/>
      <c r="AM11" s="79">
        <v>0</v>
      </c>
      <c r="AN11" s="79"/>
      <c r="AO11" s="79">
        <v>0</v>
      </c>
      <c r="AP11" s="79"/>
      <c r="AQ11" s="79">
        <v>144918</v>
      </c>
      <c r="AR11" s="79"/>
      <c r="AS11" s="94">
        <f>+AI11+AK11+AM11-AO11+AQ11</f>
        <v>972899</v>
      </c>
      <c r="AT11" s="94"/>
      <c r="AU11" s="79">
        <v>0</v>
      </c>
      <c r="AV11" s="79"/>
      <c r="AW11" s="79">
        <v>0</v>
      </c>
      <c r="AX11" s="79"/>
      <c r="AY11" s="79">
        <f t="shared" si="5"/>
        <v>5362837</v>
      </c>
      <c r="AZ11" s="79"/>
      <c r="BA11" s="64" t="s">
        <v>14</v>
      </c>
      <c r="BC11" s="64" t="s">
        <v>15</v>
      </c>
      <c r="BD11" s="79"/>
      <c r="BE11" s="79">
        <f>1142000+40000</f>
        <v>1182000</v>
      </c>
      <c r="BF11" s="79"/>
      <c r="BG11" s="79">
        <v>0</v>
      </c>
      <c r="BH11" s="79"/>
      <c r="BI11" s="79">
        <f>674209+42985</f>
        <v>717194</v>
      </c>
      <c r="BJ11" s="79"/>
      <c r="BK11" s="79">
        <f>343420+191566</f>
        <v>534986</v>
      </c>
      <c r="BL11" s="79"/>
      <c r="BM11" s="79">
        <f t="shared" si="6"/>
        <v>2434180</v>
      </c>
      <c r="BN11" s="91" t="s">
        <v>347</v>
      </c>
      <c r="BR11" s="66"/>
      <c r="BS11" s="79"/>
      <c r="BT11" s="79"/>
      <c r="BU11" s="79"/>
      <c r="BV11" s="79"/>
      <c r="BW11" s="79"/>
      <c r="BX11" s="94"/>
      <c r="BY11" s="94"/>
      <c r="BZ11" s="79"/>
      <c r="CA11" s="79"/>
      <c r="CB11" s="79"/>
      <c r="CC11" s="79"/>
      <c r="CD11" s="79"/>
      <c r="CE11" s="79"/>
      <c r="CF11" s="64"/>
      <c r="CH11" s="64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91"/>
    </row>
    <row r="12" spans="1:97" s="55" customFormat="1" ht="12.75" customHeight="1">
      <c r="A12" s="35" t="s">
        <v>16</v>
      </c>
      <c r="B12" s="65"/>
      <c r="C12" s="35" t="s">
        <v>17</v>
      </c>
      <c r="D12" s="44"/>
      <c r="E12" s="53">
        <f t="shared" ref="E12:E75" si="7">I12-G12</f>
        <v>4353826</v>
      </c>
      <c r="F12" s="53"/>
      <c r="G12" s="53">
        <v>14483834</v>
      </c>
      <c r="H12" s="53"/>
      <c r="I12" s="53">
        <v>18837660</v>
      </c>
      <c r="J12" s="53"/>
      <c r="K12" s="53">
        <f t="shared" ref="K12:K75" si="8">O12-M12</f>
        <v>887142</v>
      </c>
      <c r="L12" s="53"/>
      <c r="M12" s="53">
        <v>6761322</v>
      </c>
      <c r="N12" s="53"/>
      <c r="O12" s="53">
        <v>7648464</v>
      </c>
      <c r="P12" s="53"/>
      <c r="Q12" s="53">
        <v>7177561</v>
      </c>
      <c r="R12" s="53"/>
      <c r="S12" s="53">
        <v>0</v>
      </c>
      <c r="T12" s="53"/>
      <c r="U12" s="53">
        <v>4011635</v>
      </c>
      <c r="V12" s="53"/>
      <c r="W12" s="53">
        <f t="shared" si="2"/>
        <v>11189196</v>
      </c>
      <c r="X12" s="53"/>
      <c r="Y12" s="35" t="s">
        <v>16</v>
      </c>
      <c r="AA12" s="35" t="s">
        <v>17</v>
      </c>
      <c r="AB12" s="35"/>
      <c r="AC12" s="53">
        <v>2401303</v>
      </c>
      <c r="AD12" s="53"/>
      <c r="AE12" s="53">
        <f>2170078-552665</f>
        <v>1617413</v>
      </c>
      <c r="AF12" s="53"/>
      <c r="AG12" s="53">
        <v>552665</v>
      </c>
      <c r="AH12" s="53"/>
      <c r="AI12" s="45">
        <f t="shared" ref="AI12:AI75" si="9">+AC12-AE12-AG12</f>
        <v>231225</v>
      </c>
      <c r="AJ12" s="45"/>
      <c r="AK12" s="53">
        <v>-285827</v>
      </c>
      <c r="AL12" s="45"/>
      <c r="AM12" s="53">
        <v>0</v>
      </c>
      <c r="AN12" s="53"/>
      <c r="AO12" s="53">
        <v>0</v>
      </c>
      <c r="AP12" s="53"/>
      <c r="AQ12" s="53">
        <v>0</v>
      </c>
      <c r="AR12" s="53"/>
      <c r="AS12" s="45">
        <f t="shared" si="4"/>
        <v>-54602</v>
      </c>
      <c r="AT12" s="45"/>
      <c r="AU12" s="53">
        <v>0</v>
      </c>
      <c r="AV12" s="53"/>
      <c r="AW12" s="53">
        <v>0</v>
      </c>
      <c r="AX12" s="53"/>
      <c r="AY12" s="53">
        <f t="shared" si="5"/>
        <v>3466684</v>
      </c>
      <c r="AZ12" s="53"/>
      <c r="BA12" s="35" t="s">
        <v>16</v>
      </c>
      <c r="BC12" s="35" t="s">
        <v>17</v>
      </c>
      <c r="BD12" s="53"/>
      <c r="BE12" s="53">
        <f>535726+194544</f>
        <v>730270</v>
      </c>
      <c r="BF12" s="53"/>
      <c r="BG12" s="53">
        <v>0</v>
      </c>
      <c r="BH12" s="53"/>
      <c r="BI12" s="53">
        <f>6134135+70244+8648+362976</f>
        <v>6576003</v>
      </c>
      <c r="BJ12" s="53"/>
      <c r="BK12" s="53">
        <f>21217+325</f>
        <v>21542</v>
      </c>
      <c r="BL12" s="53"/>
      <c r="BM12" s="53">
        <f t="shared" si="6"/>
        <v>7327815</v>
      </c>
      <c r="BN12" s="54" t="s">
        <v>347</v>
      </c>
      <c r="BR12" s="65"/>
      <c r="BS12" s="53"/>
      <c r="BT12" s="53"/>
      <c r="BU12" s="53"/>
      <c r="BV12" s="53"/>
      <c r="BW12" s="53"/>
      <c r="BX12" s="45"/>
      <c r="BY12" s="45"/>
      <c r="BZ12" s="53"/>
      <c r="CA12" s="53"/>
      <c r="CB12" s="53"/>
      <c r="CC12" s="53"/>
      <c r="CD12" s="53"/>
      <c r="CE12" s="53"/>
      <c r="CF12" s="35"/>
      <c r="CH12" s="35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4"/>
    </row>
    <row r="13" spans="1:97" s="55" customFormat="1" ht="12.75" customHeight="1">
      <c r="A13" s="35" t="s">
        <v>18</v>
      </c>
      <c r="B13" s="65"/>
      <c r="C13" s="35" t="s">
        <v>18</v>
      </c>
      <c r="D13" s="44"/>
      <c r="E13" s="53">
        <f t="shared" si="7"/>
        <v>1541501</v>
      </c>
      <c r="F13" s="53"/>
      <c r="G13" s="53">
        <v>19750583</v>
      </c>
      <c r="H13" s="53"/>
      <c r="I13" s="53">
        <v>21292084</v>
      </c>
      <c r="J13" s="53"/>
      <c r="K13" s="53">
        <f t="shared" si="8"/>
        <v>461885</v>
      </c>
      <c r="L13" s="53"/>
      <c r="M13" s="53">
        <v>8213251</v>
      </c>
      <c r="N13" s="53"/>
      <c r="O13" s="53">
        <v>8675136</v>
      </c>
      <c r="P13" s="53"/>
      <c r="Q13" s="53">
        <v>11238925</v>
      </c>
      <c r="R13" s="53"/>
      <c r="S13" s="53">
        <v>0</v>
      </c>
      <c r="T13" s="53"/>
      <c r="U13" s="53">
        <v>1378023</v>
      </c>
      <c r="V13" s="53"/>
      <c r="W13" s="53">
        <f t="shared" si="2"/>
        <v>12616948</v>
      </c>
      <c r="X13" s="53"/>
      <c r="Y13" s="35" t="s">
        <v>18</v>
      </c>
      <c r="AA13" s="35" t="s">
        <v>18</v>
      </c>
      <c r="AB13" s="35"/>
      <c r="AC13" s="53">
        <v>3307884</v>
      </c>
      <c r="AD13" s="53"/>
      <c r="AE13" s="53">
        <f>2562291-551296</f>
        <v>2010995</v>
      </c>
      <c r="AF13" s="53"/>
      <c r="AG13" s="53">
        <v>551296</v>
      </c>
      <c r="AH13" s="53"/>
      <c r="AI13" s="45">
        <f t="shared" si="9"/>
        <v>745593</v>
      </c>
      <c r="AJ13" s="45"/>
      <c r="AK13" s="53">
        <v>150687</v>
      </c>
      <c r="AL13" s="45"/>
      <c r="AM13" s="53">
        <v>32264</v>
      </c>
      <c r="AN13" s="53"/>
      <c r="AO13" s="53">
        <v>0</v>
      </c>
      <c r="AP13" s="53"/>
      <c r="AQ13" s="53">
        <v>0</v>
      </c>
      <c r="AR13" s="53"/>
      <c r="AS13" s="45">
        <f t="shared" si="4"/>
        <v>928544</v>
      </c>
      <c r="AT13" s="45"/>
      <c r="AU13" s="53">
        <v>0</v>
      </c>
      <c r="AV13" s="53"/>
      <c r="AW13" s="53">
        <v>0</v>
      </c>
      <c r="AX13" s="53"/>
      <c r="AY13" s="53">
        <f t="shared" si="5"/>
        <v>1079616</v>
      </c>
      <c r="AZ13" s="53"/>
      <c r="BA13" s="35" t="s">
        <v>18</v>
      </c>
      <c r="BC13" s="35" t="s">
        <v>18</v>
      </c>
      <c r="BD13" s="53"/>
      <c r="BE13" s="53">
        <f>8156656+355000</f>
        <v>8511656</v>
      </c>
      <c r="BF13" s="53"/>
      <c r="BG13" s="53">
        <v>0</v>
      </c>
      <c r="BH13" s="53"/>
      <c r="BI13" s="53">
        <v>0</v>
      </c>
      <c r="BJ13" s="53"/>
      <c r="BK13" s="53">
        <v>56595</v>
      </c>
      <c r="BL13" s="53"/>
      <c r="BM13" s="53">
        <f t="shared" si="6"/>
        <v>8568251</v>
      </c>
      <c r="BN13" s="54" t="s">
        <v>347</v>
      </c>
      <c r="BR13" s="65"/>
      <c r="BS13" s="53"/>
      <c r="BT13" s="53"/>
      <c r="BU13" s="53"/>
      <c r="BV13" s="53"/>
      <c r="BW13" s="53"/>
      <c r="BX13" s="45"/>
      <c r="BY13" s="45"/>
      <c r="BZ13" s="53"/>
      <c r="CA13" s="53"/>
      <c r="CB13" s="53"/>
      <c r="CC13" s="53"/>
      <c r="CD13" s="53"/>
      <c r="CE13" s="53"/>
      <c r="CF13" s="35"/>
      <c r="CH13" s="35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4"/>
    </row>
    <row r="14" spans="1:97" s="55" customFormat="1" ht="12.75" customHeight="1">
      <c r="A14" s="35" t="s">
        <v>19</v>
      </c>
      <c r="B14" s="65"/>
      <c r="C14" s="35" t="s">
        <v>19</v>
      </c>
      <c r="D14" s="44"/>
      <c r="E14" s="53">
        <f t="shared" si="7"/>
        <v>2137146</v>
      </c>
      <c r="F14" s="53"/>
      <c r="G14" s="53">
        <v>13958888</v>
      </c>
      <c r="H14" s="53"/>
      <c r="I14" s="53">
        <v>16096034</v>
      </c>
      <c r="J14" s="53"/>
      <c r="K14" s="53">
        <f t="shared" si="8"/>
        <v>788489</v>
      </c>
      <c r="L14" s="53"/>
      <c r="M14" s="53">
        <v>2945706</v>
      </c>
      <c r="N14" s="53"/>
      <c r="O14" s="53">
        <v>3734195</v>
      </c>
      <c r="P14" s="53"/>
      <c r="Q14" s="53">
        <v>10771485</v>
      </c>
      <c r="R14" s="53"/>
      <c r="S14" s="53">
        <v>0</v>
      </c>
      <c r="T14" s="53"/>
      <c r="U14" s="53">
        <v>1590354</v>
      </c>
      <c r="V14" s="53"/>
      <c r="W14" s="53">
        <f t="shared" si="2"/>
        <v>12361839</v>
      </c>
      <c r="X14" s="53"/>
      <c r="Y14" s="35" t="s">
        <v>19</v>
      </c>
      <c r="AA14" s="35" t="s">
        <v>19</v>
      </c>
      <c r="AB14" s="35"/>
      <c r="AC14" s="53">
        <v>3658579</v>
      </c>
      <c r="AD14" s="53"/>
      <c r="AE14" s="53">
        <v>3366724</v>
      </c>
      <c r="AF14" s="53"/>
      <c r="AG14" s="53">
        <v>0</v>
      </c>
      <c r="AH14" s="53"/>
      <c r="AI14" s="45">
        <f t="shared" si="9"/>
        <v>291855</v>
      </c>
      <c r="AJ14" s="45"/>
      <c r="AK14" s="53">
        <v>-118838</v>
      </c>
      <c r="AL14" s="45"/>
      <c r="AM14" s="53">
        <v>0</v>
      </c>
      <c r="AN14" s="53"/>
      <c r="AO14" s="53">
        <v>0</v>
      </c>
      <c r="AP14" s="53"/>
      <c r="AQ14" s="53">
        <v>147860</v>
      </c>
      <c r="AR14" s="53"/>
      <c r="AS14" s="45">
        <f t="shared" si="4"/>
        <v>320877</v>
      </c>
      <c r="AT14" s="45"/>
      <c r="AU14" s="53">
        <v>0</v>
      </c>
      <c r="AV14" s="53"/>
      <c r="AW14" s="53">
        <v>0</v>
      </c>
      <c r="AX14" s="53"/>
      <c r="AY14" s="53">
        <f t="shared" si="5"/>
        <v>1348657</v>
      </c>
      <c r="AZ14" s="53"/>
      <c r="BA14" s="35" t="s">
        <v>19</v>
      </c>
      <c r="BC14" s="35" t="s">
        <v>19</v>
      </c>
      <c r="BD14" s="53"/>
      <c r="BE14" s="53">
        <v>0</v>
      </c>
      <c r="BF14" s="53"/>
      <c r="BG14" s="53">
        <v>0</v>
      </c>
      <c r="BH14" s="53"/>
      <c r="BI14" s="53">
        <f>2720357+467046</f>
        <v>3187403</v>
      </c>
      <c r="BJ14" s="53"/>
      <c r="BK14" s="53">
        <f>225349+113797</f>
        <v>339146</v>
      </c>
      <c r="BL14" s="53"/>
      <c r="BM14" s="53">
        <f t="shared" si="6"/>
        <v>3526549</v>
      </c>
      <c r="BN14" s="54" t="s">
        <v>347</v>
      </c>
      <c r="BR14" s="65"/>
      <c r="BS14" s="53"/>
      <c r="BT14" s="53"/>
      <c r="BU14" s="53"/>
      <c r="BV14" s="53"/>
      <c r="BW14" s="53"/>
      <c r="BX14" s="45"/>
      <c r="BY14" s="45"/>
      <c r="BZ14" s="53"/>
      <c r="CA14" s="53"/>
      <c r="CB14" s="53"/>
      <c r="CC14" s="53"/>
      <c r="CD14" s="53"/>
      <c r="CE14" s="53"/>
      <c r="CF14" s="35"/>
      <c r="CH14" s="35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4"/>
    </row>
    <row r="15" spans="1:97" s="55" customFormat="1" ht="12.75" customHeight="1">
      <c r="A15" s="35" t="s">
        <v>20</v>
      </c>
      <c r="B15" s="65"/>
      <c r="C15" s="35" t="s">
        <v>20</v>
      </c>
      <c r="D15" s="44"/>
      <c r="E15" s="53">
        <f t="shared" si="7"/>
        <v>1568045</v>
      </c>
      <c r="F15" s="53"/>
      <c r="G15" s="53">
        <f>137949+9529322</f>
        <v>9667271</v>
      </c>
      <c r="H15" s="53"/>
      <c r="I15" s="53">
        <v>11235316</v>
      </c>
      <c r="J15" s="53"/>
      <c r="K15" s="53">
        <f t="shared" si="8"/>
        <v>859098</v>
      </c>
      <c r="L15" s="53"/>
      <c r="M15" s="53">
        <f>41174+2288896</f>
        <v>2330070</v>
      </c>
      <c r="N15" s="53"/>
      <c r="O15" s="53">
        <v>3189168</v>
      </c>
      <c r="P15" s="53"/>
      <c r="Q15" s="53">
        <v>6814063</v>
      </c>
      <c r="R15" s="53"/>
      <c r="S15" s="53">
        <v>0</v>
      </c>
      <c r="T15" s="53"/>
      <c r="U15" s="53">
        <v>1232085</v>
      </c>
      <c r="V15" s="53"/>
      <c r="W15" s="53">
        <f t="shared" si="2"/>
        <v>8046148</v>
      </c>
      <c r="X15" s="53"/>
      <c r="Y15" s="35" t="s">
        <v>20</v>
      </c>
      <c r="AA15" s="35" t="s">
        <v>20</v>
      </c>
      <c r="AB15" s="35"/>
      <c r="AC15" s="53">
        <v>3234790</v>
      </c>
      <c r="AD15" s="53"/>
      <c r="AE15" s="53">
        <f>2639373-347481</f>
        <v>2291892</v>
      </c>
      <c r="AF15" s="53"/>
      <c r="AG15" s="53">
        <v>347481</v>
      </c>
      <c r="AH15" s="53"/>
      <c r="AI15" s="45">
        <f t="shared" si="9"/>
        <v>595417</v>
      </c>
      <c r="AJ15" s="45"/>
      <c r="AK15" s="53">
        <v>-93449</v>
      </c>
      <c r="AL15" s="45"/>
      <c r="AM15" s="53">
        <v>0</v>
      </c>
      <c r="AN15" s="53"/>
      <c r="AO15" s="53">
        <v>0</v>
      </c>
      <c r="AP15" s="53"/>
      <c r="AQ15" s="53">
        <v>0</v>
      </c>
      <c r="AR15" s="53"/>
      <c r="AS15" s="45">
        <f t="shared" si="4"/>
        <v>501968</v>
      </c>
      <c r="AT15" s="45"/>
      <c r="AU15" s="53">
        <v>0</v>
      </c>
      <c r="AV15" s="53"/>
      <c r="AW15" s="53">
        <v>0</v>
      </c>
      <c r="AX15" s="53"/>
      <c r="AY15" s="53">
        <f t="shared" si="5"/>
        <v>708947</v>
      </c>
      <c r="AZ15" s="53"/>
      <c r="BA15" s="35" t="s">
        <v>20</v>
      </c>
      <c r="BC15" s="35" t="s">
        <v>20</v>
      </c>
      <c r="BD15" s="53"/>
      <c r="BE15" s="53">
        <v>0</v>
      </c>
      <c r="BF15" s="53"/>
      <c r="BG15" s="53">
        <v>0</v>
      </c>
      <c r="BH15" s="53"/>
      <c r="BI15" s="53">
        <v>2288896</v>
      </c>
      <c r="BJ15" s="53"/>
      <c r="BK15" s="53">
        <f>41174+84499</f>
        <v>125673</v>
      </c>
      <c r="BL15" s="53"/>
      <c r="BM15" s="53">
        <f t="shared" si="6"/>
        <v>2414569</v>
      </c>
      <c r="BN15" s="54" t="s">
        <v>347</v>
      </c>
      <c r="BO15" s="55" t="s">
        <v>403</v>
      </c>
      <c r="BR15" s="65"/>
      <c r="BS15" s="53"/>
      <c r="BT15" s="53"/>
      <c r="BU15" s="53"/>
      <c r="BV15" s="53"/>
      <c r="BW15" s="53"/>
      <c r="BX15" s="45"/>
      <c r="BY15" s="45"/>
      <c r="BZ15" s="53"/>
      <c r="CA15" s="53"/>
      <c r="CB15" s="53"/>
      <c r="CC15" s="53"/>
      <c r="CD15" s="53"/>
      <c r="CE15" s="53"/>
      <c r="CF15" s="35"/>
      <c r="CH15" s="35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4"/>
    </row>
    <row r="16" spans="1:97" s="55" customFormat="1" ht="12.75" customHeight="1">
      <c r="A16" s="35" t="s">
        <v>21</v>
      </c>
      <c r="B16" s="65"/>
      <c r="C16" s="35" t="s">
        <v>22</v>
      </c>
      <c r="D16" s="44"/>
      <c r="E16" s="53">
        <f t="shared" si="7"/>
        <v>2068968</v>
      </c>
      <c r="F16" s="53"/>
      <c r="G16" s="53">
        <v>29292602</v>
      </c>
      <c r="H16" s="53"/>
      <c r="I16" s="53">
        <v>31361570</v>
      </c>
      <c r="J16" s="53"/>
      <c r="K16" s="53">
        <f t="shared" si="8"/>
        <v>806116</v>
      </c>
      <c r="L16" s="53"/>
      <c r="M16" s="53">
        <v>5511053</v>
      </c>
      <c r="N16" s="53"/>
      <c r="O16" s="53">
        <v>6317169</v>
      </c>
      <c r="P16" s="53"/>
      <c r="Q16" s="53">
        <v>23070986</v>
      </c>
      <c r="R16" s="53"/>
      <c r="S16" s="53">
        <v>0</v>
      </c>
      <c r="T16" s="53"/>
      <c r="U16" s="53">
        <v>1973415</v>
      </c>
      <c r="V16" s="53"/>
      <c r="W16" s="53">
        <f t="shared" si="2"/>
        <v>25044401</v>
      </c>
      <c r="X16" s="53"/>
      <c r="Y16" s="35" t="s">
        <v>21</v>
      </c>
      <c r="AA16" s="35" t="s">
        <v>22</v>
      </c>
      <c r="AB16" s="35"/>
      <c r="AC16" s="53">
        <v>2368405</v>
      </c>
      <c r="AD16" s="53"/>
      <c r="AE16" s="53">
        <f>2210052-838653</f>
        <v>1371399</v>
      </c>
      <c r="AF16" s="53"/>
      <c r="AG16" s="53">
        <v>838653</v>
      </c>
      <c r="AH16" s="53"/>
      <c r="AI16" s="45">
        <f t="shared" si="9"/>
        <v>158353</v>
      </c>
      <c r="AJ16" s="45"/>
      <c r="AK16" s="53">
        <v>-260171</v>
      </c>
      <c r="AL16" s="45"/>
      <c r="AM16" s="53">
        <v>216943</v>
      </c>
      <c r="AN16" s="53"/>
      <c r="AO16" s="53">
        <v>0</v>
      </c>
      <c r="AP16" s="53"/>
      <c r="AQ16" s="53">
        <v>204572</v>
      </c>
      <c r="AR16" s="53"/>
      <c r="AS16" s="45">
        <f t="shared" si="4"/>
        <v>319697</v>
      </c>
      <c r="AT16" s="45"/>
      <c r="AU16" s="53">
        <v>0</v>
      </c>
      <c r="AV16" s="53"/>
      <c r="AW16" s="53">
        <v>0</v>
      </c>
      <c r="AX16" s="53"/>
      <c r="AY16" s="53">
        <f t="shared" si="5"/>
        <v>1262852</v>
      </c>
      <c r="AZ16" s="53"/>
      <c r="BA16" s="35" t="s">
        <v>21</v>
      </c>
      <c r="BC16" s="35" t="s">
        <v>22</v>
      </c>
      <c r="BD16" s="53"/>
      <c r="BE16" s="53">
        <f>629382+50889</f>
        <v>680271</v>
      </c>
      <c r="BF16" s="53"/>
      <c r="BG16" s="53">
        <v>0</v>
      </c>
      <c r="BH16" s="53"/>
      <c r="BI16" s="53">
        <f>177500+4688427+40000+583462</f>
        <v>5489389</v>
      </c>
      <c r="BJ16" s="53"/>
      <c r="BK16" s="53">
        <f>15744+2124</f>
        <v>17868</v>
      </c>
      <c r="BL16" s="53"/>
      <c r="BM16" s="53">
        <f t="shared" si="6"/>
        <v>6187528</v>
      </c>
      <c r="BN16" s="54" t="s">
        <v>347</v>
      </c>
      <c r="BR16" s="65"/>
      <c r="BS16" s="53"/>
      <c r="BT16" s="53"/>
      <c r="BU16" s="53"/>
      <c r="BV16" s="53"/>
      <c r="BW16" s="53"/>
      <c r="BX16" s="45"/>
      <c r="BY16" s="45"/>
      <c r="BZ16" s="53"/>
      <c r="CA16" s="53"/>
      <c r="CB16" s="53"/>
      <c r="CC16" s="53"/>
      <c r="CD16" s="53"/>
      <c r="CE16" s="53"/>
      <c r="CF16" s="35"/>
      <c r="CH16" s="35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</row>
    <row r="17" spans="1:97" s="55" customFormat="1" ht="12.75" customHeight="1">
      <c r="A17" s="35" t="s">
        <v>23</v>
      </c>
      <c r="B17" s="65"/>
      <c r="C17" s="35" t="s">
        <v>17</v>
      </c>
      <c r="D17" s="44"/>
      <c r="E17" s="53">
        <f t="shared" si="7"/>
        <v>874849</v>
      </c>
      <c r="F17" s="53"/>
      <c r="G17" s="53">
        <v>16680042</v>
      </c>
      <c r="H17" s="53"/>
      <c r="I17" s="53">
        <v>17554891</v>
      </c>
      <c r="J17" s="53"/>
      <c r="K17" s="53">
        <f t="shared" si="8"/>
        <v>390500</v>
      </c>
      <c r="L17" s="53"/>
      <c r="M17" s="53">
        <v>546898</v>
      </c>
      <c r="N17" s="53"/>
      <c r="O17" s="53">
        <v>937398</v>
      </c>
      <c r="P17" s="53"/>
      <c r="Q17" s="53">
        <v>16020177</v>
      </c>
      <c r="R17" s="53"/>
      <c r="S17" s="53">
        <v>0</v>
      </c>
      <c r="T17" s="53"/>
      <c r="U17" s="53">
        <v>597316</v>
      </c>
      <c r="V17" s="53"/>
      <c r="W17" s="53">
        <f t="shared" si="2"/>
        <v>16617493</v>
      </c>
      <c r="X17" s="53"/>
      <c r="Y17" s="35" t="s">
        <v>23</v>
      </c>
      <c r="AA17" s="35" t="s">
        <v>17</v>
      </c>
      <c r="AB17" s="35"/>
      <c r="AC17" s="53">
        <v>1357797</v>
      </c>
      <c r="AD17" s="53"/>
      <c r="AE17" s="53">
        <f>1839268-598560</f>
        <v>1240708</v>
      </c>
      <c r="AF17" s="53"/>
      <c r="AG17" s="53">
        <v>598560</v>
      </c>
      <c r="AH17" s="53"/>
      <c r="AI17" s="45">
        <f t="shared" si="9"/>
        <v>-481471</v>
      </c>
      <c r="AJ17" s="45"/>
      <c r="AK17" s="53">
        <v>-30143</v>
      </c>
      <c r="AL17" s="45"/>
      <c r="AM17" s="53">
        <v>71809</v>
      </c>
      <c r="AN17" s="53"/>
      <c r="AO17" s="53">
        <v>0</v>
      </c>
      <c r="AP17" s="53"/>
      <c r="AQ17" s="53">
        <v>310925</v>
      </c>
      <c r="AR17" s="53"/>
      <c r="AS17" s="45">
        <f t="shared" si="4"/>
        <v>-128880</v>
      </c>
      <c r="AT17" s="45"/>
      <c r="AU17" s="53">
        <v>0</v>
      </c>
      <c r="AV17" s="53"/>
      <c r="AW17" s="53">
        <v>0</v>
      </c>
      <c r="AX17" s="53"/>
      <c r="AY17" s="53">
        <f t="shared" si="5"/>
        <v>484349</v>
      </c>
      <c r="AZ17" s="53"/>
      <c r="BA17" s="35" t="s">
        <v>23</v>
      </c>
      <c r="BC17" s="35" t="s">
        <v>17</v>
      </c>
      <c r="BD17" s="53"/>
      <c r="BE17" s="53">
        <f>313907+44035</f>
        <v>357942</v>
      </c>
      <c r="BF17" s="53"/>
      <c r="BG17" s="53">
        <v>0</v>
      </c>
      <c r="BH17" s="53"/>
      <c r="BI17" s="53">
        <f>173081+128842</f>
        <v>301923</v>
      </c>
      <c r="BJ17" s="53"/>
      <c r="BK17" s="53">
        <f>59910+5568</f>
        <v>65478</v>
      </c>
      <c r="BL17" s="53"/>
      <c r="BM17" s="53">
        <f t="shared" si="6"/>
        <v>725343</v>
      </c>
      <c r="BN17" s="54" t="s">
        <v>347</v>
      </c>
      <c r="BR17" s="65"/>
      <c r="BS17" s="53"/>
      <c r="BT17" s="53"/>
      <c r="BU17" s="53"/>
      <c r="BV17" s="53"/>
      <c r="BW17" s="53"/>
      <c r="BX17" s="45"/>
      <c r="BY17" s="45"/>
      <c r="BZ17" s="53"/>
      <c r="CA17" s="53"/>
      <c r="CB17" s="53"/>
      <c r="CC17" s="53"/>
      <c r="CD17" s="53"/>
      <c r="CE17" s="53"/>
      <c r="CF17" s="35"/>
      <c r="CH17" s="35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4"/>
    </row>
    <row r="18" spans="1:97" s="55" customFormat="1" ht="12.75" hidden="1" customHeight="1">
      <c r="A18" s="35" t="s">
        <v>24</v>
      </c>
      <c r="B18" s="65"/>
      <c r="C18" s="35" t="s">
        <v>17</v>
      </c>
      <c r="D18" s="44"/>
      <c r="E18" s="53">
        <f t="shared" si="7"/>
        <v>0</v>
      </c>
      <c r="F18" s="53"/>
      <c r="G18" s="53">
        <v>0</v>
      </c>
      <c r="H18" s="53"/>
      <c r="I18" s="53">
        <v>0</v>
      </c>
      <c r="J18" s="53"/>
      <c r="K18" s="53">
        <f t="shared" si="8"/>
        <v>0</v>
      </c>
      <c r="L18" s="53"/>
      <c r="M18" s="53">
        <v>0</v>
      </c>
      <c r="N18" s="53"/>
      <c r="O18" s="53">
        <v>0</v>
      </c>
      <c r="P18" s="53"/>
      <c r="Q18" s="53">
        <v>0</v>
      </c>
      <c r="R18" s="53"/>
      <c r="S18" s="53">
        <v>0</v>
      </c>
      <c r="T18" s="53"/>
      <c r="U18" s="53">
        <v>0</v>
      </c>
      <c r="V18" s="53"/>
      <c r="W18" s="53">
        <f t="shared" si="2"/>
        <v>0</v>
      </c>
      <c r="X18" s="53"/>
      <c r="Y18" s="35" t="s">
        <v>24</v>
      </c>
      <c r="AA18" s="35" t="s">
        <v>17</v>
      </c>
      <c r="AB18" s="35"/>
      <c r="AC18" s="53">
        <v>0</v>
      </c>
      <c r="AD18" s="53"/>
      <c r="AE18" s="53">
        <v>0</v>
      </c>
      <c r="AF18" s="53"/>
      <c r="AG18" s="53">
        <v>0</v>
      </c>
      <c r="AH18" s="53"/>
      <c r="AI18" s="45">
        <f t="shared" si="9"/>
        <v>0</v>
      </c>
      <c r="AJ18" s="45"/>
      <c r="AK18" s="53">
        <v>0</v>
      </c>
      <c r="AL18" s="45"/>
      <c r="AM18" s="53">
        <v>0</v>
      </c>
      <c r="AN18" s="53"/>
      <c r="AO18" s="53">
        <v>0</v>
      </c>
      <c r="AP18" s="53"/>
      <c r="AQ18" s="53">
        <v>0</v>
      </c>
      <c r="AR18" s="53"/>
      <c r="AS18" s="45">
        <f t="shared" si="4"/>
        <v>0</v>
      </c>
      <c r="AT18" s="45"/>
      <c r="AU18" s="53">
        <v>0</v>
      </c>
      <c r="AV18" s="53"/>
      <c r="AW18" s="53">
        <v>0</v>
      </c>
      <c r="AX18" s="53"/>
      <c r="AY18" s="53">
        <f t="shared" si="5"/>
        <v>0</v>
      </c>
      <c r="AZ18" s="53"/>
      <c r="BA18" s="35" t="s">
        <v>24</v>
      </c>
      <c r="BC18" s="35" t="s">
        <v>17</v>
      </c>
      <c r="BD18" s="53"/>
      <c r="BE18" s="53">
        <v>0</v>
      </c>
      <c r="BF18" s="53"/>
      <c r="BG18" s="53">
        <v>0</v>
      </c>
      <c r="BH18" s="53"/>
      <c r="BI18" s="53">
        <v>0</v>
      </c>
      <c r="BJ18" s="53"/>
      <c r="BK18" s="53">
        <v>0</v>
      </c>
      <c r="BL18" s="53"/>
      <c r="BM18" s="53">
        <f t="shared" si="6"/>
        <v>0</v>
      </c>
      <c r="BN18" s="54" t="s">
        <v>347</v>
      </c>
      <c r="BR18" s="65"/>
      <c r="BS18" s="53"/>
      <c r="BT18" s="53"/>
      <c r="BU18" s="53"/>
      <c r="BV18" s="53"/>
      <c r="BW18" s="53"/>
      <c r="BX18" s="45"/>
      <c r="BY18" s="45"/>
      <c r="BZ18" s="53"/>
      <c r="CA18" s="53"/>
      <c r="CB18" s="53"/>
      <c r="CC18" s="53"/>
      <c r="CD18" s="53"/>
      <c r="CE18" s="53"/>
      <c r="CF18" s="35"/>
      <c r="CH18" s="35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4"/>
    </row>
    <row r="19" spans="1:97" s="55" customFormat="1" ht="12.75" customHeight="1">
      <c r="A19" s="35" t="s">
        <v>25</v>
      </c>
      <c r="C19" s="35" t="s">
        <v>13</v>
      </c>
      <c r="D19" s="44"/>
      <c r="E19" s="53">
        <f t="shared" si="7"/>
        <v>3331776</v>
      </c>
      <c r="F19" s="53"/>
      <c r="G19" s="53">
        <v>23911557</v>
      </c>
      <c r="H19" s="53"/>
      <c r="I19" s="53">
        <v>27243333</v>
      </c>
      <c r="J19" s="53"/>
      <c r="K19" s="53">
        <f t="shared" si="8"/>
        <v>1211509</v>
      </c>
      <c r="L19" s="53"/>
      <c r="M19" s="53">
        <v>688455</v>
      </c>
      <c r="N19" s="53"/>
      <c r="O19" s="53">
        <v>1899964</v>
      </c>
      <c r="P19" s="53"/>
      <c r="Q19" s="53">
        <v>22616330</v>
      </c>
      <c r="R19" s="53"/>
      <c r="S19" s="53">
        <v>566545</v>
      </c>
      <c r="T19" s="53"/>
      <c r="U19" s="53">
        <v>2160494</v>
      </c>
      <c r="V19" s="53"/>
      <c r="W19" s="53">
        <f t="shared" si="2"/>
        <v>25343369</v>
      </c>
      <c r="X19" s="53"/>
      <c r="Y19" s="35" t="s">
        <v>25</v>
      </c>
      <c r="AA19" s="35" t="s">
        <v>13</v>
      </c>
      <c r="AB19" s="35"/>
      <c r="AC19" s="53">
        <v>4167325</v>
      </c>
      <c r="AD19" s="53"/>
      <c r="AE19" s="53">
        <f>4177379-1118479</f>
        <v>3058900</v>
      </c>
      <c r="AF19" s="53"/>
      <c r="AG19" s="53">
        <v>1118479</v>
      </c>
      <c r="AH19" s="53"/>
      <c r="AI19" s="45">
        <f t="shared" si="9"/>
        <v>-10054</v>
      </c>
      <c r="AJ19" s="45"/>
      <c r="AK19" s="53">
        <v>-40494</v>
      </c>
      <c r="AL19" s="45"/>
      <c r="AM19" s="53">
        <v>0</v>
      </c>
      <c r="AN19" s="53"/>
      <c r="AO19" s="53">
        <v>0</v>
      </c>
      <c r="AP19" s="53"/>
      <c r="AQ19" s="53">
        <v>2547429</v>
      </c>
      <c r="AR19" s="53"/>
      <c r="AS19" s="45">
        <f t="shared" si="4"/>
        <v>2496881</v>
      </c>
      <c r="AT19" s="45"/>
      <c r="AU19" s="53">
        <v>0</v>
      </c>
      <c r="AV19" s="53"/>
      <c r="AW19" s="53">
        <v>0</v>
      </c>
      <c r="AX19" s="53"/>
      <c r="AY19" s="53">
        <f t="shared" si="5"/>
        <v>2120267</v>
      </c>
      <c r="AZ19" s="53"/>
      <c r="BA19" s="35" t="s">
        <v>25</v>
      </c>
      <c r="BC19" s="35" t="s">
        <v>13</v>
      </c>
      <c r="BD19" s="53"/>
      <c r="BE19" s="53">
        <f>433245+265928</f>
        <v>699173</v>
      </c>
      <c r="BF19" s="53"/>
      <c r="BG19" s="53">
        <v>0</v>
      </c>
      <c r="BH19" s="53"/>
      <c r="BI19" s="53">
        <v>0</v>
      </c>
      <c r="BJ19" s="53"/>
      <c r="BK19" s="53">
        <f>3341+61192+255209</f>
        <v>319742</v>
      </c>
      <c r="BL19" s="53"/>
      <c r="BM19" s="53">
        <f>SUM(BE19:BK19)</f>
        <v>1018915</v>
      </c>
      <c r="BN19" s="54" t="s">
        <v>347</v>
      </c>
      <c r="BR19" s="65"/>
      <c r="BS19" s="53"/>
      <c r="BT19" s="53"/>
      <c r="BU19" s="53"/>
      <c r="BV19" s="53"/>
      <c r="BW19" s="53"/>
      <c r="BX19" s="45"/>
      <c r="BY19" s="45"/>
      <c r="BZ19" s="53"/>
      <c r="CA19" s="53"/>
      <c r="CB19" s="53"/>
      <c r="CC19" s="53"/>
      <c r="CD19" s="53"/>
      <c r="CE19" s="53"/>
      <c r="CF19" s="35"/>
      <c r="CH19" s="35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4"/>
    </row>
    <row r="20" spans="1:97" s="55" customFormat="1" ht="12.75" customHeight="1">
      <c r="A20" s="35" t="s">
        <v>26</v>
      </c>
      <c r="B20" s="65"/>
      <c r="C20" s="35" t="s">
        <v>27</v>
      </c>
      <c r="D20" s="44"/>
      <c r="E20" s="53">
        <f t="shared" si="7"/>
        <v>511307</v>
      </c>
      <c r="F20" s="53"/>
      <c r="G20" s="53">
        <v>9785925</v>
      </c>
      <c r="H20" s="53"/>
      <c r="I20" s="53">
        <v>10297232</v>
      </c>
      <c r="J20" s="53"/>
      <c r="K20" s="53">
        <f t="shared" si="8"/>
        <v>452390</v>
      </c>
      <c r="L20" s="53"/>
      <c r="M20" s="53">
        <v>468877</v>
      </c>
      <c r="N20" s="53"/>
      <c r="O20" s="53">
        <v>921267</v>
      </c>
      <c r="P20" s="53"/>
      <c r="Q20" s="53">
        <v>4514499</v>
      </c>
      <c r="R20" s="53"/>
      <c r="S20" s="53">
        <v>0</v>
      </c>
      <c r="T20" s="53"/>
      <c r="U20" s="53">
        <v>4861466</v>
      </c>
      <c r="V20" s="53"/>
      <c r="W20" s="53">
        <f t="shared" si="2"/>
        <v>9375965</v>
      </c>
      <c r="X20" s="53"/>
      <c r="Y20" s="35" t="s">
        <v>26</v>
      </c>
      <c r="AA20" s="35" t="s">
        <v>27</v>
      </c>
      <c r="AB20" s="35"/>
      <c r="AC20" s="53">
        <v>1443943</v>
      </c>
      <c r="AD20" s="53"/>
      <c r="AE20" s="53">
        <f>1638577-195835</f>
        <v>1442742</v>
      </c>
      <c r="AF20" s="53"/>
      <c r="AG20" s="53">
        <v>195835</v>
      </c>
      <c r="AH20" s="53"/>
      <c r="AI20" s="45">
        <f t="shared" si="9"/>
        <v>-194634</v>
      </c>
      <c r="AJ20" s="45"/>
      <c r="AK20" s="53">
        <v>-295605</v>
      </c>
      <c r="AL20" s="45"/>
      <c r="AM20" s="53">
        <v>93000</v>
      </c>
      <c r="AN20" s="53"/>
      <c r="AO20" s="53">
        <v>26505</v>
      </c>
      <c r="AP20" s="53"/>
      <c r="AQ20" s="53">
        <v>0</v>
      </c>
      <c r="AR20" s="53"/>
      <c r="AS20" s="45">
        <f t="shared" si="4"/>
        <v>-423744</v>
      </c>
      <c r="AT20" s="45"/>
      <c r="AU20" s="53">
        <v>0</v>
      </c>
      <c r="AV20" s="53"/>
      <c r="AW20" s="53">
        <v>0</v>
      </c>
      <c r="AX20" s="53"/>
      <c r="AY20" s="53">
        <f t="shared" si="5"/>
        <v>58917</v>
      </c>
      <c r="AZ20" s="53"/>
      <c r="BA20" s="35" t="s">
        <v>26</v>
      </c>
      <c r="BC20" s="35" t="s">
        <v>27</v>
      </c>
      <c r="BD20" s="53"/>
      <c r="BE20" s="53">
        <f>100000+50000</f>
        <v>150000</v>
      </c>
      <c r="BF20" s="53"/>
      <c r="BG20" s="53">
        <v>0</v>
      </c>
      <c r="BH20" s="53"/>
      <c r="BI20" s="53">
        <f>306062+34007</f>
        <v>340069</v>
      </c>
      <c r="BJ20" s="53"/>
      <c r="BK20" s="53">
        <f>62815+47057</f>
        <v>109872</v>
      </c>
      <c r="BL20" s="53"/>
      <c r="BM20" s="53">
        <f t="shared" ref="BM20:BM22" si="10">SUM(BE20:BK20)</f>
        <v>599941</v>
      </c>
      <c r="BN20" s="54" t="s">
        <v>347</v>
      </c>
      <c r="BR20" s="65"/>
      <c r="BS20" s="53"/>
      <c r="BT20" s="53"/>
      <c r="BU20" s="53"/>
      <c r="BV20" s="53"/>
      <c r="BW20" s="53"/>
      <c r="BX20" s="45"/>
      <c r="BY20" s="45"/>
      <c r="BZ20" s="53"/>
      <c r="CA20" s="53"/>
      <c r="CB20" s="53"/>
      <c r="CC20" s="53"/>
      <c r="CD20" s="53"/>
      <c r="CE20" s="53"/>
      <c r="CF20" s="35"/>
      <c r="CH20" s="35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4"/>
    </row>
    <row r="21" spans="1:97" s="140" customFormat="1" ht="12.75" hidden="1" customHeight="1">
      <c r="A21" s="126" t="s">
        <v>28</v>
      </c>
      <c r="B21" s="125"/>
      <c r="C21" s="126" t="s">
        <v>27</v>
      </c>
      <c r="D21" s="121"/>
      <c r="E21" s="53">
        <f t="shared" si="7"/>
        <v>0</v>
      </c>
      <c r="F21" s="53"/>
      <c r="G21" s="53">
        <v>0</v>
      </c>
      <c r="H21" s="53"/>
      <c r="I21" s="53">
        <v>0</v>
      </c>
      <c r="J21" s="53"/>
      <c r="K21" s="53">
        <f t="shared" si="8"/>
        <v>0</v>
      </c>
      <c r="L21" s="53"/>
      <c r="M21" s="53">
        <v>0</v>
      </c>
      <c r="N21" s="53"/>
      <c r="O21" s="53">
        <v>0</v>
      </c>
      <c r="P21" s="53"/>
      <c r="Q21" s="53">
        <v>0</v>
      </c>
      <c r="R21" s="53"/>
      <c r="S21" s="53">
        <v>0</v>
      </c>
      <c r="T21" s="53"/>
      <c r="U21" s="53">
        <v>0</v>
      </c>
      <c r="V21" s="137"/>
      <c r="W21" s="137">
        <f t="shared" si="2"/>
        <v>0</v>
      </c>
      <c r="X21" s="137"/>
      <c r="Y21" s="126" t="s">
        <v>28</v>
      </c>
      <c r="AA21" s="126" t="s">
        <v>27</v>
      </c>
      <c r="AB21" s="126"/>
      <c r="AC21" s="53">
        <v>0</v>
      </c>
      <c r="AD21" s="53"/>
      <c r="AE21" s="53">
        <v>0</v>
      </c>
      <c r="AF21" s="53"/>
      <c r="AG21" s="53">
        <v>0</v>
      </c>
      <c r="AH21" s="53"/>
      <c r="AI21" s="45">
        <f t="shared" si="9"/>
        <v>0</v>
      </c>
      <c r="AJ21" s="45"/>
      <c r="AK21" s="53">
        <v>0</v>
      </c>
      <c r="AL21" s="45"/>
      <c r="AM21" s="53">
        <v>0</v>
      </c>
      <c r="AN21" s="53"/>
      <c r="AO21" s="53">
        <v>0</v>
      </c>
      <c r="AP21" s="53"/>
      <c r="AQ21" s="53">
        <v>0</v>
      </c>
      <c r="AR21" s="137"/>
      <c r="AS21" s="45">
        <f t="shared" si="4"/>
        <v>0</v>
      </c>
      <c r="AT21" s="127"/>
      <c r="AU21" s="137">
        <v>0</v>
      </c>
      <c r="AV21" s="137"/>
      <c r="AW21" s="137">
        <v>0</v>
      </c>
      <c r="AX21" s="137"/>
      <c r="AY21" s="137">
        <f t="shared" si="5"/>
        <v>0</v>
      </c>
      <c r="AZ21" s="137"/>
      <c r="BA21" s="126" t="s">
        <v>28</v>
      </c>
      <c r="BC21" s="126" t="s">
        <v>27</v>
      </c>
      <c r="BD21" s="137"/>
      <c r="BE21" s="53">
        <v>0</v>
      </c>
      <c r="BF21" s="53"/>
      <c r="BG21" s="53">
        <v>0</v>
      </c>
      <c r="BH21" s="53"/>
      <c r="BI21" s="53">
        <v>0</v>
      </c>
      <c r="BJ21" s="53"/>
      <c r="BK21" s="53">
        <v>0</v>
      </c>
      <c r="BL21" s="137"/>
      <c r="BM21" s="137">
        <f t="shared" si="10"/>
        <v>0</v>
      </c>
      <c r="BN21" s="139" t="s">
        <v>347</v>
      </c>
      <c r="BR21" s="125"/>
      <c r="BS21" s="137"/>
      <c r="BT21" s="137"/>
      <c r="BU21" s="137"/>
      <c r="BV21" s="137"/>
      <c r="BW21" s="137"/>
      <c r="BX21" s="127"/>
      <c r="BY21" s="127"/>
      <c r="BZ21" s="137"/>
      <c r="CA21" s="137"/>
      <c r="CB21" s="137"/>
      <c r="CC21" s="137"/>
      <c r="CD21" s="137"/>
      <c r="CE21" s="137"/>
      <c r="CF21" s="126"/>
      <c r="CH21" s="126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9"/>
    </row>
    <row r="22" spans="1:97" s="140" customFormat="1" ht="12.75" hidden="1" customHeight="1">
      <c r="A22" s="126" t="s">
        <v>29</v>
      </c>
      <c r="B22" s="125"/>
      <c r="C22" s="126" t="s">
        <v>30</v>
      </c>
      <c r="D22" s="121"/>
      <c r="E22" s="53">
        <f t="shared" si="7"/>
        <v>0</v>
      </c>
      <c r="F22" s="53"/>
      <c r="G22" s="53">
        <v>0</v>
      </c>
      <c r="H22" s="53"/>
      <c r="I22" s="53">
        <v>0</v>
      </c>
      <c r="J22" s="53"/>
      <c r="K22" s="53">
        <f t="shared" si="8"/>
        <v>0</v>
      </c>
      <c r="L22" s="53"/>
      <c r="M22" s="53">
        <v>0</v>
      </c>
      <c r="N22" s="53"/>
      <c r="O22" s="53">
        <v>0</v>
      </c>
      <c r="P22" s="53"/>
      <c r="Q22" s="53">
        <v>0</v>
      </c>
      <c r="R22" s="53"/>
      <c r="S22" s="53">
        <v>0</v>
      </c>
      <c r="T22" s="53"/>
      <c r="U22" s="53">
        <v>0</v>
      </c>
      <c r="V22" s="137"/>
      <c r="W22" s="137">
        <f t="shared" si="2"/>
        <v>0</v>
      </c>
      <c r="X22" s="137"/>
      <c r="Y22" s="126" t="s">
        <v>29</v>
      </c>
      <c r="AA22" s="126" t="s">
        <v>30</v>
      </c>
      <c r="AB22" s="126"/>
      <c r="AC22" s="53">
        <v>0</v>
      </c>
      <c r="AD22" s="53"/>
      <c r="AE22" s="53">
        <v>0</v>
      </c>
      <c r="AF22" s="53"/>
      <c r="AG22" s="53">
        <v>0</v>
      </c>
      <c r="AH22" s="53"/>
      <c r="AI22" s="45">
        <f t="shared" si="9"/>
        <v>0</v>
      </c>
      <c r="AJ22" s="45"/>
      <c r="AK22" s="53">
        <v>0</v>
      </c>
      <c r="AL22" s="45"/>
      <c r="AM22" s="53">
        <v>0</v>
      </c>
      <c r="AN22" s="53"/>
      <c r="AO22" s="53">
        <v>0</v>
      </c>
      <c r="AP22" s="53"/>
      <c r="AQ22" s="53">
        <v>0</v>
      </c>
      <c r="AR22" s="137"/>
      <c r="AS22" s="45">
        <f t="shared" si="4"/>
        <v>0</v>
      </c>
      <c r="AT22" s="127"/>
      <c r="AU22" s="137">
        <v>0</v>
      </c>
      <c r="AV22" s="137"/>
      <c r="AW22" s="137">
        <v>0</v>
      </c>
      <c r="AX22" s="137"/>
      <c r="AY22" s="137">
        <f t="shared" si="5"/>
        <v>0</v>
      </c>
      <c r="AZ22" s="137"/>
      <c r="BA22" s="126" t="s">
        <v>29</v>
      </c>
      <c r="BC22" s="126" t="s">
        <v>30</v>
      </c>
      <c r="BD22" s="137"/>
      <c r="BE22" s="53">
        <v>0</v>
      </c>
      <c r="BF22" s="53"/>
      <c r="BG22" s="53">
        <v>0</v>
      </c>
      <c r="BH22" s="53"/>
      <c r="BI22" s="53">
        <v>0</v>
      </c>
      <c r="BJ22" s="53"/>
      <c r="BK22" s="53">
        <v>0</v>
      </c>
      <c r="BL22" s="137"/>
      <c r="BM22" s="137">
        <f t="shared" si="10"/>
        <v>0</v>
      </c>
      <c r="BN22" s="139" t="s">
        <v>347</v>
      </c>
      <c r="BR22" s="125"/>
      <c r="BS22" s="137"/>
      <c r="BT22" s="137"/>
      <c r="BU22" s="137"/>
      <c r="BV22" s="137"/>
      <c r="BW22" s="137"/>
      <c r="BX22" s="127"/>
      <c r="BY22" s="127"/>
      <c r="BZ22" s="137"/>
      <c r="CA22" s="137"/>
      <c r="CB22" s="137"/>
      <c r="CC22" s="137"/>
      <c r="CD22" s="137"/>
      <c r="CE22" s="137"/>
      <c r="CF22" s="126"/>
      <c r="CH22" s="126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9"/>
    </row>
    <row r="23" spans="1:97" s="55" customFormat="1" ht="12.75" customHeight="1">
      <c r="A23" s="35" t="s">
        <v>31</v>
      </c>
      <c r="B23" s="65"/>
      <c r="C23" s="35" t="s">
        <v>27</v>
      </c>
      <c r="D23" s="44"/>
      <c r="E23" s="53">
        <f t="shared" si="7"/>
        <v>3335839</v>
      </c>
      <c r="F23" s="53"/>
      <c r="G23" s="53">
        <v>9422893</v>
      </c>
      <c r="H23" s="53"/>
      <c r="I23" s="53">
        <v>12758732</v>
      </c>
      <c r="J23" s="53"/>
      <c r="K23" s="53">
        <f t="shared" si="8"/>
        <v>1300187</v>
      </c>
      <c r="L23" s="53"/>
      <c r="M23" s="53">
        <v>5717086</v>
      </c>
      <c r="N23" s="53"/>
      <c r="O23" s="53">
        <v>7017273</v>
      </c>
      <c r="P23" s="53"/>
      <c r="Q23" s="53">
        <v>2812551</v>
      </c>
      <c r="R23" s="53"/>
      <c r="S23" s="53">
        <v>0</v>
      </c>
      <c r="T23" s="53"/>
      <c r="U23" s="53">
        <v>2928908</v>
      </c>
      <c r="V23" s="53"/>
      <c r="W23" s="53">
        <f>SUM(Q23:U23)</f>
        <v>5741459</v>
      </c>
      <c r="X23" s="53"/>
      <c r="Y23" s="35" t="s">
        <v>31</v>
      </c>
      <c r="AA23" s="35" t="s">
        <v>27</v>
      </c>
      <c r="AB23" s="35"/>
      <c r="AC23" s="53">
        <v>2196959</v>
      </c>
      <c r="AD23" s="53"/>
      <c r="AE23" s="53">
        <f>1741148-303211</f>
        <v>1437937</v>
      </c>
      <c r="AF23" s="53"/>
      <c r="AG23" s="53">
        <v>303211</v>
      </c>
      <c r="AH23" s="53"/>
      <c r="AI23" s="45">
        <f t="shared" si="9"/>
        <v>455811</v>
      </c>
      <c r="AJ23" s="45"/>
      <c r="AK23" s="53">
        <v>-20025</v>
      </c>
      <c r="AL23" s="45"/>
      <c r="AM23" s="53">
        <v>0</v>
      </c>
      <c r="AN23" s="53"/>
      <c r="AO23" s="53">
        <v>0</v>
      </c>
      <c r="AP23" s="53"/>
      <c r="AQ23" s="53">
        <v>0</v>
      </c>
      <c r="AR23" s="53"/>
      <c r="AS23" s="45">
        <f>+AI23+AK23+AM23-AO23+AQ23</f>
        <v>435786</v>
      </c>
      <c r="AT23" s="45"/>
      <c r="AU23" s="53">
        <v>0</v>
      </c>
      <c r="AV23" s="53"/>
      <c r="AW23" s="53">
        <v>0</v>
      </c>
      <c r="AX23" s="53"/>
      <c r="AY23" s="53">
        <f t="shared" si="5"/>
        <v>2035652</v>
      </c>
      <c r="AZ23" s="53"/>
      <c r="BA23" s="35" t="s">
        <v>31</v>
      </c>
      <c r="BC23" s="35" t="s">
        <v>27</v>
      </c>
      <c r="BD23" s="53"/>
      <c r="BE23" s="53">
        <f>1801950+40000</f>
        <v>1841950</v>
      </c>
      <c r="BF23" s="53"/>
      <c r="BG23" s="53">
        <v>0</v>
      </c>
      <c r="BH23" s="53"/>
      <c r="BI23" s="53">
        <f>742830+3113830+55294+864063</f>
        <v>4776017</v>
      </c>
      <c r="BJ23" s="53"/>
      <c r="BK23" s="53">
        <f>58476+14033</f>
        <v>72509</v>
      </c>
      <c r="BL23" s="53"/>
      <c r="BM23" s="53">
        <f>SUM(BE23:BK23)</f>
        <v>6690476</v>
      </c>
      <c r="BN23" s="54" t="s">
        <v>347</v>
      </c>
      <c r="BO23" s="55" t="s">
        <v>404</v>
      </c>
      <c r="BR23" s="65"/>
      <c r="BS23" s="53"/>
      <c r="BT23" s="53"/>
      <c r="BU23" s="53"/>
      <c r="BV23" s="53"/>
      <c r="BW23" s="53"/>
      <c r="BX23" s="45"/>
      <c r="BY23" s="45"/>
      <c r="BZ23" s="53"/>
      <c r="CA23" s="53"/>
      <c r="CB23" s="53"/>
      <c r="CC23" s="53"/>
      <c r="CD23" s="53"/>
      <c r="CE23" s="53"/>
      <c r="CF23" s="44"/>
      <c r="CH23" s="35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4"/>
    </row>
    <row r="24" spans="1:97" s="55" customFormat="1" ht="12.75" customHeight="1">
      <c r="A24" s="35" t="s">
        <v>32</v>
      </c>
      <c r="B24" s="65"/>
      <c r="C24" s="35" t="s">
        <v>27</v>
      </c>
      <c r="D24" s="44"/>
      <c r="E24" s="53">
        <f t="shared" si="7"/>
        <v>2324155</v>
      </c>
      <c r="F24" s="53"/>
      <c r="G24" s="53">
        <v>7522344</v>
      </c>
      <c r="H24" s="53"/>
      <c r="I24" s="53">
        <v>9846499</v>
      </c>
      <c r="J24" s="53"/>
      <c r="K24" s="53">
        <f t="shared" si="8"/>
        <v>472288</v>
      </c>
      <c r="L24" s="53"/>
      <c r="M24" s="53">
        <v>891462</v>
      </c>
      <c r="N24" s="53"/>
      <c r="O24" s="53">
        <v>1363750</v>
      </c>
      <c r="P24" s="53"/>
      <c r="Q24" s="53">
        <v>6696894</v>
      </c>
      <c r="R24" s="53"/>
      <c r="S24" s="53">
        <v>0</v>
      </c>
      <c r="T24" s="53"/>
      <c r="U24" s="53">
        <v>1785855</v>
      </c>
      <c r="V24" s="53"/>
      <c r="W24" s="53">
        <f t="shared" ref="W24:W41" si="11">SUM(Q24:U24)</f>
        <v>8482749</v>
      </c>
      <c r="X24" s="53"/>
      <c r="Y24" s="35" t="s">
        <v>32</v>
      </c>
      <c r="AA24" s="35" t="s">
        <v>27</v>
      </c>
      <c r="AB24" s="35"/>
      <c r="AC24" s="53">
        <v>2802722</v>
      </c>
      <c r="AD24" s="53"/>
      <c r="AE24" s="53">
        <f>2724023-396661</f>
        <v>2327362</v>
      </c>
      <c r="AF24" s="53"/>
      <c r="AG24" s="53">
        <v>396661</v>
      </c>
      <c r="AH24" s="53"/>
      <c r="AI24" s="45">
        <f t="shared" si="9"/>
        <v>78699</v>
      </c>
      <c r="AJ24" s="45"/>
      <c r="AK24" s="53">
        <v>-29010</v>
      </c>
      <c r="AL24" s="45"/>
      <c r="AM24" s="53">
        <v>0</v>
      </c>
      <c r="AN24" s="53"/>
      <c r="AO24" s="53">
        <v>0</v>
      </c>
      <c r="AP24" s="53"/>
      <c r="AQ24" s="53">
        <v>121000</v>
      </c>
      <c r="AR24" s="53"/>
      <c r="AS24" s="45">
        <f t="shared" ref="AS24:AS53" si="12">+AI24+AK24+AM24-AO24+AQ24</f>
        <v>170689</v>
      </c>
      <c r="AT24" s="45"/>
      <c r="AU24" s="53">
        <v>0</v>
      </c>
      <c r="AV24" s="53"/>
      <c r="AW24" s="53">
        <v>0</v>
      </c>
      <c r="AX24" s="53"/>
      <c r="AY24" s="53">
        <f t="shared" ref="AY24:AY53" si="13">+E24-K24</f>
        <v>1851867</v>
      </c>
      <c r="AZ24" s="53"/>
      <c r="BA24" s="35" t="s">
        <v>32</v>
      </c>
      <c r="BC24" s="35" t="s">
        <v>27</v>
      </c>
      <c r="BD24" s="53"/>
      <c r="BE24" s="53">
        <f>733100+92350</f>
        <v>825450</v>
      </c>
      <c r="BF24" s="53"/>
      <c r="BG24" s="53">
        <v>0</v>
      </c>
      <c r="BH24" s="53"/>
      <c r="BI24" s="53">
        <v>0</v>
      </c>
      <c r="BJ24" s="53"/>
      <c r="BK24" s="53">
        <f>158362+113618</f>
        <v>271980</v>
      </c>
      <c r="BL24" s="53"/>
      <c r="BM24" s="53">
        <f t="shared" ref="BM24:BM46" si="14">SUM(BE24:BK24)</f>
        <v>1097430</v>
      </c>
      <c r="BN24" s="54" t="s">
        <v>347</v>
      </c>
      <c r="BR24" s="65"/>
      <c r="BS24" s="53"/>
      <c r="BT24" s="53"/>
      <c r="BU24" s="53"/>
      <c r="BV24" s="53"/>
      <c r="BW24" s="53"/>
      <c r="BX24" s="45"/>
      <c r="BY24" s="45"/>
      <c r="BZ24" s="53"/>
      <c r="CA24" s="53"/>
      <c r="CB24" s="53"/>
      <c r="CC24" s="53"/>
      <c r="CD24" s="53"/>
      <c r="CE24" s="53"/>
      <c r="CF24" s="35"/>
      <c r="CH24" s="35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4"/>
    </row>
    <row r="25" spans="1:97" s="55" customFormat="1" ht="12.75" hidden="1" customHeight="1">
      <c r="A25" s="35" t="s">
        <v>34</v>
      </c>
      <c r="B25" s="65"/>
      <c r="C25" s="35" t="s">
        <v>30</v>
      </c>
      <c r="D25" s="44"/>
      <c r="E25" s="53">
        <f t="shared" si="7"/>
        <v>0</v>
      </c>
      <c r="F25" s="53"/>
      <c r="G25" s="53">
        <v>0</v>
      </c>
      <c r="H25" s="53"/>
      <c r="I25" s="53">
        <v>0</v>
      </c>
      <c r="J25" s="53"/>
      <c r="K25" s="53">
        <f t="shared" si="8"/>
        <v>0</v>
      </c>
      <c r="L25" s="53"/>
      <c r="M25" s="53">
        <v>0</v>
      </c>
      <c r="N25" s="53"/>
      <c r="O25" s="53">
        <v>0</v>
      </c>
      <c r="P25" s="53"/>
      <c r="Q25" s="53">
        <v>0</v>
      </c>
      <c r="R25" s="53"/>
      <c r="S25" s="53">
        <v>0</v>
      </c>
      <c r="T25" s="53"/>
      <c r="U25" s="53">
        <v>0</v>
      </c>
      <c r="V25" s="53"/>
      <c r="W25" s="53">
        <f t="shared" si="11"/>
        <v>0</v>
      </c>
      <c r="X25" s="53"/>
      <c r="Y25" s="35" t="s">
        <v>34</v>
      </c>
      <c r="AA25" s="35" t="s">
        <v>30</v>
      </c>
      <c r="AB25" s="35"/>
      <c r="AC25" s="53">
        <v>0</v>
      </c>
      <c r="AD25" s="53"/>
      <c r="AE25" s="53">
        <v>0</v>
      </c>
      <c r="AF25" s="53"/>
      <c r="AG25" s="53">
        <v>0</v>
      </c>
      <c r="AH25" s="53"/>
      <c r="AI25" s="45">
        <f t="shared" si="9"/>
        <v>0</v>
      </c>
      <c r="AJ25" s="45"/>
      <c r="AK25" s="53">
        <v>0</v>
      </c>
      <c r="AL25" s="45"/>
      <c r="AM25" s="53">
        <v>0</v>
      </c>
      <c r="AN25" s="53"/>
      <c r="AO25" s="53">
        <v>0</v>
      </c>
      <c r="AP25" s="53"/>
      <c r="AQ25" s="53">
        <v>0</v>
      </c>
      <c r="AR25" s="53"/>
      <c r="AS25" s="45">
        <f t="shared" si="12"/>
        <v>0</v>
      </c>
      <c r="AT25" s="45"/>
      <c r="AU25" s="53">
        <v>0</v>
      </c>
      <c r="AV25" s="53"/>
      <c r="AW25" s="53">
        <v>0</v>
      </c>
      <c r="AX25" s="53"/>
      <c r="AY25" s="53">
        <f t="shared" si="13"/>
        <v>0</v>
      </c>
      <c r="AZ25" s="53"/>
      <c r="BA25" s="35" t="s">
        <v>34</v>
      </c>
      <c r="BC25" s="35" t="s">
        <v>30</v>
      </c>
      <c r="BD25" s="53"/>
      <c r="BE25" s="53">
        <v>0</v>
      </c>
      <c r="BF25" s="53"/>
      <c r="BG25" s="53">
        <v>0</v>
      </c>
      <c r="BH25" s="53"/>
      <c r="BI25" s="53">
        <v>0</v>
      </c>
      <c r="BJ25" s="53"/>
      <c r="BK25" s="53">
        <v>0</v>
      </c>
      <c r="BL25" s="53"/>
      <c r="BM25" s="53">
        <f t="shared" si="14"/>
        <v>0</v>
      </c>
      <c r="BN25" s="54" t="s">
        <v>347</v>
      </c>
      <c r="BR25" s="65"/>
      <c r="BS25" s="53"/>
      <c r="BT25" s="53"/>
      <c r="BU25" s="53"/>
      <c r="BV25" s="53"/>
      <c r="BW25" s="53"/>
      <c r="BX25" s="45"/>
      <c r="BY25" s="45"/>
      <c r="BZ25" s="53"/>
      <c r="CA25" s="53"/>
      <c r="CB25" s="53"/>
      <c r="CC25" s="53"/>
      <c r="CD25" s="53"/>
      <c r="CE25" s="53"/>
      <c r="CF25" s="35"/>
      <c r="CH25" s="35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4"/>
    </row>
    <row r="26" spans="1:97" s="55" customFormat="1" ht="12.75" customHeight="1">
      <c r="A26" s="35" t="s">
        <v>35</v>
      </c>
      <c r="B26" s="65"/>
      <c r="C26" s="35" t="s">
        <v>36</v>
      </c>
      <c r="D26" s="44"/>
      <c r="E26" s="53">
        <f t="shared" si="7"/>
        <v>4270105</v>
      </c>
      <c r="F26" s="53"/>
      <c r="G26" s="53">
        <v>12844029</v>
      </c>
      <c r="H26" s="53"/>
      <c r="I26" s="53">
        <v>17114134</v>
      </c>
      <c r="J26" s="53"/>
      <c r="K26" s="53">
        <f t="shared" si="8"/>
        <v>1277907</v>
      </c>
      <c r="L26" s="53"/>
      <c r="M26" s="53">
        <v>3426545</v>
      </c>
      <c r="N26" s="53"/>
      <c r="O26" s="53">
        <v>4704452</v>
      </c>
      <c r="P26" s="53"/>
      <c r="Q26" s="53">
        <v>10438412</v>
      </c>
      <c r="R26" s="53"/>
      <c r="S26" s="53">
        <v>464358</v>
      </c>
      <c r="T26" s="53"/>
      <c r="U26" s="53">
        <v>1506912</v>
      </c>
      <c r="V26" s="53"/>
      <c r="W26" s="53">
        <f t="shared" si="11"/>
        <v>12409682</v>
      </c>
      <c r="X26" s="53"/>
      <c r="Y26" s="35" t="s">
        <v>35</v>
      </c>
      <c r="AA26" s="35" t="s">
        <v>36</v>
      </c>
      <c r="AB26" s="35"/>
      <c r="AC26" s="53">
        <v>2764241</v>
      </c>
      <c r="AD26" s="53"/>
      <c r="AE26" s="53">
        <f>1835832-309600</f>
        <v>1526232</v>
      </c>
      <c r="AF26" s="53"/>
      <c r="AG26" s="53">
        <v>309600</v>
      </c>
      <c r="AH26" s="53"/>
      <c r="AI26" s="45">
        <f t="shared" si="9"/>
        <v>928409</v>
      </c>
      <c r="AJ26" s="45"/>
      <c r="AK26" s="53">
        <v>95277</v>
      </c>
      <c r="AL26" s="45"/>
      <c r="AM26" s="53">
        <v>0</v>
      </c>
      <c r="AN26" s="53"/>
      <c r="AO26" s="53">
        <v>0</v>
      </c>
      <c r="AP26" s="53"/>
      <c r="AQ26" s="53">
        <v>0</v>
      </c>
      <c r="AR26" s="53"/>
      <c r="AS26" s="45">
        <f t="shared" si="12"/>
        <v>1023686</v>
      </c>
      <c r="AT26" s="45"/>
      <c r="AU26" s="53">
        <v>0</v>
      </c>
      <c r="AV26" s="53"/>
      <c r="AW26" s="53">
        <v>0</v>
      </c>
      <c r="AX26" s="53"/>
      <c r="AY26" s="53">
        <f t="shared" si="13"/>
        <v>2992198</v>
      </c>
      <c r="AZ26" s="53"/>
      <c r="BA26" s="35" t="s">
        <v>35</v>
      </c>
      <c r="BC26" s="35" t="s">
        <v>36</v>
      </c>
      <c r="BD26" s="53"/>
      <c r="BE26" s="53">
        <f>3033287+815860</f>
        <v>3849147</v>
      </c>
      <c r="BF26" s="53"/>
      <c r="BG26" s="53">
        <v>0</v>
      </c>
      <c r="BH26" s="53"/>
      <c r="BI26" s="53">
        <v>0</v>
      </c>
      <c r="BJ26" s="53"/>
      <c r="BK26" s="53">
        <f>374109+19149+32920+34828</f>
        <v>461006</v>
      </c>
      <c r="BL26" s="53"/>
      <c r="BM26" s="53">
        <f t="shared" si="14"/>
        <v>4310153</v>
      </c>
      <c r="BN26" s="54" t="s">
        <v>347</v>
      </c>
      <c r="BR26" s="65"/>
      <c r="BS26" s="53"/>
      <c r="BT26" s="53"/>
      <c r="BU26" s="53"/>
      <c r="BV26" s="53"/>
      <c r="BW26" s="53"/>
      <c r="BX26" s="45"/>
      <c r="BY26" s="45"/>
      <c r="BZ26" s="53"/>
      <c r="CA26" s="53"/>
      <c r="CB26" s="53"/>
      <c r="CC26" s="53"/>
      <c r="CD26" s="53"/>
      <c r="CE26" s="53"/>
      <c r="CF26" s="35"/>
      <c r="CH26" s="35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4"/>
    </row>
    <row r="27" spans="1:97" s="55" customFormat="1" ht="12.75" customHeight="1">
      <c r="A27" s="35" t="s">
        <v>37</v>
      </c>
      <c r="B27" s="65"/>
      <c r="C27" s="35" t="s">
        <v>38</v>
      </c>
      <c r="D27" s="44"/>
      <c r="E27" s="53">
        <f t="shared" si="7"/>
        <v>2166180</v>
      </c>
      <c r="F27" s="53"/>
      <c r="G27" s="53">
        <f>58060+8663264</f>
        <v>8721324</v>
      </c>
      <c r="H27" s="53"/>
      <c r="I27" s="53">
        <v>10887504</v>
      </c>
      <c r="J27" s="53"/>
      <c r="K27" s="53">
        <f t="shared" si="8"/>
        <v>852876</v>
      </c>
      <c r="L27" s="53"/>
      <c r="M27" s="53">
        <v>6963505</v>
      </c>
      <c r="N27" s="53"/>
      <c r="O27" s="53">
        <v>7816381</v>
      </c>
      <c r="P27" s="53"/>
      <c r="Q27" s="53">
        <v>1175107</v>
      </c>
      <c r="R27" s="53"/>
      <c r="S27" s="53">
        <v>0</v>
      </c>
      <c r="T27" s="53"/>
      <c r="U27" s="53">
        <v>1896016</v>
      </c>
      <c r="V27" s="53"/>
      <c r="W27" s="53">
        <f>SUM(Q27:U27)</f>
        <v>3071123</v>
      </c>
      <c r="X27" s="65"/>
      <c r="Y27" s="35" t="s">
        <v>37</v>
      </c>
      <c r="Z27" s="53"/>
      <c r="AA27" s="35" t="s">
        <v>38</v>
      </c>
      <c r="AB27" s="65"/>
      <c r="AC27" s="53">
        <v>2196206</v>
      </c>
      <c r="AD27" s="53"/>
      <c r="AE27" s="53">
        <f>1828804-559739</f>
        <v>1269065</v>
      </c>
      <c r="AF27" s="53"/>
      <c r="AG27" s="53">
        <v>559739</v>
      </c>
      <c r="AH27" s="53"/>
      <c r="AI27" s="45">
        <f t="shared" si="9"/>
        <v>367402</v>
      </c>
      <c r="AJ27" s="45"/>
      <c r="AK27" s="53">
        <v>-214923</v>
      </c>
      <c r="AL27" s="45"/>
      <c r="AM27" s="53">
        <v>0</v>
      </c>
      <c r="AN27" s="53"/>
      <c r="AO27" s="53">
        <v>0</v>
      </c>
      <c r="AP27" s="53"/>
      <c r="AQ27" s="53">
        <v>0</v>
      </c>
      <c r="AR27" s="53"/>
      <c r="AS27" s="45">
        <f t="shared" si="12"/>
        <v>152479</v>
      </c>
      <c r="AT27" s="45"/>
      <c r="AU27" s="53">
        <v>0</v>
      </c>
      <c r="AV27" s="53"/>
      <c r="AW27" s="53">
        <v>0</v>
      </c>
      <c r="AX27" s="53"/>
      <c r="AY27" s="53">
        <f>+E27-K27</f>
        <v>1313304</v>
      </c>
      <c r="AZ27" s="65"/>
      <c r="BA27" s="35" t="s">
        <v>37</v>
      </c>
      <c r="BB27" s="35"/>
      <c r="BC27" s="35" t="s">
        <v>38</v>
      </c>
      <c r="BD27" s="53"/>
      <c r="BE27" s="53">
        <v>0</v>
      </c>
      <c r="BF27" s="53"/>
      <c r="BG27" s="53">
        <v>0</v>
      </c>
      <c r="BH27" s="53"/>
      <c r="BI27" s="53">
        <f>6904917+641300</f>
        <v>7546217</v>
      </c>
      <c r="BJ27" s="53"/>
      <c r="BK27" s="53">
        <f>58588+18105</f>
        <v>76693</v>
      </c>
      <c r="BL27" s="53"/>
      <c r="BM27" s="53">
        <f t="shared" si="14"/>
        <v>7622910</v>
      </c>
      <c r="BN27" s="54" t="s">
        <v>347</v>
      </c>
      <c r="BR27" s="65"/>
      <c r="BS27" s="53"/>
      <c r="BT27" s="53"/>
      <c r="BU27" s="53"/>
      <c r="BV27" s="53"/>
      <c r="BW27" s="53"/>
      <c r="BX27" s="45"/>
      <c r="BY27" s="45"/>
      <c r="BZ27" s="53"/>
      <c r="CA27" s="53"/>
      <c r="CB27" s="53"/>
      <c r="CC27" s="53"/>
      <c r="CD27" s="53"/>
      <c r="CE27" s="53"/>
      <c r="CF27" s="35"/>
      <c r="CH27" s="35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4"/>
    </row>
    <row r="28" spans="1:97" s="35" customFormat="1" ht="12.75" customHeight="1">
      <c r="A28" s="35" t="s">
        <v>39</v>
      </c>
      <c r="B28" s="65"/>
      <c r="C28" s="35" t="s">
        <v>40</v>
      </c>
      <c r="D28" s="44"/>
      <c r="E28" s="53">
        <f t="shared" si="7"/>
        <v>351640</v>
      </c>
      <c r="F28" s="53"/>
      <c r="G28" s="53">
        <v>7246698</v>
      </c>
      <c r="H28" s="53"/>
      <c r="I28" s="53">
        <v>7598338</v>
      </c>
      <c r="J28" s="53"/>
      <c r="K28" s="53">
        <f t="shared" si="8"/>
        <v>444924</v>
      </c>
      <c r="L28" s="53"/>
      <c r="M28" s="53">
        <v>2651852</v>
      </c>
      <c r="N28" s="53"/>
      <c r="O28" s="53">
        <v>3096776</v>
      </c>
      <c r="P28" s="53"/>
      <c r="Q28" s="53">
        <v>4214304</v>
      </c>
      <c r="R28" s="53"/>
      <c r="S28" s="53">
        <v>0</v>
      </c>
      <c r="T28" s="53"/>
      <c r="U28" s="53">
        <v>287258</v>
      </c>
      <c r="V28" s="53"/>
      <c r="W28" s="53">
        <f>SUM(Q28:U28)</f>
        <v>4501562</v>
      </c>
      <c r="X28" s="53"/>
      <c r="Y28" s="35" t="s">
        <v>39</v>
      </c>
      <c r="Z28" s="55"/>
      <c r="AA28" s="35" t="s">
        <v>40</v>
      </c>
      <c r="AC28" s="53">
        <v>1356089</v>
      </c>
      <c r="AD28" s="53"/>
      <c r="AE28" s="53">
        <f>1084213-211756</f>
        <v>872457</v>
      </c>
      <c r="AF28" s="53"/>
      <c r="AG28" s="53">
        <v>211756</v>
      </c>
      <c r="AH28" s="53"/>
      <c r="AI28" s="45">
        <f t="shared" si="9"/>
        <v>271876</v>
      </c>
      <c r="AJ28" s="45"/>
      <c r="AK28" s="53">
        <v>-199894</v>
      </c>
      <c r="AL28" s="45"/>
      <c r="AM28" s="53">
        <v>0</v>
      </c>
      <c r="AN28" s="53"/>
      <c r="AO28" s="53">
        <v>0</v>
      </c>
      <c r="AP28" s="53"/>
      <c r="AQ28" s="53">
        <v>0</v>
      </c>
      <c r="AR28" s="53"/>
      <c r="AS28" s="45">
        <f t="shared" si="12"/>
        <v>71982</v>
      </c>
      <c r="AT28" s="45"/>
      <c r="AU28" s="53">
        <v>0</v>
      </c>
      <c r="AV28" s="53"/>
      <c r="AW28" s="53">
        <v>0</v>
      </c>
      <c r="AX28" s="53"/>
      <c r="AY28" s="53">
        <f>+E28-K28</f>
        <v>-93284</v>
      </c>
      <c r="AZ28" s="53"/>
      <c r="BA28" s="35" t="s">
        <v>39</v>
      </c>
      <c r="BB28" s="55"/>
      <c r="BC28" s="35" t="s">
        <v>40</v>
      </c>
      <c r="BD28" s="53"/>
      <c r="BE28" s="53">
        <v>0</v>
      </c>
      <c r="BF28" s="53"/>
      <c r="BG28" s="53">
        <v>0</v>
      </c>
      <c r="BH28" s="53"/>
      <c r="BI28" s="53">
        <f>138841+9686</f>
        <v>148527</v>
      </c>
      <c r="BJ28" s="53"/>
      <c r="BK28" s="53">
        <f>2505383+7628+378184</f>
        <v>2891195</v>
      </c>
      <c r="BL28" s="53"/>
      <c r="BM28" s="53">
        <f t="shared" si="14"/>
        <v>3039722</v>
      </c>
      <c r="BN28" s="54"/>
      <c r="BR28" s="55"/>
      <c r="BS28" s="55"/>
      <c r="BT28" s="84"/>
      <c r="BU28" s="55"/>
      <c r="BV28" s="55"/>
      <c r="BW28" s="55"/>
      <c r="BX28" s="55"/>
      <c r="BY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7" s="55" customFormat="1" ht="12.75" customHeight="1">
      <c r="A29" s="35" t="s">
        <v>41</v>
      </c>
      <c r="B29" s="65"/>
      <c r="C29" s="35" t="s">
        <v>27</v>
      </c>
      <c r="D29" s="44"/>
      <c r="E29" s="53">
        <f t="shared" si="7"/>
        <v>513603</v>
      </c>
      <c r="F29" s="53"/>
      <c r="G29" s="53">
        <v>11267286</v>
      </c>
      <c r="H29" s="53"/>
      <c r="I29" s="53">
        <v>11780889</v>
      </c>
      <c r="J29" s="53"/>
      <c r="K29" s="53">
        <f t="shared" si="8"/>
        <v>300243</v>
      </c>
      <c r="L29" s="53"/>
      <c r="M29" s="53">
        <v>4115374</v>
      </c>
      <c r="N29" s="53"/>
      <c r="O29" s="53">
        <v>4415617</v>
      </c>
      <c r="P29" s="53"/>
      <c r="Q29" s="53">
        <v>6949824</v>
      </c>
      <c r="R29" s="53"/>
      <c r="S29" s="53">
        <v>0</v>
      </c>
      <c r="T29" s="53"/>
      <c r="U29" s="53">
        <v>415448</v>
      </c>
      <c r="V29" s="53"/>
      <c r="W29" s="53">
        <f t="shared" si="11"/>
        <v>7365272</v>
      </c>
      <c r="X29" s="53"/>
      <c r="Y29" s="35" t="s">
        <v>41</v>
      </c>
      <c r="AA29" s="35" t="s">
        <v>27</v>
      </c>
      <c r="AB29" s="35"/>
      <c r="AC29" s="53">
        <v>657714</v>
      </c>
      <c r="AD29" s="53"/>
      <c r="AE29" s="53">
        <f>560045-280511</f>
        <v>279534</v>
      </c>
      <c r="AF29" s="53"/>
      <c r="AG29" s="53">
        <v>280511</v>
      </c>
      <c r="AH29" s="53"/>
      <c r="AI29" s="45">
        <f t="shared" si="9"/>
        <v>97669</v>
      </c>
      <c r="AJ29" s="45"/>
      <c r="AK29" s="53">
        <v>-68772</v>
      </c>
      <c r="AL29" s="45"/>
      <c r="AM29" s="53">
        <v>73000</v>
      </c>
      <c r="AN29" s="53"/>
      <c r="AO29" s="53">
        <v>46340</v>
      </c>
      <c r="AP29" s="53"/>
      <c r="AQ29" s="53">
        <v>394642</v>
      </c>
      <c r="AR29" s="53"/>
      <c r="AS29" s="45">
        <f t="shared" si="12"/>
        <v>450199</v>
      </c>
      <c r="AT29" s="45"/>
      <c r="AU29" s="53">
        <v>0</v>
      </c>
      <c r="AV29" s="53"/>
      <c r="AW29" s="53">
        <v>0</v>
      </c>
      <c r="AX29" s="53"/>
      <c r="AY29" s="53">
        <f t="shared" si="13"/>
        <v>213360</v>
      </c>
      <c r="AZ29" s="53"/>
      <c r="BA29" s="35" t="s">
        <v>41</v>
      </c>
      <c r="BC29" s="35" t="s">
        <v>27</v>
      </c>
      <c r="BD29" s="53"/>
      <c r="BE29" s="53">
        <v>0</v>
      </c>
      <c r="BF29" s="53"/>
      <c r="BG29" s="53">
        <v>0</v>
      </c>
      <c r="BH29" s="53"/>
      <c r="BI29" s="53">
        <f>2833709+889547+388070+152132+54004</f>
        <v>4317462</v>
      </c>
      <c r="BJ29" s="53"/>
      <c r="BK29" s="53">
        <f>4048+65</f>
        <v>4113</v>
      </c>
      <c r="BL29" s="53"/>
      <c r="BM29" s="53">
        <f t="shared" si="14"/>
        <v>4321575</v>
      </c>
      <c r="BN29" s="54" t="s">
        <v>347</v>
      </c>
      <c r="BR29" s="65"/>
      <c r="BS29" s="53"/>
      <c r="BT29" s="53"/>
      <c r="BU29" s="53"/>
      <c r="BV29" s="53"/>
      <c r="BW29" s="53"/>
      <c r="BX29" s="45"/>
      <c r="BY29" s="45"/>
      <c r="BZ29" s="53"/>
      <c r="CA29" s="53"/>
      <c r="CB29" s="53"/>
      <c r="CC29" s="53"/>
      <c r="CD29" s="53"/>
      <c r="CE29" s="53"/>
      <c r="CF29" s="35"/>
      <c r="CH29" s="35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4"/>
    </row>
    <row r="30" spans="1:97" s="55" customFormat="1" ht="12.75" customHeight="1">
      <c r="A30" s="35" t="s">
        <v>42</v>
      </c>
      <c r="B30" s="65"/>
      <c r="C30" s="35" t="s">
        <v>43</v>
      </c>
      <c r="D30" s="44"/>
      <c r="E30" s="53">
        <f t="shared" si="7"/>
        <v>2201033</v>
      </c>
      <c r="F30" s="53"/>
      <c r="G30" s="53">
        <v>3046957</v>
      </c>
      <c r="H30" s="53"/>
      <c r="I30" s="53">
        <v>5247990</v>
      </c>
      <c r="J30" s="53"/>
      <c r="K30" s="53">
        <f t="shared" si="8"/>
        <v>131941</v>
      </c>
      <c r="L30" s="53"/>
      <c r="M30" s="53">
        <v>1117373</v>
      </c>
      <c r="N30" s="53"/>
      <c r="O30" s="53">
        <v>1249314</v>
      </c>
      <c r="P30" s="53"/>
      <c r="Q30" s="53">
        <v>1837031</v>
      </c>
      <c r="R30" s="53"/>
      <c r="S30" s="53">
        <v>0</v>
      </c>
      <c r="T30" s="53"/>
      <c r="U30" s="53">
        <v>2161645</v>
      </c>
      <c r="V30" s="53"/>
      <c r="W30" s="53">
        <f t="shared" si="11"/>
        <v>3998676</v>
      </c>
      <c r="X30" s="53"/>
      <c r="Y30" s="35" t="s">
        <v>42</v>
      </c>
      <c r="AA30" s="35" t="s">
        <v>43</v>
      </c>
      <c r="AB30" s="35"/>
      <c r="AC30" s="53">
        <v>2279621</v>
      </c>
      <c r="AD30" s="53"/>
      <c r="AE30" s="53">
        <f>1481565-104618</f>
        <v>1376947</v>
      </c>
      <c r="AF30" s="53"/>
      <c r="AG30" s="53">
        <v>104618</v>
      </c>
      <c r="AH30" s="53"/>
      <c r="AI30" s="45">
        <f t="shared" si="9"/>
        <v>798056</v>
      </c>
      <c r="AJ30" s="45"/>
      <c r="AK30" s="53">
        <v>-29291</v>
      </c>
      <c r="AL30" s="45"/>
      <c r="AM30" s="53">
        <v>0</v>
      </c>
      <c r="AN30" s="53"/>
      <c r="AO30" s="53">
        <v>0</v>
      </c>
      <c r="AP30" s="53"/>
      <c r="AQ30" s="53">
        <v>0</v>
      </c>
      <c r="AR30" s="53"/>
      <c r="AS30" s="45">
        <f t="shared" si="12"/>
        <v>768765</v>
      </c>
      <c r="AT30" s="45"/>
      <c r="AU30" s="53">
        <v>0</v>
      </c>
      <c r="AV30" s="53"/>
      <c r="AW30" s="53">
        <v>0</v>
      </c>
      <c r="AX30" s="53"/>
      <c r="AY30" s="53">
        <f t="shared" si="13"/>
        <v>2069092</v>
      </c>
      <c r="AZ30" s="53"/>
      <c r="BA30" s="35" t="s">
        <v>42</v>
      </c>
      <c r="BC30" s="35" t="s">
        <v>43</v>
      </c>
      <c r="BD30" s="53"/>
      <c r="BE30" s="53">
        <f>7744000+36000</f>
        <v>7780000</v>
      </c>
      <c r="BF30" s="53"/>
      <c r="BG30" s="53">
        <v>0</v>
      </c>
      <c r="BH30" s="53"/>
      <c r="BI30" s="53">
        <f>332150+23725</f>
        <v>355875</v>
      </c>
      <c r="BJ30" s="53"/>
      <c r="BK30" s="53">
        <f>11223+586</f>
        <v>11809</v>
      </c>
      <c r="BL30" s="53"/>
      <c r="BM30" s="53">
        <f t="shared" si="14"/>
        <v>8147684</v>
      </c>
      <c r="BN30" s="54" t="s">
        <v>347</v>
      </c>
      <c r="BR30" s="65"/>
      <c r="BS30" s="53"/>
      <c r="BT30" s="53"/>
      <c r="BU30" s="53"/>
      <c r="BV30" s="53"/>
      <c r="BW30" s="53"/>
      <c r="BX30" s="45"/>
      <c r="BY30" s="45"/>
      <c r="BZ30" s="53"/>
      <c r="CA30" s="53"/>
      <c r="CB30" s="53"/>
      <c r="CC30" s="53"/>
      <c r="CD30" s="53"/>
      <c r="CE30" s="53"/>
      <c r="CF30" s="35"/>
      <c r="CH30" s="35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4"/>
    </row>
    <row r="31" spans="1:97" s="55" customFormat="1" ht="12.75" hidden="1" customHeight="1">
      <c r="A31" s="35" t="s">
        <v>44</v>
      </c>
      <c r="B31" s="65"/>
      <c r="C31" s="35" t="s">
        <v>45</v>
      </c>
      <c r="D31" s="44"/>
      <c r="E31" s="53">
        <f t="shared" si="7"/>
        <v>0</v>
      </c>
      <c r="F31" s="53"/>
      <c r="G31" s="53">
        <v>0</v>
      </c>
      <c r="H31" s="53"/>
      <c r="I31" s="53">
        <v>0</v>
      </c>
      <c r="J31" s="53"/>
      <c r="K31" s="53">
        <f t="shared" si="8"/>
        <v>0</v>
      </c>
      <c r="L31" s="53"/>
      <c r="M31" s="53">
        <v>0</v>
      </c>
      <c r="N31" s="53"/>
      <c r="O31" s="53">
        <v>0</v>
      </c>
      <c r="P31" s="53"/>
      <c r="Q31" s="53">
        <v>0</v>
      </c>
      <c r="R31" s="53"/>
      <c r="S31" s="53">
        <v>0</v>
      </c>
      <c r="T31" s="53"/>
      <c r="U31" s="53">
        <v>0</v>
      </c>
      <c r="V31" s="53"/>
      <c r="W31" s="53">
        <f t="shared" si="11"/>
        <v>0</v>
      </c>
      <c r="X31" s="53"/>
      <c r="Y31" s="35" t="s">
        <v>44</v>
      </c>
      <c r="AA31" s="35" t="s">
        <v>45</v>
      </c>
      <c r="AB31" s="35"/>
      <c r="AC31" s="53">
        <v>0</v>
      </c>
      <c r="AD31" s="53"/>
      <c r="AE31" s="53">
        <v>0</v>
      </c>
      <c r="AF31" s="53"/>
      <c r="AG31" s="53">
        <v>0</v>
      </c>
      <c r="AH31" s="53"/>
      <c r="AI31" s="45">
        <f t="shared" si="9"/>
        <v>0</v>
      </c>
      <c r="AJ31" s="45"/>
      <c r="AK31" s="53">
        <v>0</v>
      </c>
      <c r="AL31" s="45"/>
      <c r="AM31" s="53">
        <v>0</v>
      </c>
      <c r="AN31" s="53"/>
      <c r="AO31" s="53">
        <v>0</v>
      </c>
      <c r="AP31" s="53"/>
      <c r="AQ31" s="53">
        <v>0</v>
      </c>
      <c r="AR31" s="53"/>
      <c r="AS31" s="45">
        <f t="shared" si="12"/>
        <v>0</v>
      </c>
      <c r="AT31" s="45"/>
      <c r="AU31" s="53">
        <v>0</v>
      </c>
      <c r="AV31" s="53"/>
      <c r="AW31" s="53">
        <v>0</v>
      </c>
      <c r="AX31" s="53"/>
      <c r="AY31" s="53">
        <f t="shared" si="13"/>
        <v>0</v>
      </c>
      <c r="AZ31" s="53"/>
      <c r="BA31" s="35" t="s">
        <v>44</v>
      </c>
      <c r="BC31" s="35" t="s">
        <v>45</v>
      </c>
      <c r="BD31" s="53"/>
      <c r="BE31" s="53">
        <v>0</v>
      </c>
      <c r="BF31" s="53"/>
      <c r="BG31" s="53">
        <v>0</v>
      </c>
      <c r="BH31" s="53"/>
      <c r="BI31" s="53">
        <v>0</v>
      </c>
      <c r="BJ31" s="53"/>
      <c r="BK31" s="53">
        <v>0</v>
      </c>
      <c r="BL31" s="53"/>
      <c r="BM31" s="53">
        <f t="shared" si="14"/>
        <v>0</v>
      </c>
      <c r="BN31" s="54" t="s">
        <v>347</v>
      </c>
      <c r="BR31" s="65"/>
      <c r="BS31" s="53"/>
      <c r="BT31" s="53"/>
      <c r="BU31" s="53"/>
      <c r="BV31" s="53"/>
      <c r="BW31" s="53"/>
      <c r="BX31" s="45"/>
      <c r="BY31" s="45"/>
      <c r="BZ31" s="53"/>
      <c r="CA31" s="53"/>
      <c r="CB31" s="53"/>
      <c r="CC31" s="53"/>
      <c r="CD31" s="53"/>
      <c r="CE31" s="53"/>
      <c r="CF31" s="35"/>
      <c r="CH31" s="35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4"/>
    </row>
    <row r="32" spans="1:97" s="55" customFormat="1" ht="12.75" customHeight="1">
      <c r="A32" s="35" t="s">
        <v>46</v>
      </c>
      <c r="B32" s="65"/>
      <c r="C32" s="35" t="s">
        <v>47</v>
      </c>
      <c r="D32" s="44"/>
      <c r="E32" s="53">
        <f t="shared" si="7"/>
        <v>3085758</v>
      </c>
      <c r="F32" s="53"/>
      <c r="G32" s="53">
        <v>48191213</v>
      </c>
      <c r="H32" s="53"/>
      <c r="I32" s="53">
        <v>51276971</v>
      </c>
      <c r="J32" s="53"/>
      <c r="K32" s="53">
        <f t="shared" si="8"/>
        <v>461010</v>
      </c>
      <c r="L32" s="53"/>
      <c r="M32" s="53">
        <v>3071435</v>
      </c>
      <c r="N32" s="53"/>
      <c r="O32" s="53">
        <v>3532445</v>
      </c>
      <c r="P32" s="53"/>
      <c r="Q32" s="53">
        <v>45131805</v>
      </c>
      <c r="R32" s="53"/>
      <c r="S32" s="53">
        <v>0</v>
      </c>
      <c r="T32" s="53"/>
      <c r="U32" s="53">
        <v>2612721</v>
      </c>
      <c r="V32" s="53"/>
      <c r="W32" s="53">
        <f t="shared" si="11"/>
        <v>47744526</v>
      </c>
      <c r="X32" s="53"/>
      <c r="Y32" s="35" t="s">
        <v>46</v>
      </c>
      <c r="AA32" s="35" t="s">
        <v>47</v>
      </c>
      <c r="AB32" s="35"/>
      <c r="AC32" s="53">
        <v>3922305</v>
      </c>
      <c r="AD32" s="53"/>
      <c r="AE32" s="53">
        <f>3596110-1286959</f>
        <v>2309151</v>
      </c>
      <c r="AF32" s="53"/>
      <c r="AG32" s="53">
        <v>1286959</v>
      </c>
      <c r="AH32" s="53"/>
      <c r="AI32" s="45">
        <f t="shared" si="9"/>
        <v>326195</v>
      </c>
      <c r="AJ32" s="45"/>
      <c r="AK32" s="53">
        <v>-125034</v>
      </c>
      <c r="AL32" s="45"/>
      <c r="AM32" s="53">
        <v>0</v>
      </c>
      <c r="AN32" s="53"/>
      <c r="AO32" s="53">
        <v>0</v>
      </c>
      <c r="AP32" s="53"/>
      <c r="AQ32" s="53">
        <v>2738646</v>
      </c>
      <c r="AR32" s="53"/>
      <c r="AS32" s="45">
        <f t="shared" si="12"/>
        <v>2939807</v>
      </c>
      <c r="AT32" s="45"/>
      <c r="AU32" s="53">
        <v>0</v>
      </c>
      <c r="AV32" s="53"/>
      <c r="AW32" s="53">
        <v>0</v>
      </c>
      <c r="AX32" s="53"/>
      <c r="AY32" s="53">
        <f t="shared" si="13"/>
        <v>2624748</v>
      </c>
      <c r="AZ32" s="53"/>
      <c r="BA32" s="35" t="s">
        <v>46</v>
      </c>
      <c r="BC32" s="35" t="s">
        <v>47</v>
      </c>
      <c r="BD32" s="53"/>
      <c r="BE32" s="53">
        <f>2874408+185000</f>
        <v>3059408</v>
      </c>
      <c r="BF32" s="53"/>
      <c r="BG32" s="53">
        <v>0</v>
      </c>
      <c r="BH32" s="53"/>
      <c r="BI32" s="53">
        <v>0</v>
      </c>
      <c r="BJ32" s="53"/>
      <c r="BK32" s="53">
        <f>197027+96874</f>
        <v>293901</v>
      </c>
      <c r="BL32" s="53"/>
      <c r="BM32" s="53">
        <f t="shared" si="14"/>
        <v>3353309</v>
      </c>
      <c r="BN32" s="54" t="s">
        <v>347</v>
      </c>
      <c r="BR32" s="65"/>
      <c r="BS32" s="53"/>
      <c r="BT32" s="53"/>
      <c r="BU32" s="53"/>
      <c r="BV32" s="53"/>
      <c r="BW32" s="53"/>
      <c r="BX32" s="45"/>
      <c r="BY32" s="45"/>
      <c r="BZ32" s="53"/>
      <c r="CA32" s="53"/>
      <c r="CB32" s="53"/>
      <c r="CC32" s="53"/>
      <c r="CD32" s="53"/>
      <c r="CE32" s="53"/>
      <c r="CF32" s="35"/>
      <c r="CH32" s="35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4"/>
    </row>
    <row r="33" spans="1:97" s="55" customFormat="1" ht="12.75" hidden="1" customHeight="1">
      <c r="A33" s="35" t="s">
        <v>48</v>
      </c>
      <c r="B33" s="65"/>
      <c r="C33" s="35" t="s">
        <v>27</v>
      </c>
      <c r="D33" s="44"/>
      <c r="E33" s="53">
        <f t="shared" si="7"/>
        <v>0</v>
      </c>
      <c r="F33" s="53"/>
      <c r="G33" s="53">
        <v>0</v>
      </c>
      <c r="H33" s="53"/>
      <c r="I33" s="53">
        <v>0</v>
      </c>
      <c r="J33" s="53"/>
      <c r="K33" s="53">
        <f t="shared" si="8"/>
        <v>0</v>
      </c>
      <c r="L33" s="53"/>
      <c r="M33" s="53">
        <v>0</v>
      </c>
      <c r="N33" s="53"/>
      <c r="O33" s="53">
        <v>0</v>
      </c>
      <c r="P33" s="53"/>
      <c r="Q33" s="53">
        <v>0</v>
      </c>
      <c r="R33" s="53"/>
      <c r="S33" s="53">
        <v>0</v>
      </c>
      <c r="T33" s="53"/>
      <c r="U33" s="53">
        <v>0</v>
      </c>
      <c r="V33" s="53"/>
      <c r="W33" s="53">
        <f t="shared" si="11"/>
        <v>0</v>
      </c>
      <c r="X33" s="53"/>
      <c r="Y33" s="35" t="s">
        <v>48</v>
      </c>
      <c r="AA33" s="35" t="s">
        <v>27</v>
      </c>
      <c r="AB33" s="35"/>
      <c r="AC33" s="53">
        <v>0</v>
      </c>
      <c r="AD33" s="53"/>
      <c r="AE33" s="53">
        <v>0</v>
      </c>
      <c r="AF33" s="53"/>
      <c r="AG33" s="53">
        <v>0</v>
      </c>
      <c r="AH33" s="53"/>
      <c r="AI33" s="45">
        <f t="shared" si="9"/>
        <v>0</v>
      </c>
      <c r="AJ33" s="45"/>
      <c r="AK33" s="53">
        <v>0</v>
      </c>
      <c r="AL33" s="45"/>
      <c r="AM33" s="53">
        <v>0</v>
      </c>
      <c r="AN33" s="53"/>
      <c r="AO33" s="53">
        <v>0</v>
      </c>
      <c r="AP33" s="53"/>
      <c r="AQ33" s="53">
        <v>0</v>
      </c>
      <c r="AR33" s="53"/>
      <c r="AS33" s="45">
        <f t="shared" si="12"/>
        <v>0</v>
      </c>
      <c r="AT33" s="45"/>
      <c r="AU33" s="53">
        <v>0</v>
      </c>
      <c r="AV33" s="53"/>
      <c r="AW33" s="53">
        <v>0</v>
      </c>
      <c r="AX33" s="53"/>
      <c r="AY33" s="53">
        <f t="shared" si="13"/>
        <v>0</v>
      </c>
      <c r="AZ33" s="53"/>
      <c r="BA33" s="35" t="s">
        <v>48</v>
      </c>
      <c r="BC33" s="35" t="s">
        <v>27</v>
      </c>
      <c r="BD33" s="53"/>
      <c r="BE33" s="53">
        <v>0</v>
      </c>
      <c r="BF33" s="53"/>
      <c r="BG33" s="53">
        <v>0</v>
      </c>
      <c r="BH33" s="53"/>
      <c r="BI33" s="53">
        <v>0</v>
      </c>
      <c r="BJ33" s="53"/>
      <c r="BK33" s="53">
        <v>0</v>
      </c>
      <c r="BL33" s="53"/>
      <c r="BM33" s="53">
        <f t="shared" si="14"/>
        <v>0</v>
      </c>
      <c r="BN33" s="54" t="s">
        <v>347</v>
      </c>
      <c r="BR33" s="65"/>
      <c r="BS33" s="53"/>
      <c r="BT33" s="53"/>
      <c r="BU33" s="53"/>
      <c r="BV33" s="53"/>
      <c r="BW33" s="53"/>
      <c r="BX33" s="45"/>
      <c r="BY33" s="45"/>
      <c r="BZ33" s="53"/>
      <c r="CA33" s="53"/>
      <c r="CB33" s="53"/>
      <c r="CC33" s="53"/>
      <c r="CD33" s="53"/>
      <c r="CE33" s="53"/>
      <c r="CF33" s="35"/>
      <c r="CH33" s="35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4"/>
    </row>
    <row r="34" spans="1:97" s="55" customFormat="1" ht="12.75" customHeight="1">
      <c r="A34" s="35" t="s">
        <v>49</v>
      </c>
      <c r="B34" s="65"/>
      <c r="C34" s="35" t="s">
        <v>27</v>
      </c>
      <c r="D34" s="44"/>
      <c r="E34" s="53">
        <f t="shared" si="7"/>
        <v>1467016</v>
      </c>
      <c r="F34" s="53"/>
      <c r="G34" s="53">
        <v>3543991</v>
      </c>
      <c r="H34" s="53"/>
      <c r="I34" s="53">
        <v>5011007</v>
      </c>
      <c r="J34" s="53"/>
      <c r="K34" s="53">
        <f t="shared" si="8"/>
        <v>34782</v>
      </c>
      <c r="L34" s="53"/>
      <c r="M34" s="53">
        <v>23352</v>
      </c>
      <c r="N34" s="53"/>
      <c r="O34" s="53">
        <v>58134</v>
      </c>
      <c r="P34" s="53"/>
      <c r="Q34" s="53">
        <v>3543991</v>
      </c>
      <c r="R34" s="53"/>
      <c r="S34" s="53">
        <v>0</v>
      </c>
      <c r="T34" s="53"/>
      <c r="U34" s="53">
        <v>1408882</v>
      </c>
      <c r="V34" s="53"/>
      <c r="W34" s="53">
        <f t="shared" si="11"/>
        <v>4952873</v>
      </c>
      <c r="X34" s="53"/>
      <c r="Y34" s="35" t="s">
        <v>49</v>
      </c>
      <c r="AA34" s="35" t="s">
        <v>27</v>
      </c>
      <c r="AB34" s="35"/>
      <c r="AC34" s="53">
        <v>1262333</v>
      </c>
      <c r="AD34" s="53"/>
      <c r="AE34" s="53">
        <f>1852323-513486</f>
        <v>1338837</v>
      </c>
      <c r="AF34" s="53"/>
      <c r="AG34" s="53">
        <v>513486</v>
      </c>
      <c r="AH34" s="53"/>
      <c r="AI34" s="45">
        <f t="shared" si="9"/>
        <v>-589990</v>
      </c>
      <c r="AJ34" s="45"/>
      <c r="AK34" s="53">
        <v>460</v>
      </c>
      <c r="AL34" s="45"/>
      <c r="AM34" s="53">
        <v>0</v>
      </c>
      <c r="AN34" s="53"/>
      <c r="AO34" s="53">
        <v>0</v>
      </c>
      <c r="AP34" s="53"/>
      <c r="AQ34" s="53">
        <v>0</v>
      </c>
      <c r="AR34" s="53"/>
      <c r="AS34" s="45">
        <f t="shared" si="12"/>
        <v>-589530</v>
      </c>
      <c r="AT34" s="45"/>
      <c r="AU34" s="53">
        <v>0</v>
      </c>
      <c r="AV34" s="53"/>
      <c r="AW34" s="53">
        <v>0</v>
      </c>
      <c r="AX34" s="53"/>
      <c r="AY34" s="53">
        <f t="shared" si="13"/>
        <v>1432234</v>
      </c>
      <c r="AZ34" s="53"/>
      <c r="BA34" s="35" t="s">
        <v>49</v>
      </c>
      <c r="BC34" s="35" t="s">
        <v>27</v>
      </c>
      <c r="BD34" s="53"/>
      <c r="BE34" s="53">
        <v>0</v>
      </c>
      <c r="BF34" s="53"/>
      <c r="BG34" s="53">
        <v>0</v>
      </c>
      <c r="BH34" s="53"/>
      <c r="BI34" s="53">
        <v>0</v>
      </c>
      <c r="BJ34" s="53"/>
      <c r="BK34" s="53">
        <f>23352+6773</f>
        <v>30125</v>
      </c>
      <c r="BL34" s="53"/>
      <c r="BM34" s="53">
        <f t="shared" si="14"/>
        <v>30125</v>
      </c>
      <c r="BN34" s="54" t="s">
        <v>347</v>
      </c>
      <c r="BR34" s="65"/>
      <c r="BS34" s="53"/>
      <c r="BT34" s="53"/>
      <c r="BU34" s="53"/>
      <c r="BV34" s="53"/>
      <c r="BW34" s="53"/>
      <c r="BX34" s="45"/>
      <c r="BY34" s="45"/>
      <c r="BZ34" s="53"/>
      <c r="CA34" s="53"/>
      <c r="CB34" s="53"/>
      <c r="CC34" s="53"/>
      <c r="CD34" s="53"/>
      <c r="CE34" s="53"/>
      <c r="CF34" s="35"/>
      <c r="CH34" s="35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4"/>
    </row>
    <row r="35" spans="1:97" s="55" customFormat="1" ht="12.75" hidden="1" customHeight="1">
      <c r="A35" s="35" t="s">
        <v>50</v>
      </c>
      <c r="B35" s="65"/>
      <c r="C35" s="35" t="s">
        <v>27</v>
      </c>
      <c r="D35" s="44"/>
      <c r="E35" s="53">
        <f t="shared" si="7"/>
        <v>0</v>
      </c>
      <c r="F35" s="53"/>
      <c r="G35" s="53">
        <v>0</v>
      </c>
      <c r="H35" s="53"/>
      <c r="I35" s="53">
        <v>0</v>
      </c>
      <c r="J35" s="53"/>
      <c r="K35" s="53">
        <f t="shared" si="8"/>
        <v>0</v>
      </c>
      <c r="L35" s="53"/>
      <c r="M35" s="53">
        <v>0</v>
      </c>
      <c r="N35" s="53"/>
      <c r="O35" s="53">
        <v>0</v>
      </c>
      <c r="P35" s="53"/>
      <c r="Q35" s="53">
        <v>0</v>
      </c>
      <c r="R35" s="53"/>
      <c r="S35" s="53">
        <v>0</v>
      </c>
      <c r="T35" s="53"/>
      <c r="U35" s="53">
        <v>0</v>
      </c>
      <c r="V35" s="53"/>
      <c r="W35" s="53">
        <f t="shared" si="11"/>
        <v>0</v>
      </c>
      <c r="X35" s="53"/>
      <c r="Y35" s="35" t="s">
        <v>50</v>
      </c>
      <c r="AA35" s="35" t="s">
        <v>27</v>
      </c>
      <c r="AB35" s="35"/>
      <c r="AC35" s="53">
        <v>0</v>
      </c>
      <c r="AD35" s="53"/>
      <c r="AE35" s="53">
        <v>0</v>
      </c>
      <c r="AF35" s="53"/>
      <c r="AG35" s="53">
        <v>0</v>
      </c>
      <c r="AH35" s="53"/>
      <c r="AI35" s="45">
        <f t="shared" si="9"/>
        <v>0</v>
      </c>
      <c r="AJ35" s="45"/>
      <c r="AK35" s="53">
        <v>0</v>
      </c>
      <c r="AL35" s="45"/>
      <c r="AM35" s="53">
        <v>0</v>
      </c>
      <c r="AN35" s="53"/>
      <c r="AO35" s="53">
        <v>0</v>
      </c>
      <c r="AP35" s="53"/>
      <c r="AQ35" s="53">
        <v>0</v>
      </c>
      <c r="AR35" s="53"/>
      <c r="AS35" s="45">
        <f t="shared" si="12"/>
        <v>0</v>
      </c>
      <c r="AT35" s="45"/>
      <c r="AU35" s="53">
        <v>0</v>
      </c>
      <c r="AV35" s="53"/>
      <c r="AW35" s="53">
        <v>0</v>
      </c>
      <c r="AX35" s="53"/>
      <c r="AY35" s="53">
        <f t="shared" si="13"/>
        <v>0</v>
      </c>
      <c r="AZ35" s="53"/>
      <c r="BA35" s="35" t="s">
        <v>50</v>
      </c>
      <c r="BC35" s="35" t="s">
        <v>27</v>
      </c>
      <c r="BD35" s="53"/>
      <c r="BE35" s="53">
        <v>0</v>
      </c>
      <c r="BF35" s="53"/>
      <c r="BG35" s="53">
        <v>0</v>
      </c>
      <c r="BH35" s="53"/>
      <c r="BI35" s="53">
        <v>0</v>
      </c>
      <c r="BJ35" s="53"/>
      <c r="BK35" s="53">
        <v>0</v>
      </c>
      <c r="BL35" s="53"/>
      <c r="BM35" s="53">
        <f t="shared" si="14"/>
        <v>0</v>
      </c>
      <c r="BN35" s="54" t="s">
        <v>347</v>
      </c>
      <c r="BR35" s="65"/>
      <c r="BS35" s="53"/>
      <c r="BT35" s="53"/>
      <c r="BU35" s="53"/>
      <c r="BV35" s="53"/>
      <c r="BW35" s="53"/>
      <c r="BX35" s="45"/>
      <c r="BY35" s="45"/>
      <c r="BZ35" s="53"/>
      <c r="CA35" s="53"/>
      <c r="CB35" s="53"/>
      <c r="CC35" s="53"/>
      <c r="CD35" s="53"/>
      <c r="CE35" s="53"/>
      <c r="CF35" s="35"/>
      <c r="CH35" s="35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4"/>
    </row>
    <row r="36" spans="1:97" s="55" customFormat="1" ht="12.75" hidden="1" customHeight="1">
      <c r="A36" s="35" t="s">
        <v>51</v>
      </c>
      <c r="B36" s="65"/>
      <c r="C36" s="35" t="s">
        <v>27</v>
      </c>
      <c r="D36" s="44"/>
      <c r="E36" s="53">
        <f t="shared" si="7"/>
        <v>0</v>
      </c>
      <c r="F36" s="53"/>
      <c r="G36" s="53">
        <v>0</v>
      </c>
      <c r="H36" s="53"/>
      <c r="I36" s="53">
        <v>0</v>
      </c>
      <c r="J36" s="53"/>
      <c r="K36" s="53">
        <f t="shared" si="8"/>
        <v>0</v>
      </c>
      <c r="L36" s="53"/>
      <c r="M36" s="53">
        <v>0</v>
      </c>
      <c r="N36" s="53"/>
      <c r="O36" s="53">
        <v>0</v>
      </c>
      <c r="P36" s="53"/>
      <c r="Q36" s="53">
        <v>0</v>
      </c>
      <c r="R36" s="53"/>
      <c r="S36" s="53">
        <v>0</v>
      </c>
      <c r="T36" s="53"/>
      <c r="U36" s="53">
        <v>0</v>
      </c>
      <c r="V36" s="53"/>
      <c r="W36" s="53">
        <f t="shared" si="11"/>
        <v>0</v>
      </c>
      <c r="X36" s="53"/>
      <c r="Y36" s="35" t="s">
        <v>51</v>
      </c>
      <c r="AA36" s="35" t="s">
        <v>27</v>
      </c>
      <c r="AB36" s="35"/>
      <c r="AC36" s="53">
        <v>0</v>
      </c>
      <c r="AD36" s="53"/>
      <c r="AE36" s="53">
        <v>0</v>
      </c>
      <c r="AF36" s="53"/>
      <c r="AG36" s="53">
        <v>0</v>
      </c>
      <c r="AH36" s="53"/>
      <c r="AI36" s="45">
        <f t="shared" si="9"/>
        <v>0</v>
      </c>
      <c r="AJ36" s="45"/>
      <c r="AK36" s="53">
        <v>0</v>
      </c>
      <c r="AL36" s="45"/>
      <c r="AM36" s="53">
        <v>0</v>
      </c>
      <c r="AN36" s="53"/>
      <c r="AO36" s="53">
        <v>0</v>
      </c>
      <c r="AP36" s="53"/>
      <c r="AQ36" s="53">
        <v>0</v>
      </c>
      <c r="AR36" s="53"/>
      <c r="AS36" s="45">
        <f t="shared" si="12"/>
        <v>0</v>
      </c>
      <c r="AT36" s="45"/>
      <c r="AU36" s="53">
        <v>0</v>
      </c>
      <c r="AV36" s="53"/>
      <c r="AW36" s="53">
        <v>0</v>
      </c>
      <c r="AX36" s="53"/>
      <c r="AY36" s="53">
        <f t="shared" si="13"/>
        <v>0</v>
      </c>
      <c r="AZ36" s="53"/>
      <c r="BA36" s="35" t="s">
        <v>51</v>
      </c>
      <c r="BC36" s="35" t="s">
        <v>27</v>
      </c>
      <c r="BD36" s="53"/>
      <c r="BE36" s="53">
        <v>0</v>
      </c>
      <c r="BF36" s="53"/>
      <c r="BG36" s="53">
        <v>0</v>
      </c>
      <c r="BH36" s="53"/>
      <c r="BI36" s="53">
        <v>0</v>
      </c>
      <c r="BJ36" s="53"/>
      <c r="BK36" s="53">
        <v>0</v>
      </c>
      <c r="BL36" s="53"/>
      <c r="BM36" s="53">
        <f t="shared" si="14"/>
        <v>0</v>
      </c>
      <c r="BN36" s="54" t="s">
        <v>347</v>
      </c>
      <c r="BO36" s="55" t="s">
        <v>404</v>
      </c>
      <c r="BR36" s="65"/>
      <c r="BS36" s="53"/>
      <c r="BT36" s="53"/>
      <c r="BU36" s="53"/>
      <c r="BV36" s="53"/>
      <c r="BW36" s="53"/>
      <c r="BX36" s="45"/>
      <c r="BY36" s="45"/>
      <c r="BZ36" s="53"/>
      <c r="CA36" s="53"/>
      <c r="CB36" s="53"/>
      <c r="CC36" s="53"/>
      <c r="CD36" s="53"/>
      <c r="CE36" s="53"/>
      <c r="CF36" s="35"/>
      <c r="CH36" s="35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4"/>
    </row>
    <row r="37" spans="1:97" s="55" customFormat="1" ht="12.75" customHeight="1">
      <c r="A37" s="35" t="s">
        <v>462</v>
      </c>
      <c r="B37" s="65"/>
      <c r="C37" s="35" t="s">
        <v>66</v>
      </c>
      <c r="D37" s="44"/>
      <c r="E37" s="53">
        <f t="shared" si="7"/>
        <v>291945</v>
      </c>
      <c r="F37" s="53"/>
      <c r="G37" s="53">
        <v>2812175</v>
      </c>
      <c r="H37" s="53"/>
      <c r="I37" s="53">
        <v>3104120</v>
      </c>
      <c r="J37" s="53"/>
      <c r="K37" s="53">
        <f t="shared" si="8"/>
        <v>79407</v>
      </c>
      <c r="L37" s="53"/>
      <c r="M37" s="53">
        <v>308571</v>
      </c>
      <c r="N37" s="53"/>
      <c r="O37" s="53">
        <v>387978</v>
      </c>
      <c r="P37" s="53"/>
      <c r="Q37" s="53">
        <v>2484473</v>
      </c>
      <c r="R37" s="53"/>
      <c r="S37" s="53">
        <v>0</v>
      </c>
      <c r="T37" s="53"/>
      <c r="U37" s="53">
        <v>231669</v>
      </c>
      <c r="V37" s="53"/>
      <c r="W37" s="53">
        <f t="shared" si="11"/>
        <v>2716142</v>
      </c>
      <c r="X37" s="53"/>
      <c r="Y37" s="35" t="s">
        <v>462</v>
      </c>
      <c r="AA37" s="35" t="s">
        <v>66</v>
      </c>
      <c r="AB37" s="35"/>
      <c r="AC37" s="53">
        <v>462225</v>
      </c>
      <c r="AD37" s="53"/>
      <c r="AE37" s="53">
        <f>768319-347393</f>
        <v>420926</v>
      </c>
      <c r="AF37" s="53"/>
      <c r="AG37" s="53">
        <v>347393</v>
      </c>
      <c r="AH37" s="53"/>
      <c r="AI37" s="45">
        <f t="shared" si="9"/>
        <v>-306094</v>
      </c>
      <c r="AJ37" s="45"/>
      <c r="AK37" s="53">
        <v>-1100</v>
      </c>
      <c r="AL37" s="45"/>
      <c r="AM37" s="53">
        <v>0</v>
      </c>
      <c r="AN37" s="53"/>
      <c r="AO37" s="53">
        <v>0</v>
      </c>
      <c r="AP37" s="53"/>
      <c r="AQ37" s="53">
        <v>0</v>
      </c>
      <c r="AR37" s="53"/>
      <c r="AS37" s="45">
        <f t="shared" si="12"/>
        <v>-307194</v>
      </c>
      <c r="AT37" s="45"/>
      <c r="AU37" s="53">
        <v>0</v>
      </c>
      <c r="AV37" s="53"/>
      <c r="AW37" s="53">
        <v>0</v>
      </c>
      <c r="AX37" s="53"/>
      <c r="AY37" s="53">
        <f t="shared" si="13"/>
        <v>212538</v>
      </c>
      <c r="AZ37" s="53"/>
      <c r="BA37" s="35" t="s">
        <v>462</v>
      </c>
      <c r="BC37" s="35" t="s">
        <v>66</v>
      </c>
      <c r="BD37" s="53"/>
      <c r="BE37" s="53">
        <v>0</v>
      </c>
      <c r="BF37" s="53"/>
      <c r="BG37" s="53">
        <v>0</v>
      </c>
      <c r="BH37" s="53"/>
      <c r="BI37" s="53">
        <f>303855+23847</f>
        <v>327702</v>
      </c>
      <c r="BJ37" s="53"/>
      <c r="BK37" s="53">
        <f>4716+6344</f>
        <v>11060</v>
      </c>
      <c r="BL37" s="53"/>
      <c r="BM37" s="53">
        <f t="shared" si="14"/>
        <v>338762</v>
      </c>
      <c r="BN37" s="53">
        <f>SUM(BF37:BL37)</f>
        <v>338762</v>
      </c>
      <c r="BR37" s="65"/>
      <c r="BS37" s="53"/>
      <c r="BT37" s="53"/>
      <c r="BU37" s="53"/>
      <c r="BV37" s="53"/>
      <c r="BW37" s="53"/>
      <c r="BX37" s="45"/>
      <c r="BY37" s="45"/>
      <c r="BZ37" s="53"/>
      <c r="CA37" s="53"/>
      <c r="CB37" s="53"/>
      <c r="CC37" s="53"/>
      <c r="CD37" s="53"/>
      <c r="CE37" s="53"/>
      <c r="CF37" s="35"/>
      <c r="CH37" s="35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4"/>
    </row>
    <row r="38" spans="1:97" s="55" customFormat="1" ht="12.75" hidden="1" customHeight="1">
      <c r="A38" s="35" t="s">
        <v>52</v>
      </c>
      <c r="B38" s="65"/>
      <c r="C38" s="35" t="s">
        <v>53</v>
      </c>
      <c r="D38" s="44"/>
      <c r="E38" s="53">
        <f t="shared" si="7"/>
        <v>0</v>
      </c>
      <c r="F38" s="53"/>
      <c r="G38" s="53">
        <v>0</v>
      </c>
      <c r="H38" s="53"/>
      <c r="I38" s="53">
        <v>0</v>
      </c>
      <c r="J38" s="53"/>
      <c r="K38" s="53">
        <f t="shared" si="8"/>
        <v>0</v>
      </c>
      <c r="L38" s="53"/>
      <c r="M38" s="53">
        <v>0</v>
      </c>
      <c r="N38" s="53"/>
      <c r="O38" s="53">
        <v>0</v>
      </c>
      <c r="P38" s="53"/>
      <c r="Q38" s="53">
        <v>0</v>
      </c>
      <c r="R38" s="53"/>
      <c r="S38" s="53">
        <v>0</v>
      </c>
      <c r="T38" s="53"/>
      <c r="U38" s="53">
        <v>0</v>
      </c>
      <c r="V38" s="53"/>
      <c r="W38" s="53">
        <f t="shared" si="11"/>
        <v>0</v>
      </c>
      <c r="X38" s="53"/>
      <c r="Y38" s="35" t="s">
        <v>52</v>
      </c>
      <c r="AA38" s="35" t="s">
        <v>53</v>
      </c>
      <c r="AB38" s="35"/>
      <c r="AC38" s="53">
        <v>0</v>
      </c>
      <c r="AD38" s="53"/>
      <c r="AE38" s="53">
        <v>0</v>
      </c>
      <c r="AF38" s="53"/>
      <c r="AG38" s="53">
        <v>0</v>
      </c>
      <c r="AH38" s="53"/>
      <c r="AI38" s="45">
        <f t="shared" si="9"/>
        <v>0</v>
      </c>
      <c r="AJ38" s="45"/>
      <c r="AK38" s="53">
        <v>0</v>
      </c>
      <c r="AL38" s="45"/>
      <c r="AM38" s="53">
        <v>0</v>
      </c>
      <c r="AN38" s="53"/>
      <c r="AO38" s="53">
        <v>0</v>
      </c>
      <c r="AP38" s="53"/>
      <c r="AQ38" s="53">
        <v>0</v>
      </c>
      <c r="AR38" s="53"/>
      <c r="AS38" s="45">
        <f t="shared" si="12"/>
        <v>0</v>
      </c>
      <c r="AT38" s="45"/>
      <c r="AU38" s="53">
        <v>0</v>
      </c>
      <c r="AV38" s="53"/>
      <c r="AW38" s="53">
        <v>0</v>
      </c>
      <c r="AX38" s="53"/>
      <c r="AY38" s="53">
        <f t="shared" si="13"/>
        <v>0</v>
      </c>
      <c r="AZ38" s="53"/>
      <c r="BA38" s="35" t="s">
        <v>52</v>
      </c>
      <c r="BC38" s="35" t="s">
        <v>53</v>
      </c>
      <c r="BD38" s="53"/>
      <c r="BE38" s="53">
        <v>0</v>
      </c>
      <c r="BF38" s="53"/>
      <c r="BG38" s="53">
        <v>0</v>
      </c>
      <c r="BH38" s="53"/>
      <c r="BI38" s="53">
        <v>0</v>
      </c>
      <c r="BJ38" s="53"/>
      <c r="BK38" s="53">
        <v>0</v>
      </c>
      <c r="BL38" s="53"/>
      <c r="BM38" s="53">
        <f t="shared" si="14"/>
        <v>0</v>
      </c>
      <c r="BN38" s="54" t="s">
        <v>347</v>
      </c>
      <c r="BR38" s="65"/>
      <c r="BS38" s="53"/>
      <c r="BT38" s="53"/>
      <c r="BU38" s="53"/>
      <c r="BV38" s="53"/>
      <c r="BW38" s="53"/>
      <c r="BX38" s="45"/>
      <c r="BY38" s="45"/>
      <c r="BZ38" s="53"/>
      <c r="CA38" s="53"/>
      <c r="CB38" s="53"/>
      <c r="CC38" s="53"/>
      <c r="CD38" s="53"/>
      <c r="CE38" s="53"/>
      <c r="CF38" s="35"/>
      <c r="CH38" s="35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4"/>
    </row>
    <row r="39" spans="1:97" s="55" customFormat="1" ht="12.75" customHeight="1">
      <c r="A39" s="35" t="s">
        <v>54</v>
      </c>
      <c r="B39" s="65"/>
      <c r="C39" s="35" t="s">
        <v>55</v>
      </c>
      <c r="D39" s="44"/>
      <c r="E39" s="53">
        <f t="shared" si="7"/>
        <v>962771</v>
      </c>
      <c r="F39" s="53"/>
      <c r="G39" s="53">
        <v>12632082</v>
      </c>
      <c r="H39" s="53"/>
      <c r="I39" s="53">
        <v>13594853</v>
      </c>
      <c r="J39" s="53"/>
      <c r="K39" s="53">
        <f t="shared" si="8"/>
        <v>200042</v>
      </c>
      <c r="L39" s="53"/>
      <c r="M39" s="53">
        <v>439779</v>
      </c>
      <c r="N39" s="53"/>
      <c r="O39" s="53">
        <v>639821</v>
      </c>
      <c r="P39" s="53"/>
      <c r="Q39" s="53">
        <v>12140505</v>
      </c>
      <c r="R39" s="53"/>
      <c r="S39" s="53">
        <v>0</v>
      </c>
      <c r="T39" s="53"/>
      <c r="U39" s="53">
        <v>814527</v>
      </c>
      <c r="V39" s="53"/>
      <c r="W39" s="53">
        <f t="shared" si="11"/>
        <v>12955032</v>
      </c>
      <c r="X39" s="53"/>
      <c r="Y39" s="35" t="s">
        <v>54</v>
      </c>
      <c r="AA39" s="35" t="s">
        <v>55</v>
      </c>
      <c r="AB39" s="35"/>
      <c r="AC39" s="53">
        <v>794373</v>
      </c>
      <c r="AD39" s="53"/>
      <c r="AE39" s="53">
        <f>1311203-512355</f>
        <v>798848</v>
      </c>
      <c r="AF39" s="53"/>
      <c r="AG39" s="53">
        <v>512355</v>
      </c>
      <c r="AH39" s="53"/>
      <c r="AI39" s="45">
        <f t="shared" si="9"/>
        <v>-516830</v>
      </c>
      <c r="AJ39" s="45"/>
      <c r="AK39" s="53">
        <v>-2694</v>
      </c>
      <c r="AL39" s="45"/>
      <c r="AM39" s="53">
        <v>275117</v>
      </c>
      <c r="AN39" s="53"/>
      <c r="AO39" s="53">
        <v>0</v>
      </c>
      <c r="AP39" s="53"/>
      <c r="AQ39" s="53">
        <v>273025</v>
      </c>
      <c r="AR39" s="53"/>
      <c r="AS39" s="45">
        <f t="shared" si="12"/>
        <v>28618</v>
      </c>
      <c r="AT39" s="45"/>
      <c r="AU39" s="53">
        <v>0</v>
      </c>
      <c r="AV39" s="53"/>
      <c r="AW39" s="53">
        <v>0</v>
      </c>
      <c r="AX39" s="53"/>
      <c r="AY39" s="53">
        <f t="shared" si="13"/>
        <v>762729</v>
      </c>
      <c r="AZ39" s="53"/>
      <c r="BA39" s="35" t="s">
        <v>54</v>
      </c>
      <c r="BC39" s="35" t="s">
        <v>55</v>
      </c>
      <c r="BD39" s="53"/>
      <c r="BE39" s="53">
        <v>0</v>
      </c>
      <c r="BF39" s="53"/>
      <c r="BG39" s="53">
        <v>0</v>
      </c>
      <c r="BH39" s="53"/>
      <c r="BI39" s="53">
        <f>370151+121426</f>
        <v>491577</v>
      </c>
      <c r="BJ39" s="53"/>
      <c r="BK39" s="53">
        <f>69628+35416</f>
        <v>105044</v>
      </c>
      <c r="BL39" s="53"/>
      <c r="BM39" s="53">
        <f t="shared" si="14"/>
        <v>596621</v>
      </c>
      <c r="BN39" s="54" t="s">
        <v>347</v>
      </c>
      <c r="BR39" s="65"/>
      <c r="BS39" s="53"/>
      <c r="BT39" s="53"/>
      <c r="BU39" s="53"/>
      <c r="BV39" s="53"/>
      <c r="BW39" s="53"/>
      <c r="BX39" s="45"/>
      <c r="BY39" s="45"/>
      <c r="BZ39" s="53"/>
      <c r="CA39" s="53"/>
      <c r="CB39" s="53"/>
      <c r="CC39" s="53"/>
      <c r="CD39" s="53"/>
      <c r="CE39" s="53"/>
      <c r="CF39" s="35"/>
      <c r="CH39" s="35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4"/>
    </row>
    <row r="40" spans="1:97" s="55" customFormat="1" ht="12.75" customHeight="1">
      <c r="A40" s="35" t="s">
        <v>56</v>
      </c>
      <c r="B40" s="65"/>
      <c r="C40" s="35" t="s">
        <v>57</v>
      </c>
      <c r="D40" s="44"/>
      <c r="E40" s="53">
        <f t="shared" si="7"/>
        <v>585213</v>
      </c>
      <c r="F40" s="53"/>
      <c r="G40" s="53">
        <v>5337071</v>
      </c>
      <c r="H40" s="53"/>
      <c r="I40" s="53">
        <v>5922284</v>
      </c>
      <c r="J40" s="53"/>
      <c r="K40" s="53">
        <f t="shared" si="8"/>
        <v>784304</v>
      </c>
      <c r="L40" s="53"/>
      <c r="M40" s="53">
        <v>3351016</v>
      </c>
      <c r="N40" s="53"/>
      <c r="O40" s="53">
        <v>4135320</v>
      </c>
      <c r="P40" s="53"/>
      <c r="Q40" s="53">
        <v>1395119</v>
      </c>
      <c r="R40" s="53"/>
      <c r="S40" s="53">
        <v>0</v>
      </c>
      <c r="T40" s="53"/>
      <c r="U40" s="53">
        <v>391845</v>
      </c>
      <c r="V40" s="53"/>
      <c r="W40" s="53">
        <f t="shared" si="11"/>
        <v>1786964</v>
      </c>
      <c r="X40" s="53"/>
      <c r="Y40" s="35" t="s">
        <v>56</v>
      </c>
      <c r="AA40" s="35" t="s">
        <v>57</v>
      </c>
      <c r="AB40" s="35"/>
      <c r="AC40" s="53">
        <v>1949711</v>
      </c>
      <c r="AD40" s="53"/>
      <c r="AE40" s="53">
        <f>1421323-415117</f>
        <v>1006206</v>
      </c>
      <c r="AF40" s="53"/>
      <c r="AG40" s="53">
        <v>415117</v>
      </c>
      <c r="AH40" s="53"/>
      <c r="AI40" s="45">
        <f t="shared" si="9"/>
        <v>528388</v>
      </c>
      <c r="AJ40" s="45"/>
      <c r="AK40" s="53">
        <v>-270195</v>
      </c>
      <c r="AL40" s="45"/>
      <c r="AM40" s="53">
        <v>0</v>
      </c>
      <c r="AN40" s="53"/>
      <c r="AO40" s="53">
        <v>3000</v>
      </c>
      <c r="AP40" s="53"/>
      <c r="AQ40" s="53">
        <v>0</v>
      </c>
      <c r="AR40" s="53"/>
      <c r="AS40" s="45">
        <f t="shared" si="12"/>
        <v>255193</v>
      </c>
      <c r="AT40" s="45"/>
      <c r="AU40" s="53">
        <v>0</v>
      </c>
      <c r="AV40" s="53"/>
      <c r="AW40" s="53">
        <v>0</v>
      </c>
      <c r="AX40" s="53"/>
      <c r="AY40" s="53">
        <f t="shared" si="13"/>
        <v>-199091</v>
      </c>
      <c r="AZ40" s="53"/>
      <c r="BA40" s="35" t="s">
        <v>56</v>
      </c>
      <c r="BC40" s="35" t="s">
        <v>57</v>
      </c>
      <c r="BD40" s="53"/>
      <c r="BE40" s="53">
        <f>148370+305000</f>
        <v>453370</v>
      </c>
      <c r="BF40" s="53"/>
      <c r="BG40" s="53">
        <v>0</v>
      </c>
      <c r="BH40" s="53"/>
      <c r="BI40" s="53">
        <f>3171320+287262</f>
        <v>3458582</v>
      </c>
      <c r="BJ40" s="53"/>
      <c r="BK40" s="53">
        <f>31326+12865</f>
        <v>44191</v>
      </c>
      <c r="BL40" s="53"/>
      <c r="BM40" s="53">
        <f t="shared" si="14"/>
        <v>3956143</v>
      </c>
      <c r="BN40" s="54" t="s">
        <v>347</v>
      </c>
      <c r="BO40" s="55" t="s">
        <v>404</v>
      </c>
      <c r="BR40" s="65"/>
      <c r="BS40" s="53"/>
      <c r="BT40" s="53"/>
      <c r="BU40" s="53"/>
      <c r="BV40" s="53"/>
      <c r="BW40" s="53"/>
      <c r="BX40" s="45"/>
      <c r="BY40" s="45"/>
      <c r="BZ40" s="53"/>
      <c r="CA40" s="53"/>
      <c r="CB40" s="53"/>
      <c r="CC40" s="53"/>
      <c r="CD40" s="53"/>
      <c r="CE40" s="53"/>
      <c r="CF40" s="35"/>
      <c r="CH40" s="35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4"/>
    </row>
    <row r="41" spans="1:97" s="55" customFormat="1" ht="12.75" hidden="1" customHeight="1">
      <c r="A41" s="35" t="s">
        <v>58</v>
      </c>
      <c r="B41" s="65"/>
      <c r="C41" s="35" t="s">
        <v>59</v>
      </c>
      <c r="D41" s="44"/>
      <c r="E41" s="53">
        <f t="shared" si="7"/>
        <v>0</v>
      </c>
      <c r="F41" s="53"/>
      <c r="G41" s="53">
        <v>0</v>
      </c>
      <c r="H41" s="53"/>
      <c r="I41" s="53">
        <v>0</v>
      </c>
      <c r="J41" s="53"/>
      <c r="K41" s="53">
        <f t="shared" si="8"/>
        <v>0</v>
      </c>
      <c r="L41" s="53"/>
      <c r="M41" s="53">
        <v>0</v>
      </c>
      <c r="N41" s="53"/>
      <c r="O41" s="53">
        <v>0</v>
      </c>
      <c r="P41" s="53"/>
      <c r="Q41" s="53">
        <v>0</v>
      </c>
      <c r="R41" s="53"/>
      <c r="S41" s="53">
        <v>0</v>
      </c>
      <c r="T41" s="53"/>
      <c r="U41" s="53">
        <v>0</v>
      </c>
      <c r="V41" s="53"/>
      <c r="W41" s="53">
        <f t="shared" si="11"/>
        <v>0</v>
      </c>
      <c r="X41" s="53"/>
      <c r="Y41" s="35" t="s">
        <v>58</v>
      </c>
      <c r="AA41" s="35" t="s">
        <v>59</v>
      </c>
      <c r="AB41" s="35"/>
      <c r="AC41" s="53">
        <v>0</v>
      </c>
      <c r="AD41" s="53"/>
      <c r="AE41" s="53">
        <v>0</v>
      </c>
      <c r="AF41" s="53"/>
      <c r="AG41" s="53">
        <v>0</v>
      </c>
      <c r="AH41" s="53"/>
      <c r="AI41" s="45">
        <f t="shared" si="9"/>
        <v>0</v>
      </c>
      <c r="AJ41" s="45"/>
      <c r="AK41" s="53">
        <v>0</v>
      </c>
      <c r="AL41" s="45"/>
      <c r="AM41" s="53">
        <v>0</v>
      </c>
      <c r="AN41" s="53"/>
      <c r="AO41" s="53">
        <v>0</v>
      </c>
      <c r="AP41" s="53"/>
      <c r="AQ41" s="53">
        <v>0</v>
      </c>
      <c r="AR41" s="53"/>
      <c r="AS41" s="45">
        <f t="shared" si="12"/>
        <v>0</v>
      </c>
      <c r="AT41" s="45"/>
      <c r="AU41" s="53">
        <v>0</v>
      </c>
      <c r="AV41" s="53"/>
      <c r="AW41" s="53">
        <v>0</v>
      </c>
      <c r="AX41" s="53"/>
      <c r="AY41" s="53">
        <f>+E41-K41</f>
        <v>0</v>
      </c>
      <c r="AZ41" s="53"/>
      <c r="BA41" s="35" t="s">
        <v>58</v>
      </c>
      <c r="BC41" s="35" t="s">
        <v>59</v>
      </c>
      <c r="BD41" s="53"/>
      <c r="BE41" s="53">
        <v>0</v>
      </c>
      <c r="BF41" s="53"/>
      <c r="BG41" s="53">
        <v>0</v>
      </c>
      <c r="BH41" s="53"/>
      <c r="BI41" s="53">
        <v>0</v>
      </c>
      <c r="BJ41" s="53"/>
      <c r="BK41" s="53">
        <v>0</v>
      </c>
      <c r="BL41" s="53"/>
      <c r="BM41" s="53">
        <f t="shared" si="14"/>
        <v>0</v>
      </c>
      <c r="BN41" s="54" t="s">
        <v>347</v>
      </c>
      <c r="BR41" s="65"/>
      <c r="BS41" s="53"/>
      <c r="BT41" s="53"/>
      <c r="BU41" s="53"/>
      <c r="BV41" s="53"/>
      <c r="BW41" s="53"/>
      <c r="BX41" s="45"/>
      <c r="BY41" s="45"/>
      <c r="BZ41" s="53"/>
      <c r="CA41" s="53"/>
      <c r="CB41" s="53"/>
      <c r="CC41" s="53"/>
      <c r="CD41" s="53"/>
      <c r="CE41" s="53"/>
      <c r="CF41" s="35"/>
      <c r="CH41" s="35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4"/>
    </row>
    <row r="42" spans="1:97" s="55" customFormat="1" ht="12.75" customHeight="1">
      <c r="A42" s="44" t="s">
        <v>476</v>
      </c>
      <c r="B42" s="65"/>
      <c r="C42" s="35" t="s">
        <v>15</v>
      </c>
      <c r="D42" s="44"/>
      <c r="E42" s="53">
        <f t="shared" si="7"/>
        <v>-39273310</v>
      </c>
      <c r="F42" s="53"/>
      <c r="G42" s="53">
        <v>44408872</v>
      </c>
      <c r="H42" s="53"/>
      <c r="I42" s="53">
        <v>5135562</v>
      </c>
      <c r="J42" s="53"/>
      <c r="K42" s="53">
        <f t="shared" si="8"/>
        <v>78428</v>
      </c>
      <c r="L42" s="53"/>
      <c r="M42" s="53">
        <v>569321</v>
      </c>
      <c r="N42" s="53"/>
      <c r="O42" s="53">
        <v>647749</v>
      </c>
      <c r="P42" s="53"/>
      <c r="Q42" s="53">
        <v>3829842</v>
      </c>
      <c r="R42" s="53"/>
      <c r="S42" s="53">
        <v>0</v>
      </c>
      <c r="T42" s="53"/>
      <c r="U42" s="53">
        <v>657971</v>
      </c>
      <c r="V42" s="53"/>
      <c r="W42" s="53">
        <f t="shared" ref="W42:W50" si="15">SUM(Q42:U42)</f>
        <v>4487813</v>
      </c>
      <c r="X42" s="53"/>
      <c r="Y42" s="44" t="s">
        <v>476</v>
      </c>
      <c r="AA42" s="35" t="s">
        <v>15</v>
      </c>
      <c r="AB42" s="35"/>
      <c r="AC42" s="53">
        <v>730982</v>
      </c>
      <c r="AD42" s="53"/>
      <c r="AE42" s="53">
        <f>777400-150621</f>
        <v>626779</v>
      </c>
      <c r="AF42" s="53"/>
      <c r="AG42" s="53">
        <v>150621</v>
      </c>
      <c r="AH42" s="53"/>
      <c r="AI42" s="45">
        <f t="shared" si="9"/>
        <v>-46418</v>
      </c>
      <c r="AJ42" s="45"/>
      <c r="AK42" s="53">
        <v>188705</v>
      </c>
      <c r="AL42" s="45"/>
      <c r="AM42" s="53">
        <v>0</v>
      </c>
      <c r="AN42" s="53"/>
      <c r="AO42" s="53">
        <v>0</v>
      </c>
      <c r="AP42" s="53"/>
      <c r="AQ42" s="53">
        <v>0</v>
      </c>
      <c r="AR42" s="53"/>
      <c r="AS42" s="45">
        <f t="shared" si="12"/>
        <v>142287</v>
      </c>
      <c r="AT42" s="45"/>
      <c r="AU42" s="53">
        <v>0</v>
      </c>
      <c r="AV42" s="53"/>
      <c r="AW42" s="53">
        <v>0</v>
      </c>
      <c r="AX42" s="53"/>
      <c r="AY42" s="53">
        <f t="shared" si="13"/>
        <v>-39351738</v>
      </c>
      <c r="AZ42" s="53"/>
      <c r="BA42" s="44" t="s">
        <v>476</v>
      </c>
      <c r="BC42" s="35" t="s">
        <v>15</v>
      </c>
      <c r="BD42" s="53"/>
      <c r="BE42" s="53">
        <v>0</v>
      </c>
      <c r="BF42" s="53"/>
      <c r="BG42" s="53">
        <v>0</v>
      </c>
      <c r="BH42" s="53"/>
      <c r="BI42" s="53">
        <f>539365+39665</f>
        <v>579030</v>
      </c>
      <c r="BJ42" s="53"/>
      <c r="BK42" s="53">
        <v>29956</v>
      </c>
      <c r="BL42" s="53"/>
      <c r="BM42" s="53">
        <f t="shared" si="14"/>
        <v>608986</v>
      </c>
      <c r="BN42" s="54" t="s">
        <v>347</v>
      </c>
      <c r="BR42" s="65"/>
      <c r="BS42" s="53"/>
      <c r="BT42" s="53"/>
      <c r="BU42" s="53"/>
      <c r="BV42" s="53"/>
      <c r="BW42" s="45"/>
      <c r="BX42" s="45"/>
      <c r="BY42" s="53"/>
      <c r="BZ42" s="53"/>
      <c r="CA42" s="53"/>
      <c r="CB42" s="53"/>
      <c r="CC42" s="53"/>
      <c r="CD42" s="53"/>
      <c r="CE42" s="53"/>
      <c r="CF42" s="35"/>
      <c r="CH42" s="35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4"/>
    </row>
    <row r="43" spans="1:97" s="55" customFormat="1" ht="12.75" customHeight="1">
      <c r="A43" s="35" t="s">
        <v>60</v>
      </c>
      <c r="C43" s="35" t="s">
        <v>61</v>
      </c>
      <c r="D43" s="44"/>
      <c r="E43" s="53">
        <f t="shared" si="7"/>
        <v>1711588</v>
      </c>
      <c r="F43" s="53"/>
      <c r="G43" s="53">
        <v>3932681</v>
      </c>
      <c r="H43" s="53"/>
      <c r="I43" s="53">
        <v>5644269</v>
      </c>
      <c r="J43" s="53"/>
      <c r="K43" s="53">
        <f t="shared" si="8"/>
        <v>95543</v>
      </c>
      <c r="L43" s="53"/>
      <c r="M43" s="53">
        <v>448963</v>
      </c>
      <c r="N43" s="53"/>
      <c r="O43" s="53">
        <v>544506</v>
      </c>
      <c r="P43" s="53"/>
      <c r="Q43" s="53">
        <v>3442552</v>
      </c>
      <c r="R43" s="53"/>
      <c r="S43" s="53">
        <v>0</v>
      </c>
      <c r="T43" s="53"/>
      <c r="U43" s="53">
        <v>1657211</v>
      </c>
      <c r="V43" s="53"/>
      <c r="W43" s="53">
        <f>SUM(Q43:U43)</f>
        <v>5099763</v>
      </c>
      <c r="X43" s="53"/>
      <c r="Y43" s="35" t="s">
        <v>60</v>
      </c>
      <c r="AA43" s="35" t="s">
        <v>61</v>
      </c>
      <c r="AB43" s="35"/>
      <c r="AC43" s="53">
        <v>1460239</v>
      </c>
      <c r="AD43" s="53"/>
      <c r="AE43" s="53">
        <f>1181846-135028</f>
        <v>1046818</v>
      </c>
      <c r="AF43" s="53"/>
      <c r="AG43" s="53">
        <v>135028</v>
      </c>
      <c r="AH43" s="53"/>
      <c r="AI43" s="45">
        <f t="shared" si="9"/>
        <v>278393</v>
      </c>
      <c r="AJ43" s="45"/>
      <c r="AK43" s="53">
        <v>0</v>
      </c>
      <c r="AL43" s="45"/>
      <c r="AM43" s="53">
        <v>0</v>
      </c>
      <c r="AN43" s="53"/>
      <c r="AO43" s="53">
        <v>163000</v>
      </c>
      <c r="AP43" s="53"/>
      <c r="AQ43" s="53">
        <v>196628</v>
      </c>
      <c r="AR43" s="53"/>
      <c r="AS43" s="45">
        <f t="shared" si="12"/>
        <v>312021</v>
      </c>
      <c r="AT43" s="45"/>
      <c r="AU43" s="53">
        <v>0</v>
      </c>
      <c r="AV43" s="53"/>
      <c r="AW43" s="53">
        <v>0</v>
      </c>
      <c r="AX43" s="53"/>
      <c r="AY43" s="53">
        <f>+E43-K43</f>
        <v>1616045</v>
      </c>
      <c r="AZ43" s="53"/>
      <c r="BA43" s="35" t="s">
        <v>60</v>
      </c>
      <c r="BC43" s="35" t="s">
        <v>61</v>
      </c>
      <c r="BD43" s="53"/>
      <c r="BE43" s="53">
        <v>0</v>
      </c>
      <c r="BF43" s="53"/>
      <c r="BG43" s="53">
        <v>0</v>
      </c>
      <c r="BH43" s="53"/>
      <c r="BI43" s="53">
        <f>448963+41166</f>
        <v>490129</v>
      </c>
      <c r="BJ43" s="53"/>
      <c r="BK43" s="53">
        <v>0</v>
      </c>
      <c r="BL43" s="53"/>
      <c r="BM43" s="53">
        <f t="shared" ref="BM43" si="16">SUM(BE43:BK43)</f>
        <v>490129</v>
      </c>
      <c r="BN43" s="54" t="s">
        <v>347</v>
      </c>
      <c r="BR43" s="65"/>
      <c r="BS43" s="53"/>
      <c r="BT43" s="53"/>
      <c r="BU43" s="53"/>
      <c r="BV43" s="53"/>
      <c r="BW43" s="53"/>
      <c r="BX43" s="45"/>
      <c r="BY43" s="45"/>
      <c r="BZ43" s="53"/>
      <c r="CA43" s="53"/>
      <c r="CB43" s="53"/>
      <c r="CC43" s="53"/>
      <c r="CD43" s="53"/>
      <c r="CE43" s="53"/>
      <c r="CF43" s="35"/>
      <c r="CH43" s="35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4"/>
    </row>
    <row r="44" spans="1:97" s="55" customFormat="1" ht="12.75" customHeight="1">
      <c r="A44" s="44" t="s">
        <v>62</v>
      </c>
      <c r="B44" s="65"/>
      <c r="C44" s="35" t="s">
        <v>15</v>
      </c>
      <c r="D44" s="44"/>
      <c r="E44" s="53">
        <f t="shared" si="7"/>
        <v>14365368</v>
      </c>
      <c r="F44" s="53"/>
      <c r="G44" s="53">
        <v>44169506</v>
      </c>
      <c r="H44" s="53"/>
      <c r="I44" s="53">
        <v>58534874</v>
      </c>
      <c r="J44" s="53"/>
      <c r="K44" s="53">
        <f t="shared" si="8"/>
        <v>4682960</v>
      </c>
      <c r="L44" s="53"/>
      <c r="M44" s="53">
        <v>5403436</v>
      </c>
      <c r="N44" s="53"/>
      <c r="O44" s="53">
        <v>10086396</v>
      </c>
      <c r="P44" s="53"/>
      <c r="Q44" s="53">
        <v>34754774</v>
      </c>
      <c r="R44" s="53"/>
      <c r="S44" s="53">
        <v>0</v>
      </c>
      <c r="T44" s="53"/>
      <c r="U44" s="53">
        <v>13693704</v>
      </c>
      <c r="V44" s="53"/>
      <c r="W44" s="53">
        <f t="shared" si="15"/>
        <v>48448478</v>
      </c>
      <c r="X44" s="53"/>
      <c r="Y44" s="44" t="s">
        <v>62</v>
      </c>
      <c r="AA44" s="35" t="s">
        <v>15</v>
      </c>
      <c r="AB44" s="35"/>
      <c r="AC44" s="53">
        <v>13314535</v>
      </c>
      <c r="AD44" s="53"/>
      <c r="AE44" s="53">
        <f>10841280-2606723</f>
        <v>8234557</v>
      </c>
      <c r="AF44" s="53"/>
      <c r="AG44" s="53">
        <v>2606723</v>
      </c>
      <c r="AH44" s="53"/>
      <c r="AI44" s="45">
        <f t="shared" si="9"/>
        <v>2473255</v>
      </c>
      <c r="AJ44" s="45"/>
      <c r="AK44" s="53">
        <v>-294796</v>
      </c>
      <c r="AL44" s="45"/>
      <c r="AM44" s="53">
        <v>0</v>
      </c>
      <c r="AN44" s="53"/>
      <c r="AO44" s="53">
        <v>0</v>
      </c>
      <c r="AP44" s="53"/>
      <c r="AQ44" s="53">
        <v>1511</v>
      </c>
      <c r="AR44" s="53"/>
      <c r="AS44" s="45">
        <f t="shared" si="12"/>
        <v>2179970</v>
      </c>
      <c r="AT44" s="45"/>
      <c r="AU44" s="53">
        <v>0</v>
      </c>
      <c r="AV44" s="53"/>
      <c r="AW44" s="53">
        <v>0</v>
      </c>
      <c r="AX44" s="53"/>
      <c r="AY44" s="53">
        <f t="shared" si="13"/>
        <v>9682408</v>
      </c>
      <c r="AZ44" s="53"/>
      <c r="BA44" s="44" t="s">
        <v>62</v>
      </c>
      <c r="BC44" s="35" t="s">
        <v>15</v>
      </c>
      <c r="BD44" s="53"/>
      <c r="BE44" s="53">
        <f>8403436+1003514</f>
        <v>9406950</v>
      </c>
      <c r="BF44" s="53"/>
      <c r="BG44" s="53">
        <v>0</v>
      </c>
      <c r="BH44" s="53"/>
      <c r="BI44" s="53">
        <v>0</v>
      </c>
      <c r="BJ44" s="53"/>
      <c r="BK44" s="53">
        <v>7782</v>
      </c>
      <c r="BL44" s="53"/>
      <c r="BM44" s="53">
        <f t="shared" si="14"/>
        <v>9414732</v>
      </c>
      <c r="BN44" s="54" t="s">
        <v>347</v>
      </c>
      <c r="BR44" s="65"/>
      <c r="BS44" s="53"/>
      <c r="BT44" s="53"/>
      <c r="BU44" s="53"/>
      <c r="BV44" s="53"/>
      <c r="BW44" s="45"/>
      <c r="BX44" s="45"/>
      <c r="BY44" s="53"/>
      <c r="BZ44" s="53"/>
      <c r="CA44" s="53"/>
      <c r="CB44" s="53"/>
      <c r="CC44" s="53"/>
      <c r="CD44" s="53"/>
      <c r="CE44" s="53"/>
      <c r="CF44" s="35"/>
      <c r="CH44" s="35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4"/>
    </row>
    <row r="45" spans="1:97" s="55" customFormat="1" ht="12.75" customHeight="1">
      <c r="A45" s="35" t="s">
        <v>485</v>
      </c>
      <c r="B45" s="65"/>
      <c r="C45" s="35" t="s">
        <v>111</v>
      </c>
      <c r="D45" s="44"/>
      <c r="E45" s="53">
        <f t="shared" si="7"/>
        <v>1414485</v>
      </c>
      <c r="F45" s="53"/>
      <c r="G45" s="53">
        <v>3756282</v>
      </c>
      <c r="H45" s="53"/>
      <c r="I45" s="53">
        <v>5170767</v>
      </c>
      <c r="J45" s="53"/>
      <c r="K45" s="53">
        <f t="shared" si="8"/>
        <v>18069</v>
      </c>
      <c r="L45" s="53"/>
      <c r="M45" s="53">
        <v>1066</v>
      </c>
      <c r="N45" s="53"/>
      <c r="O45" s="53">
        <v>19135</v>
      </c>
      <c r="P45" s="53"/>
      <c r="Q45" s="53">
        <v>3756279</v>
      </c>
      <c r="R45" s="53"/>
      <c r="S45" s="53">
        <v>0</v>
      </c>
      <c r="T45" s="53"/>
      <c r="U45" s="53">
        <v>1395353</v>
      </c>
      <c r="V45" s="53"/>
      <c r="W45" s="53">
        <f>SUM(Q45:U45)</f>
        <v>5151632</v>
      </c>
      <c r="X45" s="53"/>
      <c r="Y45" s="35" t="s">
        <v>485</v>
      </c>
      <c r="AA45" s="35" t="s">
        <v>111</v>
      </c>
      <c r="AB45" s="35"/>
      <c r="AC45" s="53">
        <v>1226073</v>
      </c>
      <c r="AD45" s="53"/>
      <c r="AE45" s="53">
        <f>1482552-299331</f>
        <v>1183221</v>
      </c>
      <c r="AF45" s="53"/>
      <c r="AG45" s="53">
        <v>299331</v>
      </c>
      <c r="AH45" s="53"/>
      <c r="AI45" s="45">
        <f t="shared" si="9"/>
        <v>-256479</v>
      </c>
      <c r="AJ45" s="45"/>
      <c r="AK45" s="53">
        <v>0</v>
      </c>
      <c r="AL45" s="45"/>
      <c r="AM45" s="53">
        <v>0</v>
      </c>
      <c r="AN45" s="53"/>
      <c r="AO45" s="53">
        <v>0</v>
      </c>
      <c r="AP45" s="53"/>
      <c r="AQ45" s="53">
        <v>0</v>
      </c>
      <c r="AR45" s="53"/>
      <c r="AS45" s="45">
        <f t="shared" si="12"/>
        <v>-256479</v>
      </c>
      <c r="AT45" s="45"/>
      <c r="AU45" s="53">
        <v>0</v>
      </c>
      <c r="AV45" s="53"/>
      <c r="AW45" s="53">
        <v>0</v>
      </c>
      <c r="AX45" s="53"/>
      <c r="AY45" s="53">
        <f>+E45-K45</f>
        <v>1396416</v>
      </c>
      <c r="AZ45" s="53"/>
      <c r="BA45" s="35" t="s">
        <v>485</v>
      </c>
      <c r="BB45" s="65"/>
      <c r="BC45" s="35" t="s">
        <v>111</v>
      </c>
      <c r="BD45" s="53"/>
      <c r="BE45" s="53">
        <v>0</v>
      </c>
      <c r="BF45" s="53"/>
      <c r="BG45" s="53">
        <v>0</v>
      </c>
      <c r="BH45" s="53"/>
      <c r="BI45" s="53">
        <v>0</v>
      </c>
      <c r="BJ45" s="53"/>
      <c r="BK45" s="53">
        <f>1066+3014</f>
        <v>4080</v>
      </c>
      <c r="BL45" s="53"/>
      <c r="BM45" s="53">
        <f t="shared" si="14"/>
        <v>4080</v>
      </c>
      <c r="BN45" s="54" t="s">
        <v>347</v>
      </c>
      <c r="BO45" s="55" t="s">
        <v>405</v>
      </c>
      <c r="BR45" s="65"/>
      <c r="BS45" s="53"/>
      <c r="BT45" s="53"/>
      <c r="BU45" s="53"/>
      <c r="BV45" s="53"/>
      <c r="BW45" s="45"/>
      <c r="BX45" s="45"/>
      <c r="BY45" s="53"/>
      <c r="BZ45" s="53"/>
      <c r="CA45" s="53"/>
      <c r="CB45" s="53"/>
      <c r="CC45" s="53"/>
      <c r="CD45" s="53"/>
      <c r="CE45" s="53"/>
      <c r="CF45" s="35"/>
      <c r="CH45" s="35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4"/>
    </row>
    <row r="46" spans="1:97" s="55" customFormat="1" ht="12.75" customHeight="1">
      <c r="A46" s="35" t="s">
        <v>63</v>
      </c>
      <c r="B46" s="65"/>
      <c r="C46" s="35" t="s">
        <v>64</v>
      </c>
      <c r="D46" s="44"/>
      <c r="E46" s="53">
        <f t="shared" si="7"/>
        <v>1526611</v>
      </c>
      <c r="F46" s="53"/>
      <c r="G46" s="53">
        <v>4558543</v>
      </c>
      <c r="H46" s="53"/>
      <c r="I46" s="53">
        <v>6085154</v>
      </c>
      <c r="J46" s="53"/>
      <c r="K46" s="53">
        <f t="shared" si="8"/>
        <v>554951</v>
      </c>
      <c r="L46" s="53"/>
      <c r="M46" s="53">
        <v>2451299</v>
      </c>
      <c r="N46" s="53"/>
      <c r="O46" s="53">
        <v>3006250</v>
      </c>
      <c r="P46" s="53"/>
      <c r="Q46" s="53">
        <v>1709730</v>
      </c>
      <c r="R46" s="53"/>
      <c r="S46" s="53">
        <f>101567+227242+487785</f>
        <v>816594</v>
      </c>
      <c r="T46" s="53"/>
      <c r="U46" s="53">
        <v>552580</v>
      </c>
      <c r="V46" s="53"/>
      <c r="W46" s="53">
        <f t="shared" si="15"/>
        <v>3078904</v>
      </c>
      <c r="X46" s="53"/>
      <c r="Y46" s="35" t="s">
        <v>63</v>
      </c>
      <c r="AA46" s="35" t="s">
        <v>64</v>
      </c>
      <c r="AB46" s="35"/>
      <c r="AC46" s="53">
        <v>1908811</v>
      </c>
      <c r="AD46" s="53"/>
      <c r="AE46" s="53">
        <f>1520341-309332</f>
        <v>1211009</v>
      </c>
      <c r="AF46" s="53"/>
      <c r="AG46" s="53">
        <v>309332</v>
      </c>
      <c r="AH46" s="53"/>
      <c r="AI46" s="45">
        <f t="shared" si="9"/>
        <v>388470</v>
      </c>
      <c r="AJ46" s="45"/>
      <c r="AK46" s="53">
        <v>-206906</v>
      </c>
      <c r="AL46" s="45"/>
      <c r="AM46" s="53">
        <v>0</v>
      </c>
      <c r="AN46" s="53"/>
      <c r="AO46" s="53">
        <v>0</v>
      </c>
      <c r="AP46" s="53"/>
      <c r="AQ46" s="53">
        <v>0</v>
      </c>
      <c r="AR46" s="53"/>
      <c r="AS46" s="45">
        <f t="shared" si="12"/>
        <v>181564</v>
      </c>
      <c r="AT46" s="45"/>
      <c r="AU46" s="53">
        <v>0</v>
      </c>
      <c r="AV46" s="53"/>
      <c r="AW46" s="53">
        <v>0</v>
      </c>
      <c r="AX46" s="53"/>
      <c r="AY46" s="53">
        <f t="shared" si="13"/>
        <v>971660</v>
      </c>
      <c r="AZ46" s="53"/>
      <c r="BA46" s="35" t="s">
        <v>63</v>
      </c>
      <c r="BC46" s="35" t="s">
        <v>64</v>
      </c>
      <c r="BD46" s="53"/>
      <c r="BE46" s="53">
        <f>818721+105000</f>
        <v>923721</v>
      </c>
      <c r="BF46" s="53"/>
      <c r="BG46" s="53">
        <f>1610092+315000</f>
        <v>1925092</v>
      </c>
      <c r="BH46" s="53"/>
      <c r="BI46" s="53">
        <v>0</v>
      </c>
      <c r="BJ46" s="53"/>
      <c r="BK46" s="53">
        <f>22486+13025</f>
        <v>35511</v>
      </c>
      <c r="BL46" s="53"/>
      <c r="BM46" s="53">
        <f t="shared" si="14"/>
        <v>2884324</v>
      </c>
      <c r="BN46" s="54" t="s">
        <v>347</v>
      </c>
      <c r="BO46" s="55" t="s">
        <v>405</v>
      </c>
      <c r="BR46" s="65"/>
      <c r="BS46" s="53"/>
      <c r="BT46" s="53"/>
      <c r="BU46" s="53"/>
      <c r="BV46" s="53"/>
      <c r="BW46" s="45"/>
      <c r="BX46" s="45"/>
      <c r="BY46" s="53"/>
      <c r="BZ46" s="53"/>
      <c r="CA46" s="53"/>
      <c r="CB46" s="53"/>
      <c r="CC46" s="53"/>
      <c r="CD46" s="53"/>
      <c r="CE46" s="53"/>
      <c r="CF46" s="35"/>
      <c r="CH46" s="35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4"/>
    </row>
    <row r="47" spans="1:97" s="55" customFormat="1" ht="12.75" hidden="1" customHeight="1">
      <c r="A47" s="35" t="s">
        <v>65</v>
      </c>
      <c r="B47" s="65"/>
      <c r="C47" s="35" t="s">
        <v>66</v>
      </c>
      <c r="D47" s="44"/>
      <c r="E47" s="53">
        <f t="shared" si="7"/>
        <v>0</v>
      </c>
      <c r="F47" s="53"/>
      <c r="G47" s="53">
        <v>0</v>
      </c>
      <c r="H47" s="53"/>
      <c r="I47" s="53">
        <v>0</v>
      </c>
      <c r="J47" s="53"/>
      <c r="K47" s="53">
        <f t="shared" si="8"/>
        <v>0</v>
      </c>
      <c r="L47" s="53"/>
      <c r="M47" s="53">
        <v>0</v>
      </c>
      <c r="N47" s="53"/>
      <c r="O47" s="53">
        <v>0</v>
      </c>
      <c r="P47" s="53"/>
      <c r="Q47" s="53">
        <v>0</v>
      </c>
      <c r="R47" s="53"/>
      <c r="S47" s="53">
        <v>0</v>
      </c>
      <c r="T47" s="53"/>
      <c r="U47" s="53">
        <v>0</v>
      </c>
      <c r="V47" s="53"/>
      <c r="W47" s="53">
        <f t="shared" si="15"/>
        <v>0</v>
      </c>
      <c r="X47" s="53"/>
      <c r="Y47" s="35" t="s">
        <v>65</v>
      </c>
      <c r="AA47" s="35" t="s">
        <v>66</v>
      </c>
      <c r="AB47" s="35"/>
      <c r="AC47" s="53">
        <v>0</v>
      </c>
      <c r="AD47" s="53"/>
      <c r="AE47" s="53">
        <v>0</v>
      </c>
      <c r="AF47" s="53"/>
      <c r="AG47" s="53">
        <v>0</v>
      </c>
      <c r="AH47" s="53"/>
      <c r="AI47" s="45">
        <f t="shared" si="9"/>
        <v>0</v>
      </c>
      <c r="AJ47" s="45"/>
      <c r="AK47" s="53">
        <v>0</v>
      </c>
      <c r="AL47" s="45"/>
      <c r="AM47" s="53">
        <v>0</v>
      </c>
      <c r="AN47" s="53"/>
      <c r="AO47" s="53">
        <v>0</v>
      </c>
      <c r="AP47" s="53"/>
      <c r="AQ47" s="53">
        <v>0</v>
      </c>
      <c r="AR47" s="53"/>
      <c r="AS47" s="45">
        <f t="shared" si="12"/>
        <v>0</v>
      </c>
      <c r="AT47" s="45"/>
      <c r="AU47" s="53">
        <v>0</v>
      </c>
      <c r="AV47" s="53"/>
      <c r="AW47" s="53">
        <v>0</v>
      </c>
      <c r="AX47" s="53"/>
      <c r="AY47" s="53">
        <f t="shared" si="13"/>
        <v>0</v>
      </c>
      <c r="AZ47" s="53"/>
      <c r="BA47" s="35" t="s">
        <v>65</v>
      </c>
      <c r="BC47" s="35" t="s">
        <v>66</v>
      </c>
      <c r="BD47" s="53"/>
      <c r="BE47" s="53">
        <v>0</v>
      </c>
      <c r="BF47" s="53"/>
      <c r="BG47" s="53">
        <v>0</v>
      </c>
      <c r="BH47" s="53"/>
      <c r="BI47" s="53">
        <v>0</v>
      </c>
      <c r="BJ47" s="53"/>
      <c r="BK47" s="53">
        <v>0</v>
      </c>
      <c r="BL47" s="53"/>
      <c r="BM47" s="53">
        <f>SUM(BE47:BL47)</f>
        <v>0</v>
      </c>
      <c r="BN47" s="54" t="s">
        <v>347</v>
      </c>
      <c r="BR47" s="65"/>
      <c r="BS47" s="53"/>
      <c r="BT47" s="53"/>
      <c r="BU47" s="53"/>
      <c r="BV47" s="53"/>
      <c r="BW47" s="45"/>
      <c r="BX47" s="45"/>
      <c r="BY47" s="53"/>
      <c r="BZ47" s="53"/>
      <c r="CA47" s="53"/>
      <c r="CB47" s="53"/>
      <c r="CC47" s="53"/>
      <c r="CD47" s="53"/>
      <c r="CE47" s="53"/>
      <c r="CF47" s="35"/>
      <c r="CH47" s="35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4"/>
    </row>
    <row r="48" spans="1:97" s="55" customFormat="1" ht="12.75" customHeight="1">
      <c r="A48" s="35" t="s">
        <v>67</v>
      </c>
      <c r="B48" s="65"/>
      <c r="C48" s="35" t="s">
        <v>375</v>
      </c>
      <c r="D48" s="44"/>
      <c r="E48" s="53">
        <f t="shared" si="7"/>
        <v>1040494</v>
      </c>
      <c r="F48" s="53"/>
      <c r="G48" s="53">
        <v>20884076</v>
      </c>
      <c r="H48" s="53"/>
      <c r="I48" s="53">
        <v>21924570</v>
      </c>
      <c r="J48" s="53"/>
      <c r="K48" s="53">
        <f t="shared" si="8"/>
        <v>886902</v>
      </c>
      <c r="L48" s="53"/>
      <c r="M48" s="53">
        <v>9581708</v>
      </c>
      <c r="N48" s="53"/>
      <c r="O48" s="53">
        <v>10468610</v>
      </c>
      <c r="P48" s="53"/>
      <c r="Q48" s="53">
        <v>10584446</v>
      </c>
      <c r="R48" s="53"/>
      <c r="S48" s="53">
        <v>0</v>
      </c>
      <c r="T48" s="53"/>
      <c r="U48" s="53">
        <v>874514</v>
      </c>
      <c r="V48" s="53"/>
      <c r="W48" s="53">
        <f t="shared" si="15"/>
        <v>11458960</v>
      </c>
      <c r="X48" s="53"/>
      <c r="Y48" s="35" t="s">
        <v>67</v>
      </c>
      <c r="AA48" s="35" t="s">
        <v>375</v>
      </c>
      <c r="AB48" s="35"/>
      <c r="AC48" s="53">
        <v>1440545</v>
      </c>
      <c r="AD48" s="53"/>
      <c r="AE48" s="53">
        <f>1632592-604168</f>
        <v>1028424</v>
      </c>
      <c r="AF48" s="53"/>
      <c r="AG48" s="53">
        <v>604168</v>
      </c>
      <c r="AH48" s="53"/>
      <c r="AI48" s="45">
        <f t="shared" si="9"/>
        <v>-192047</v>
      </c>
      <c r="AJ48" s="45"/>
      <c r="AK48" s="53">
        <v>58004</v>
      </c>
      <c r="AL48" s="45"/>
      <c r="AM48" s="53">
        <v>520000</v>
      </c>
      <c r="AN48" s="53"/>
      <c r="AO48" s="53">
        <v>0</v>
      </c>
      <c r="AP48" s="53"/>
      <c r="AQ48" s="53">
        <v>0</v>
      </c>
      <c r="AR48" s="53"/>
      <c r="AS48" s="45">
        <f t="shared" si="12"/>
        <v>385957</v>
      </c>
      <c r="AT48" s="45"/>
      <c r="AU48" s="53">
        <v>0</v>
      </c>
      <c r="AV48" s="53"/>
      <c r="AW48" s="53">
        <v>0</v>
      </c>
      <c r="AX48" s="53"/>
      <c r="AY48" s="53">
        <f t="shared" si="13"/>
        <v>153592</v>
      </c>
      <c r="AZ48" s="53"/>
      <c r="BA48" s="35" t="s">
        <v>67</v>
      </c>
      <c r="BC48" s="35" t="s">
        <v>375</v>
      </c>
      <c r="BD48" s="53"/>
      <c r="BE48" s="53">
        <v>0</v>
      </c>
      <c r="BF48" s="53"/>
      <c r="BG48" s="53">
        <v>0</v>
      </c>
      <c r="BH48" s="53"/>
      <c r="BI48" s="53">
        <f>9541282+758348</f>
        <v>10299630</v>
      </c>
      <c r="BJ48" s="53"/>
      <c r="BK48" s="53">
        <f>40426+23366</f>
        <v>63792</v>
      </c>
      <c r="BL48" s="53"/>
      <c r="BM48" s="53">
        <f t="shared" ref="BM48:BM53" si="17">SUM(BE48:BK48)</f>
        <v>10363422</v>
      </c>
      <c r="BN48" s="54" t="s">
        <v>347</v>
      </c>
      <c r="BR48" s="65"/>
      <c r="BS48" s="53"/>
      <c r="BT48" s="53"/>
      <c r="BU48" s="53"/>
      <c r="BV48" s="53"/>
      <c r="BW48" s="45"/>
      <c r="BX48" s="45"/>
      <c r="BY48" s="53"/>
      <c r="BZ48" s="53"/>
      <c r="CA48" s="53"/>
      <c r="CB48" s="53"/>
      <c r="CC48" s="53"/>
      <c r="CD48" s="53"/>
      <c r="CE48" s="53"/>
      <c r="CF48" s="35"/>
      <c r="CH48" s="35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4"/>
    </row>
    <row r="49" spans="1:98" s="55" customFormat="1" ht="12.75" hidden="1" customHeight="1">
      <c r="A49" s="35" t="s">
        <v>68</v>
      </c>
      <c r="B49" s="65"/>
      <c r="C49" s="35" t="s">
        <v>45</v>
      </c>
      <c r="D49" s="44"/>
      <c r="E49" s="53">
        <f t="shared" si="7"/>
        <v>0</v>
      </c>
      <c r="F49" s="53"/>
      <c r="G49" s="53">
        <v>0</v>
      </c>
      <c r="H49" s="53"/>
      <c r="I49" s="53">
        <v>0</v>
      </c>
      <c r="J49" s="53"/>
      <c r="K49" s="53">
        <f t="shared" si="8"/>
        <v>0</v>
      </c>
      <c r="L49" s="53"/>
      <c r="M49" s="53">
        <v>0</v>
      </c>
      <c r="N49" s="53"/>
      <c r="O49" s="53">
        <v>0</v>
      </c>
      <c r="P49" s="53"/>
      <c r="Q49" s="53">
        <v>0</v>
      </c>
      <c r="R49" s="53"/>
      <c r="S49" s="53">
        <v>0</v>
      </c>
      <c r="T49" s="53"/>
      <c r="U49" s="53">
        <v>0</v>
      </c>
      <c r="V49" s="53"/>
      <c r="W49" s="53">
        <f t="shared" si="15"/>
        <v>0</v>
      </c>
      <c r="X49" s="53"/>
      <c r="Y49" s="35" t="s">
        <v>68</v>
      </c>
      <c r="AA49" s="35" t="s">
        <v>45</v>
      </c>
      <c r="AB49" s="35"/>
      <c r="AC49" s="53">
        <v>0</v>
      </c>
      <c r="AD49" s="53"/>
      <c r="AE49" s="53">
        <v>0</v>
      </c>
      <c r="AF49" s="53"/>
      <c r="AG49" s="53">
        <v>0</v>
      </c>
      <c r="AH49" s="53"/>
      <c r="AI49" s="45">
        <f t="shared" si="9"/>
        <v>0</v>
      </c>
      <c r="AJ49" s="45"/>
      <c r="AK49" s="53">
        <v>0</v>
      </c>
      <c r="AL49" s="45"/>
      <c r="AM49" s="53">
        <v>0</v>
      </c>
      <c r="AN49" s="53"/>
      <c r="AO49" s="53">
        <v>0</v>
      </c>
      <c r="AP49" s="53"/>
      <c r="AQ49" s="53">
        <v>0</v>
      </c>
      <c r="AR49" s="53"/>
      <c r="AS49" s="45">
        <f t="shared" si="12"/>
        <v>0</v>
      </c>
      <c r="AT49" s="45"/>
      <c r="AU49" s="53">
        <v>0</v>
      </c>
      <c r="AV49" s="53"/>
      <c r="AW49" s="53">
        <v>0</v>
      </c>
      <c r="AX49" s="53"/>
      <c r="AY49" s="53">
        <f t="shared" si="13"/>
        <v>0</v>
      </c>
      <c r="AZ49" s="53"/>
      <c r="BA49" s="35" t="s">
        <v>68</v>
      </c>
      <c r="BC49" s="35" t="s">
        <v>45</v>
      </c>
      <c r="BD49" s="53"/>
      <c r="BE49" s="53">
        <v>0</v>
      </c>
      <c r="BF49" s="53"/>
      <c r="BG49" s="53">
        <v>0</v>
      </c>
      <c r="BH49" s="53"/>
      <c r="BI49" s="53">
        <v>0</v>
      </c>
      <c r="BJ49" s="53"/>
      <c r="BK49" s="53">
        <v>0</v>
      </c>
      <c r="BL49" s="53"/>
      <c r="BM49" s="53">
        <f t="shared" si="17"/>
        <v>0</v>
      </c>
      <c r="BN49" s="54" t="s">
        <v>347</v>
      </c>
      <c r="BR49" s="65"/>
      <c r="BS49" s="53"/>
      <c r="BT49" s="53"/>
      <c r="BU49" s="53"/>
      <c r="BV49" s="53"/>
      <c r="BW49" s="53"/>
      <c r="BX49" s="45"/>
      <c r="BY49" s="45"/>
      <c r="BZ49" s="53"/>
      <c r="CA49" s="53"/>
      <c r="CB49" s="53"/>
      <c r="CC49" s="53"/>
      <c r="CD49" s="53"/>
      <c r="CE49" s="53"/>
      <c r="CF49" s="35"/>
      <c r="CH49" s="35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4"/>
    </row>
    <row r="50" spans="1:98" s="55" customFormat="1" ht="12.75" customHeight="1">
      <c r="A50" s="35" t="s">
        <v>69</v>
      </c>
      <c r="B50" s="65"/>
      <c r="C50" s="35" t="s">
        <v>70</v>
      </c>
      <c r="D50" s="44"/>
      <c r="E50" s="53">
        <f t="shared" si="7"/>
        <v>3394223</v>
      </c>
      <c r="F50" s="53"/>
      <c r="G50" s="53">
        <v>17587009</v>
      </c>
      <c r="H50" s="53"/>
      <c r="I50" s="53">
        <v>20981232</v>
      </c>
      <c r="J50" s="53"/>
      <c r="K50" s="53">
        <f t="shared" si="8"/>
        <v>405067</v>
      </c>
      <c r="L50" s="53"/>
      <c r="M50" s="53">
        <v>1688616</v>
      </c>
      <c r="N50" s="53"/>
      <c r="O50" s="53">
        <v>2093683</v>
      </c>
      <c r="P50" s="53"/>
      <c r="Q50" s="53">
        <v>15458542</v>
      </c>
      <c r="R50" s="53"/>
      <c r="S50" s="53">
        <v>618467</v>
      </c>
      <c r="T50" s="53"/>
      <c r="U50" s="53">
        <v>2810540</v>
      </c>
      <c r="V50" s="53"/>
      <c r="W50" s="53">
        <f t="shared" si="15"/>
        <v>18887549</v>
      </c>
      <c r="X50" s="53"/>
      <c r="Y50" s="35" t="s">
        <v>69</v>
      </c>
      <c r="AA50" s="35" t="s">
        <v>70</v>
      </c>
      <c r="AB50" s="35"/>
      <c r="AC50" s="53">
        <v>3113521</v>
      </c>
      <c r="AD50" s="53"/>
      <c r="AE50" s="53">
        <f>3821024-655442</f>
        <v>3165582</v>
      </c>
      <c r="AF50" s="53"/>
      <c r="AG50" s="53">
        <v>655443</v>
      </c>
      <c r="AH50" s="53"/>
      <c r="AI50" s="45">
        <f t="shared" si="9"/>
        <v>-707504</v>
      </c>
      <c r="AJ50" s="45"/>
      <c r="AK50" s="53">
        <v>-66697</v>
      </c>
      <c r="AL50" s="45"/>
      <c r="AM50" s="53">
        <v>30000</v>
      </c>
      <c r="AN50" s="53"/>
      <c r="AO50" s="53">
        <v>6816</v>
      </c>
      <c r="AP50" s="53"/>
      <c r="AQ50" s="53">
        <v>0</v>
      </c>
      <c r="AR50" s="53"/>
      <c r="AS50" s="45">
        <f t="shared" si="12"/>
        <v>-751017</v>
      </c>
      <c r="AT50" s="45"/>
      <c r="AU50" s="53">
        <v>0</v>
      </c>
      <c r="AV50" s="53"/>
      <c r="AW50" s="53">
        <v>0</v>
      </c>
      <c r="AX50" s="53"/>
      <c r="AY50" s="53">
        <f t="shared" si="13"/>
        <v>2989156</v>
      </c>
      <c r="AZ50" s="53"/>
      <c r="BA50" s="35" t="s">
        <v>69</v>
      </c>
      <c r="BC50" s="35" t="s">
        <v>70</v>
      </c>
      <c r="BD50" s="53"/>
      <c r="BE50" s="53">
        <f>1415000+95000</f>
        <v>1510000</v>
      </c>
      <c r="BF50" s="53"/>
      <c r="BG50" s="53">
        <v>0</v>
      </c>
      <c r="BH50" s="53"/>
      <c r="BI50" s="53">
        <v>0</v>
      </c>
      <c r="BJ50" s="53"/>
      <c r="BK50" s="53">
        <f>273616+176094</f>
        <v>449710</v>
      </c>
      <c r="BL50" s="53"/>
      <c r="BM50" s="53">
        <f t="shared" si="17"/>
        <v>1959710</v>
      </c>
      <c r="BN50" s="54" t="s">
        <v>347</v>
      </c>
      <c r="BR50" s="65"/>
      <c r="BS50" s="53"/>
      <c r="BT50" s="53"/>
      <c r="BU50" s="53"/>
      <c r="BV50" s="53"/>
      <c r="BW50" s="53"/>
      <c r="BX50" s="45"/>
      <c r="BY50" s="45"/>
      <c r="BZ50" s="53"/>
      <c r="CA50" s="53"/>
      <c r="CB50" s="53"/>
      <c r="CC50" s="53"/>
      <c r="CD50" s="53"/>
      <c r="CE50" s="53"/>
      <c r="CF50" s="35"/>
      <c r="CH50" s="35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4"/>
    </row>
    <row r="51" spans="1:98" s="55" customFormat="1" ht="11.25" hidden="1" customHeight="1">
      <c r="A51" s="35" t="s">
        <v>71</v>
      </c>
      <c r="B51" s="65"/>
      <c r="C51" s="35" t="s">
        <v>45</v>
      </c>
      <c r="D51" s="44"/>
      <c r="E51" s="53">
        <f t="shared" si="7"/>
        <v>0</v>
      </c>
      <c r="F51" s="53"/>
      <c r="G51" s="53">
        <v>0</v>
      </c>
      <c r="H51" s="53"/>
      <c r="I51" s="53">
        <v>0</v>
      </c>
      <c r="J51" s="53"/>
      <c r="K51" s="53">
        <f t="shared" si="8"/>
        <v>0</v>
      </c>
      <c r="L51" s="53"/>
      <c r="M51" s="53">
        <v>0</v>
      </c>
      <c r="N51" s="53"/>
      <c r="O51" s="53">
        <v>0</v>
      </c>
      <c r="P51" s="53"/>
      <c r="Q51" s="53">
        <v>0</v>
      </c>
      <c r="R51" s="53"/>
      <c r="S51" s="53">
        <v>0</v>
      </c>
      <c r="T51" s="53"/>
      <c r="U51" s="53">
        <v>0</v>
      </c>
      <c r="V51" s="53"/>
      <c r="W51" s="53">
        <v>0</v>
      </c>
      <c r="X51" s="53"/>
      <c r="Y51" s="35" t="s">
        <v>71</v>
      </c>
      <c r="AA51" s="35" t="s">
        <v>45</v>
      </c>
      <c r="AB51" s="35"/>
      <c r="AC51" s="53">
        <v>0</v>
      </c>
      <c r="AD51" s="53"/>
      <c r="AE51" s="53">
        <v>0</v>
      </c>
      <c r="AF51" s="53"/>
      <c r="AG51" s="53">
        <v>0</v>
      </c>
      <c r="AH51" s="53"/>
      <c r="AI51" s="45">
        <f t="shared" si="9"/>
        <v>0</v>
      </c>
      <c r="AJ51" s="45"/>
      <c r="AK51" s="53">
        <v>0</v>
      </c>
      <c r="AL51" s="45"/>
      <c r="AM51" s="53">
        <v>0</v>
      </c>
      <c r="AN51" s="53"/>
      <c r="AO51" s="53">
        <v>0</v>
      </c>
      <c r="AP51" s="53"/>
      <c r="AQ51" s="53">
        <v>0</v>
      </c>
      <c r="AR51" s="53"/>
      <c r="AS51" s="45">
        <f t="shared" si="12"/>
        <v>0</v>
      </c>
      <c r="AT51" s="45"/>
      <c r="AU51" s="53">
        <v>0</v>
      </c>
      <c r="AV51" s="53"/>
      <c r="AW51" s="53">
        <v>0</v>
      </c>
      <c r="AX51" s="53"/>
      <c r="AY51" s="53">
        <f t="shared" si="13"/>
        <v>0</v>
      </c>
      <c r="AZ51" s="53"/>
      <c r="BA51" s="35" t="s">
        <v>71</v>
      </c>
      <c r="BC51" s="35" t="s">
        <v>45</v>
      </c>
      <c r="BD51" s="53"/>
      <c r="BE51" s="53">
        <v>0</v>
      </c>
      <c r="BF51" s="53"/>
      <c r="BG51" s="53">
        <v>0</v>
      </c>
      <c r="BH51" s="53"/>
      <c r="BI51" s="53">
        <v>0</v>
      </c>
      <c r="BJ51" s="53"/>
      <c r="BK51" s="53">
        <v>0</v>
      </c>
      <c r="BL51" s="53"/>
      <c r="BM51" s="53">
        <f t="shared" si="17"/>
        <v>0</v>
      </c>
      <c r="BN51" s="54" t="s">
        <v>347</v>
      </c>
      <c r="BO51" s="55" t="s">
        <v>403</v>
      </c>
      <c r="BR51" s="65"/>
      <c r="BS51" s="53"/>
      <c r="BT51" s="53"/>
      <c r="BU51" s="53"/>
      <c r="BV51" s="53"/>
      <c r="BW51" s="53"/>
      <c r="BX51" s="45"/>
      <c r="BY51" s="45"/>
      <c r="BZ51" s="53"/>
      <c r="CA51" s="53"/>
      <c r="CB51" s="53"/>
      <c r="CC51" s="53"/>
      <c r="CD51" s="53"/>
      <c r="CE51" s="53"/>
      <c r="CF51" s="35"/>
      <c r="CH51" s="35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4"/>
    </row>
    <row r="52" spans="1:98" s="55" customFormat="1" ht="12.75" customHeight="1">
      <c r="A52" s="44" t="s">
        <v>463</v>
      </c>
      <c r="C52" s="44" t="s">
        <v>464</v>
      </c>
      <c r="D52" s="44"/>
      <c r="E52" s="53">
        <f t="shared" si="7"/>
        <v>3004077</v>
      </c>
      <c r="F52" s="53"/>
      <c r="G52" s="53">
        <v>12306977</v>
      </c>
      <c r="H52" s="53"/>
      <c r="I52" s="53">
        <v>15311054</v>
      </c>
      <c r="J52" s="53"/>
      <c r="K52" s="53">
        <f t="shared" si="8"/>
        <v>193862</v>
      </c>
      <c r="L52" s="53"/>
      <c r="M52" s="53">
        <v>1567440</v>
      </c>
      <c r="N52" s="53"/>
      <c r="O52" s="53">
        <v>1761302</v>
      </c>
      <c r="P52" s="53"/>
      <c r="Q52" s="53">
        <v>10715922</v>
      </c>
      <c r="R52" s="53"/>
      <c r="S52" s="53">
        <v>0</v>
      </c>
      <c r="T52" s="53"/>
      <c r="U52" s="53">
        <v>2833830</v>
      </c>
      <c r="V52" s="53"/>
      <c r="W52" s="53">
        <f>SUM(Q52:U52)</f>
        <v>13549752</v>
      </c>
      <c r="X52" s="53"/>
      <c r="Y52" s="44" t="s">
        <v>463</v>
      </c>
      <c r="AA52" s="44" t="s">
        <v>464</v>
      </c>
      <c r="AB52" s="44"/>
      <c r="AC52" s="53">
        <v>1884574</v>
      </c>
      <c r="AD52" s="53"/>
      <c r="AE52" s="53">
        <f>2026110-404456</f>
        <v>1621654</v>
      </c>
      <c r="AF52" s="53"/>
      <c r="AG52" s="53">
        <v>404456</v>
      </c>
      <c r="AH52" s="53"/>
      <c r="AI52" s="45">
        <f t="shared" si="9"/>
        <v>-141536</v>
      </c>
      <c r="AJ52" s="45"/>
      <c r="AK52" s="53">
        <v>-68581</v>
      </c>
      <c r="AL52" s="45"/>
      <c r="AM52" s="53">
        <v>0</v>
      </c>
      <c r="AN52" s="53"/>
      <c r="AO52" s="53">
        <v>0</v>
      </c>
      <c r="AP52" s="53"/>
      <c r="AQ52" s="53">
        <v>0</v>
      </c>
      <c r="AR52" s="53"/>
      <c r="AS52" s="45">
        <f t="shared" si="12"/>
        <v>-210117</v>
      </c>
      <c r="AT52" s="45"/>
      <c r="AU52" s="53">
        <v>0</v>
      </c>
      <c r="AV52" s="53"/>
      <c r="AW52" s="53">
        <v>0</v>
      </c>
      <c r="AX52" s="53"/>
      <c r="AY52" s="53">
        <f t="shared" si="13"/>
        <v>2810215</v>
      </c>
      <c r="AZ52" s="53"/>
      <c r="BA52" s="44" t="s">
        <v>463</v>
      </c>
      <c r="BC52" s="44" t="s">
        <v>464</v>
      </c>
      <c r="BD52" s="53"/>
      <c r="BE52" s="53">
        <f>1525000+65000</f>
        <v>1590000</v>
      </c>
      <c r="BF52" s="53"/>
      <c r="BG52" s="53">
        <v>0</v>
      </c>
      <c r="BH52" s="53"/>
      <c r="BI52" s="53">
        <v>0</v>
      </c>
      <c r="BJ52" s="53"/>
      <c r="BK52" s="53">
        <f>42440+33773</f>
        <v>76213</v>
      </c>
      <c r="BL52" s="53"/>
      <c r="BM52" s="53">
        <f t="shared" si="17"/>
        <v>1666213</v>
      </c>
      <c r="BN52" s="54" t="s">
        <v>347</v>
      </c>
      <c r="BR52" s="65"/>
      <c r="BS52" s="53"/>
      <c r="BT52" s="53"/>
      <c r="BU52" s="53"/>
      <c r="BV52" s="53"/>
      <c r="BW52" s="53"/>
      <c r="BX52" s="45"/>
      <c r="BY52" s="45"/>
      <c r="BZ52" s="53"/>
      <c r="CA52" s="53"/>
      <c r="CB52" s="53"/>
      <c r="CC52" s="53"/>
      <c r="CD52" s="53"/>
      <c r="CE52" s="53"/>
      <c r="CF52" s="35"/>
      <c r="CH52" s="35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4"/>
    </row>
    <row r="53" spans="1:98" s="55" customFormat="1" ht="12.75" customHeight="1">
      <c r="A53" s="35" t="s">
        <v>72</v>
      </c>
      <c r="B53" s="65"/>
      <c r="C53" s="35" t="s">
        <v>66</v>
      </c>
      <c r="D53" s="44"/>
      <c r="E53" s="53">
        <f t="shared" si="7"/>
        <v>89665</v>
      </c>
      <c r="F53" s="53"/>
      <c r="G53" s="53">
        <v>3468295</v>
      </c>
      <c r="H53" s="53"/>
      <c r="I53" s="53">
        <v>3557960</v>
      </c>
      <c r="J53" s="53"/>
      <c r="K53" s="53">
        <f t="shared" si="8"/>
        <v>75496</v>
      </c>
      <c r="L53" s="53"/>
      <c r="M53" s="53">
        <v>3085611</v>
      </c>
      <c r="N53" s="53"/>
      <c r="O53" s="53">
        <v>3161107</v>
      </c>
      <c r="P53" s="53"/>
      <c r="Q53" s="53">
        <v>307188</v>
      </c>
      <c r="R53" s="53"/>
      <c r="S53" s="53">
        <v>0</v>
      </c>
      <c r="T53" s="53"/>
      <c r="U53" s="53">
        <v>89665</v>
      </c>
      <c r="V53" s="53"/>
      <c r="W53" s="53">
        <f>SUM(Q53:U53)</f>
        <v>396853</v>
      </c>
      <c r="X53" s="53"/>
      <c r="Y53" s="35" t="s">
        <v>72</v>
      </c>
      <c r="AA53" s="35" t="s">
        <v>66</v>
      </c>
      <c r="AB53" s="35"/>
      <c r="AC53" s="53">
        <v>2425</v>
      </c>
      <c r="AD53" s="53"/>
      <c r="AE53" s="53">
        <v>0</v>
      </c>
      <c r="AF53" s="53"/>
      <c r="AG53" s="53">
        <v>90211</v>
      </c>
      <c r="AH53" s="53"/>
      <c r="AI53" s="45">
        <f t="shared" si="9"/>
        <v>-87786</v>
      </c>
      <c r="AJ53" s="45"/>
      <c r="AK53" s="53">
        <v>-128628</v>
      </c>
      <c r="AL53" s="45"/>
      <c r="AM53" s="53">
        <v>201193</v>
      </c>
      <c r="AN53" s="53"/>
      <c r="AO53" s="53">
        <v>0</v>
      </c>
      <c r="AP53" s="53"/>
      <c r="AQ53" s="53">
        <v>0</v>
      </c>
      <c r="AR53" s="53"/>
      <c r="AS53" s="45">
        <f t="shared" si="12"/>
        <v>-15221</v>
      </c>
      <c r="AT53" s="45"/>
      <c r="AU53" s="53">
        <v>0</v>
      </c>
      <c r="AV53" s="53"/>
      <c r="AW53" s="53">
        <v>0</v>
      </c>
      <c r="AX53" s="53"/>
      <c r="AY53" s="53">
        <f t="shared" si="13"/>
        <v>14169</v>
      </c>
      <c r="AZ53" s="53"/>
      <c r="BA53" s="35" t="s">
        <v>72</v>
      </c>
      <c r="BC53" s="35" t="s">
        <v>66</v>
      </c>
      <c r="BD53" s="53"/>
      <c r="BE53" s="53">
        <v>0</v>
      </c>
      <c r="BF53" s="53"/>
      <c r="BG53" s="53">
        <v>0</v>
      </c>
      <c r="BH53" s="53"/>
      <c r="BI53" s="53">
        <f>3085611+75496</f>
        <v>3161107</v>
      </c>
      <c r="BJ53" s="53"/>
      <c r="BK53" s="53">
        <v>0</v>
      </c>
      <c r="BL53" s="53"/>
      <c r="BM53" s="53">
        <f t="shared" si="17"/>
        <v>3161107</v>
      </c>
      <c r="BN53" s="54" t="s">
        <v>347</v>
      </c>
      <c r="BO53" s="35"/>
      <c r="BR53" s="65"/>
      <c r="BS53" s="53"/>
      <c r="BT53" s="53"/>
      <c r="BU53" s="53"/>
      <c r="BV53" s="53"/>
      <c r="BW53" s="45"/>
      <c r="BX53" s="45"/>
      <c r="BY53" s="53"/>
      <c r="BZ53" s="53"/>
      <c r="CA53" s="53"/>
      <c r="CB53" s="53"/>
      <c r="CC53" s="53"/>
      <c r="CD53" s="53"/>
      <c r="CE53" s="53"/>
      <c r="CF53" s="35"/>
      <c r="CH53" s="35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4"/>
      <c r="CT53" s="35"/>
    </row>
    <row r="54" spans="1:98" s="55" customFormat="1" ht="12.75" hidden="1" customHeight="1">
      <c r="A54" s="35" t="s">
        <v>342</v>
      </c>
      <c r="C54" s="35" t="s">
        <v>27</v>
      </c>
      <c r="D54" s="44"/>
      <c r="E54" s="53">
        <f t="shared" si="7"/>
        <v>0</v>
      </c>
      <c r="F54" s="53"/>
      <c r="G54" s="53">
        <v>0</v>
      </c>
      <c r="H54" s="53"/>
      <c r="I54" s="53">
        <v>0</v>
      </c>
      <c r="J54" s="53"/>
      <c r="K54" s="53">
        <f t="shared" si="8"/>
        <v>0</v>
      </c>
      <c r="L54" s="53"/>
      <c r="M54" s="53">
        <v>0</v>
      </c>
      <c r="N54" s="53"/>
      <c r="O54" s="53">
        <v>0</v>
      </c>
      <c r="P54" s="53"/>
      <c r="Q54" s="53">
        <v>0</v>
      </c>
      <c r="R54" s="53"/>
      <c r="S54" s="53">
        <v>0</v>
      </c>
      <c r="T54" s="53"/>
      <c r="U54" s="53">
        <v>0</v>
      </c>
      <c r="V54" s="53"/>
      <c r="W54" s="53">
        <f t="shared" ref="W54:W71" si="18">SUM(Q54:U54)</f>
        <v>0</v>
      </c>
      <c r="X54" s="53"/>
      <c r="Y54" s="35" t="s">
        <v>342</v>
      </c>
      <c r="AA54" s="35" t="s">
        <v>27</v>
      </c>
      <c r="AB54" s="35"/>
      <c r="AC54" s="53">
        <v>0</v>
      </c>
      <c r="AD54" s="53"/>
      <c r="AE54" s="53">
        <v>0</v>
      </c>
      <c r="AF54" s="53"/>
      <c r="AG54" s="53">
        <v>0</v>
      </c>
      <c r="AH54" s="53"/>
      <c r="AI54" s="45">
        <f t="shared" si="9"/>
        <v>0</v>
      </c>
      <c r="AJ54" s="45"/>
      <c r="AK54" s="53">
        <v>0</v>
      </c>
      <c r="AL54" s="45"/>
      <c r="AM54" s="53">
        <v>0</v>
      </c>
      <c r="AN54" s="53"/>
      <c r="AO54" s="53">
        <v>0</v>
      </c>
      <c r="AP54" s="53"/>
      <c r="AQ54" s="53">
        <v>0</v>
      </c>
      <c r="AR54" s="53"/>
      <c r="AS54" s="45">
        <f t="shared" si="4"/>
        <v>0</v>
      </c>
      <c r="AT54" s="45"/>
      <c r="AU54" s="53">
        <v>0</v>
      </c>
      <c r="AV54" s="53"/>
      <c r="AW54" s="53">
        <v>0</v>
      </c>
      <c r="AX54" s="53"/>
      <c r="AY54" s="53">
        <f t="shared" si="5"/>
        <v>0</v>
      </c>
      <c r="AZ54" s="53"/>
      <c r="BA54" s="35" t="s">
        <v>342</v>
      </c>
      <c r="BC54" s="35" t="s">
        <v>27</v>
      </c>
      <c r="BD54" s="53"/>
      <c r="BE54" s="53">
        <v>0</v>
      </c>
      <c r="BF54" s="53"/>
      <c r="BG54" s="53">
        <v>0</v>
      </c>
      <c r="BH54" s="53"/>
      <c r="BI54" s="53">
        <v>0</v>
      </c>
      <c r="BJ54" s="53"/>
      <c r="BK54" s="53">
        <v>0</v>
      </c>
      <c r="BL54" s="53"/>
      <c r="BM54" s="53">
        <f t="shared" ref="BM54:BM72" si="19">SUM(BE54:BK54)</f>
        <v>0</v>
      </c>
      <c r="BN54" s="54" t="s">
        <v>347</v>
      </c>
      <c r="BR54" s="65"/>
      <c r="BS54" s="53"/>
      <c r="BT54" s="53"/>
      <c r="BU54" s="53"/>
      <c r="BV54" s="53"/>
      <c r="BW54" s="53"/>
      <c r="BX54" s="45"/>
      <c r="BY54" s="45"/>
      <c r="BZ54" s="53"/>
      <c r="CA54" s="53"/>
      <c r="CB54" s="53"/>
      <c r="CC54" s="53"/>
      <c r="CD54" s="53"/>
      <c r="CE54" s="53"/>
      <c r="CF54" s="35"/>
      <c r="CH54" s="35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4"/>
    </row>
    <row r="55" spans="1:98" s="55" customFormat="1" ht="12.75" hidden="1" customHeight="1">
      <c r="A55" s="35" t="s">
        <v>74</v>
      </c>
      <c r="B55" s="65"/>
      <c r="C55" s="35" t="s">
        <v>27</v>
      </c>
      <c r="D55" s="44"/>
      <c r="E55" s="53">
        <f t="shared" si="7"/>
        <v>0</v>
      </c>
      <c r="F55" s="53"/>
      <c r="G55" s="53">
        <v>0</v>
      </c>
      <c r="H55" s="53"/>
      <c r="I55" s="53">
        <v>0</v>
      </c>
      <c r="J55" s="53"/>
      <c r="K55" s="53">
        <f t="shared" si="8"/>
        <v>0</v>
      </c>
      <c r="L55" s="53"/>
      <c r="M55" s="53">
        <v>0</v>
      </c>
      <c r="N55" s="53"/>
      <c r="O55" s="53">
        <v>0</v>
      </c>
      <c r="P55" s="53"/>
      <c r="Q55" s="53">
        <v>0</v>
      </c>
      <c r="R55" s="53"/>
      <c r="S55" s="53">
        <v>0</v>
      </c>
      <c r="T55" s="53"/>
      <c r="U55" s="53">
        <v>0</v>
      </c>
      <c r="V55" s="53"/>
      <c r="W55" s="53">
        <v>0</v>
      </c>
      <c r="X55" s="53"/>
      <c r="Y55" s="35" t="s">
        <v>74</v>
      </c>
      <c r="AA55" s="35" t="s">
        <v>27</v>
      </c>
      <c r="AB55" s="35"/>
      <c r="AC55" s="53">
        <v>0</v>
      </c>
      <c r="AD55" s="53"/>
      <c r="AE55" s="53">
        <v>0</v>
      </c>
      <c r="AF55" s="53"/>
      <c r="AG55" s="53">
        <v>0</v>
      </c>
      <c r="AH55" s="53"/>
      <c r="AI55" s="45">
        <f t="shared" si="9"/>
        <v>0</v>
      </c>
      <c r="AJ55" s="45"/>
      <c r="AK55" s="53">
        <v>0</v>
      </c>
      <c r="AL55" s="45"/>
      <c r="AM55" s="53">
        <v>0</v>
      </c>
      <c r="AN55" s="53"/>
      <c r="AO55" s="53">
        <v>0</v>
      </c>
      <c r="AP55" s="53"/>
      <c r="AQ55" s="53">
        <v>0</v>
      </c>
      <c r="AR55" s="53"/>
      <c r="AS55" s="45">
        <f t="shared" si="4"/>
        <v>0</v>
      </c>
      <c r="AT55" s="45"/>
      <c r="AU55" s="53">
        <v>0</v>
      </c>
      <c r="AV55" s="53"/>
      <c r="AW55" s="53">
        <v>0</v>
      </c>
      <c r="AX55" s="53"/>
      <c r="AY55" s="53">
        <f t="shared" si="5"/>
        <v>0</v>
      </c>
      <c r="AZ55" s="53"/>
      <c r="BA55" s="35" t="s">
        <v>74</v>
      </c>
      <c r="BC55" s="35" t="s">
        <v>27</v>
      </c>
      <c r="BD55" s="53"/>
      <c r="BE55" s="53">
        <v>0</v>
      </c>
      <c r="BF55" s="53"/>
      <c r="BG55" s="53">
        <v>0</v>
      </c>
      <c r="BH55" s="53"/>
      <c r="BI55" s="53">
        <v>0</v>
      </c>
      <c r="BJ55" s="53"/>
      <c r="BK55" s="53">
        <v>0</v>
      </c>
      <c r="BL55" s="53"/>
      <c r="BM55" s="53">
        <f t="shared" si="19"/>
        <v>0</v>
      </c>
      <c r="BN55" s="54" t="s">
        <v>347</v>
      </c>
      <c r="BR55" s="65"/>
      <c r="BS55" s="53"/>
      <c r="BT55" s="53"/>
      <c r="BU55" s="53"/>
      <c r="BV55" s="53"/>
      <c r="BW55" s="53"/>
      <c r="BX55" s="45"/>
      <c r="BY55" s="45"/>
      <c r="BZ55" s="53"/>
      <c r="CA55" s="53"/>
      <c r="CB55" s="53"/>
      <c r="CC55" s="53"/>
      <c r="CD55" s="53"/>
      <c r="CE55" s="53"/>
      <c r="CF55" s="35"/>
      <c r="CH55" s="35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4"/>
    </row>
    <row r="56" spans="1:98" s="55" customFormat="1" ht="12.75" customHeight="1">
      <c r="A56" s="35" t="s">
        <v>75</v>
      </c>
      <c r="B56" s="65"/>
      <c r="C56" s="35" t="s">
        <v>76</v>
      </c>
      <c r="D56" s="44"/>
      <c r="E56" s="53">
        <f t="shared" si="7"/>
        <v>1053003</v>
      </c>
      <c r="F56" s="53"/>
      <c r="G56" s="53">
        <v>7204594</v>
      </c>
      <c r="H56" s="53"/>
      <c r="I56" s="53">
        <v>8257597</v>
      </c>
      <c r="J56" s="53"/>
      <c r="K56" s="53">
        <f t="shared" si="8"/>
        <v>125603</v>
      </c>
      <c r="L56" s="53"/>
      <c r="M56" s="53">
        <v>804277</v>
      </c>
      <c r="N56" s="53"/>
      <c r="O56" s="53">
        <v>929880</v>
      </c>
      <c r="P56" s="53"/>
      <c r="Q56" s="53">
        <v>6386436</v>
      </c>
      <c r="R56" s="53"/>
      <c r="S56" s="53">
        <v>0</v>
      </c>
      <c r="T56" s="53"/>
      <c r="U56" s="53">
        <v>941281</v>
      </c>
      <c r="V56" s="53"/>
      <c r="W56" s="53">
        <f t="shared" ref="W56:W62" si="20">SUM(Q56:U56)</f>
        <v>7327717</v>
      </c>
      <c r="X56" s="53"/>
      <c r="Y56" s="35" t="s">
        <v>75</v>
      </c>
      <c r="AA56" s="35" t="s">
        <v>76</v>
      </c>
      <c r="AB56" s="35"/>
      <c r="AC56" s="53">
        <v>1799076</v>
      </c>
      <c r="AD56" s="53"/>
      <c r="AE56" s="53">
        <f>1895963-299113</f>
        <v>1596850</v>
      </c>
      <c r="AF56" s="53"/>
      <c r="AG56" s="53">
        <v>299113</v>
      </c>
      <c r="AH56" s="53"/>
      <c r="AI56" s="45">
        <f t="shared" si="9"/>
        <v>-96887</v>
      </c>
      <c r="AJ56" s="45"/>
      <c r="AK56" s="53">
        <v>-37339</v>
      </c>
      <c r="AL56" s="45"/>
      <c r="AM56" s="53">
        <v>0</v>
      </c>
      <c r="AN56" s="53"/>
      <c r="AO56" s="53">
        <v>24000</v>
      </c>
      <c r="AP56" s="53"/>
      <c r="AQ56" s="53">
        <v>830162</v>
      </c>
      <c r="AR56" s="53"/>
      <c r="AS56" s="45">
        <f t="shared" si="4"/>
        <v>671936</v>
      </c>
      <c r="AT56" s="45"/>
      <c r="AU56" s="53">
        <v>0</v>
      </c>
      <c r="AV56" s="53"/>
      <c r="AW56" s="53">
        <v>0</v>
      </c>
      <c r="AX56" s="53"/>
      <c r="AY56" s="53">
        <f t="shared" si="5"/>
        <v>927400</v>
      </c>
      <c r="AZ56" s="53"/>
      <c r="BA56" s="35" t="s">
        <v>75</v>
      </c>
      <c r="BC56" s="35" t="s">
        <v>76</v>
      </c>
      <c r="BD56" s="53"/>
      <c r="BE56" s="53">
        <v>0</v>
      </c>
      <c r="BF56" s="53"/>
      <c r="BG56" s="53">
        <v>0</v>
      </c>
      <c r="BH56" s="53"/>
      <c r="BI56" s="53">
        <f>769398+48760</f>
        <v>818158</v>
      </c>
      <c r="BJ56" s="53"/>
      <c r="BK56" s="53">
        <f>34879+13189</f>
        <v>48068</v>
      </c>
      <c r="BL56" s="53"/>
      <c r="BM56" s="53">
        <f t="shared" si="19"/>
        <v>866226</v>
      </c>
      <c r="BN56" s="54" t="s">
        <v>347</v>
      </c>
      <c r="BR56" s="65"/>
      <c r="BS56" s="53"/>
      <c r="BT56" s="53"/>
      <c r="BU56" s="53"/>
      <c r="BV56" s="53"/>
      <c r="BW56" s="53"/>
      <c r="BX56" s="45"/>
      <c r="BY56" s="45"/>
      <c r="BZ56" s="53"/>
      <c r="CA56" s="53"/>
      <c r="CB56" s="53"/>
      <c r="CC56" s="53"/>
      <c r="CD56" s="53"/>
      <c r="CE56" s="53"/>
      <c r="CF56" s="35"/>
      <c r="CH56" s="35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4"/>
    </row>
    <row r="57" spans="1:98" s="55" customFormat="1" ht="12.75" customHeight="1">
      <c r="A57" s="35" t="s">
        <v>77</v>
      </c>
      <c r="B57" s="65"/>
      <c r="C57" s="35" t="s">
        <v>43</v>
      </c>
      <c r="D57" s="44"/>
      <c r="E57" s="53">
        <f t="shared" si="7"/>
        <v>375438000</v>
      </c>
      <c r="F57" s="53"/>
      <c r="G57" s="53">
        <v>1926018000</v>
      </c>
      <c r="H57" s="53"/>
      <c r="I57" s="53">
        <v>2301456000</v>
      </c>
      <c r="J57" s="53"/>
      <c r="K57" s="53">
        <f t="shared" si="8"/>
        <v>97438000</v>
      </c>
      <c r="L57" s="53"/>
      <c r="M57" s="53">
        <v>1479941000</v>
      </c>
      <c r="N57" s="53"/>
      <c r="O57" s="53">
        <v>1577379000</v>
      </c>
      <c r="P57" s="53"/>
      <c r="Q57" s="53">
        <v>533581000</v>
      </c>
      <c r="R57" s="53"/>
      <c r="S57" s="53">
        <v>1546000</v>
      </c>
      <c r="T57" s="53"/>
      <c r="U57" s="53">
        <v>188950000</v>
      </c>
      <c r="V57" s="53"/>
      <c r="W57" s="53">
        <f t="shared" si="20"/>
        <v>724077000</v>
      </c>
      <c r="X57" s="53"/>
      <c r="Y57" s="35" t="s">
        <v>77</v>
      </c>
      <c r="AA57" s="35" t="s">
        <v>43</v>
      </c>
      <c r="AB57" s="35"/>
      <c r="AC57" s="53">
        <v>215004000</v>
      </c>
      <c r="AD57" s="53"/>
      <c r="AE57" s="53">
        <f>134664000-49535000</f>
        <v>85129000</v>
      </c>
      <c r="AF57" s="53"/>
      <c r="AG57" s="53">
        <v>49535000</v>
      </c>
      <c r="AH57" s="53"/>
      <c r="AI57" s="45">
        <f t="shared" si="9"/>
        <v>80340000</v>
      </c>
      <c r="AJ57" s="45"/>
      <c r="AK57" s="53">
        <v>-46698000</v>
      </c>
      <c r="AL57" s="45"/>
      <c r="AM57" s="53">
        <v>0</v>
      </c>
      <c r="AN57" s="53"/>
      <c r="AO57" s="53">
        <v>28000</v>
      </c>
      <c r="AP57" s="53"/>
      <c r="AQ57" s="53">
        <v>0</v>
      </c>
      <c r="AR57" s="53"/>
      <c r="AS57" s="45">
        <f t="shared" si="4"/>
        <v>33614000</v>
      </c>
      <c r="AT57" s="45"/>
      <c r="AU57" s="53">
        <v>0</v>
      </c>
      <c r="AV57" s="53"/>
      <c r="AW57" s="53">
        <v>0</v>
      </c>
      <c r="AX57" s="53"/>
      <c r="AY57" s="53">
        <f t="shared" si="5"/>
        <v>278000000</v>
      </c>
      <c r="AZ57" s="53"/>
      <c r="BA57" s="35" t="s">
        <v>77</v>
      </c>
      <c r="BC57" s="35" t="s">
        <v>43</v>
      </c>
      <c r="BD57" s="53"/>
      <c r="BE57" s="53">
        <f>62225000+1479941000</f>
        <v>1542166000</v>
      </c>
      <c r="BF57" s="53"/>
      <c r="BG57" s="53">
        <v>0</v>
      </c>
      <c r="BH57" s="53"/>
      <c r="BI57" s="53">
        <v>0</v>
      </c>
      <c r="BJ57" s="53"/>
      <c r="BK57" s="53">
        <v>0</v>
      </c>
      <c r="BL57" s="53"/>
      <c r="BM57" s="53">
        <f t="shared" si="19"/>
        <v>1542166000</v>
      </c>
      <c r="BN57" s="54" t="s">
        <v>347</v>
      </c>
      <c r="BR57" s="65"/>
      <c r="BS57" s="53"/>
      <c r="BT57" s="53"/>
      <c r="BU57" s="53"/>
      <c r="BV57" s="53"/>
      <c r="BW57" s="53"/>
      <c r="BX57" s="45"/>
      <c r="BY57" s="45"/>
      <c r="BZ57" s="53"/>
      <c r="CA57" s="53"/>
      <c r="CB57" s="53"/>
      <c r="CC57" s="53"/>
      <c r="CD57" s="53"/>
      <c r="CE57" s="53"/>
      <c r="CF57" s="35"/>
      <c r="CH57" s="35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4"/>
    </row>
    <row r="58" spans="1:98" s="55" customFormat="1" ht="12.75" customHeight="1">
      <c r="A58" s="35" t="s">
        <v>94</v>
      </c>
      <c r="B58" s="51"/>
      <c r="C58" s="35" t="s">
        <v>94</v>
      </c>
      <c r="D58" s="44"/>
      <c r="E58" s="53">
        <f t="shared" si="7"/>
        <v>6552147</v>
      </c>
      <c r="F58" s="53"/>
      <c r="G58" s="53">
        <v>15999294</v>
      </c>
      <c r="H58" s="53"/>
      <c r="I58" s="53">
        <v>22551441</v>
      </c>
      <c r="J58" s="53"/>
      <c r="K58" s="53">
        <f t="shared" si="8"/>
        <v>483125</v>
      </c>
      <c r="L58" s="53"/>
      <c r="M58" s="53">
        <v>11282753</v>
      </c>
      <c r="N58" s="53"/>
      <c r="O58" s="53">
        <v>11765878</v>
      </c>
      <c r="P58" s="53"/>
      <c r="Q58" s="53">
        <v>4406229</v>
      </c>
      <c r="R58" s="53"/>
      <c r="S58" s="53">
        <v>0</v>
      </c>
      <c r="T58" s="53"/>
      <c r="U58" s="53">
        <v>6379334</v>
      </c>
      <c r="V58" s="53"/>
      <c r="W58" s="53">
        <f>SUM(Q58:U58)</f>
        <v>10785563</v>
      </c>
      <c r="X58" s="53"/>
      <c r="Y58" s="35" t="str">
        <f>+A58</f>
        <v>Columbiana</v>
      </c>
      <c r="AA58" s="35" t="s">
        <v>94</v>
      </c>
      <c r="AB58" s="35"/>
      <c r="AC58" s="53">
        <v>1230296</v>
      </c>
      <c r="AD58" s="53"/>
      <c r="AE58" s="53">
        <f>1193219-566065</f>
        <v>627154</v>
      </c>
      <c r="AF58" s="53"/>
      <c r="AG58" s="53">
        <v>566065</v>
      </c>
      <c r="AH58" s="53"/>
      <c r="AI58" s="45">
        <f t="shared" si="9"/>
        <v>37077</v>
      </c>
      <c r="AJ58" s="45"/>
      <c r="AK58" s="53">
        <v>-489645</v>
      </c>
      <c r="AL58" s="45"/>
      <c r="AM58" s="53">
        <v>8202</v>
      </c>
      <c r="AN58" s="53"/>
      <c r="AO58" s="53">
        <v>0</v>
      </c>
      <c r="AP58" s="53"/>
      <c r="AQ58" s="53">
        <v>1121843</v>
      </c>
      <c r="AR58" s="53"/>
      <c r="AS58" s="45">
        <f t="shared" si="4"/>
        <v>677477</v>
      </c>
      <c r="AT58" s="45"/>
      <c r="AU58" s="53">
        <v>0</v>
      </c>
      <c r="AV58" s="53"/>
      <c r="AW58" s="53">
        <v>0</v>
      </c>
      <c r="AX58" s="53"/>
      <c r="AY58" s="53">
        <f>+E58-K58</f>
        <v>6069022</v>
      </c>
      <c r="AZ58" s="53"/>
      <c r="BA58" s="35" t="str">
        <f>+Y58</f>
        <v>Columbiana</v>
      </c>
      <c r="BC58" s="35" t="s">
        <v>94</v>
      </c>
      <c r="BD58" s="53"/>
      <c r="BE58" s="53">
        <v>0</v>
      </c>
      <c r="BF58" s="53"/>
      <c r="BG58" s="53">
        <f>6741000+220000</f>
        <v>6961000</v>
      </c>
      <c r="BH58" s="53"/>
      <c r="BI58" s="53">
        <f>274320+17145</f>
        <v>291465</v>
      </c>
      <c r="BJ58" s="53"/>
      <c r="BK58" s="53">
        <f>4250000+17433+90600+9946</f>
        <v>4367979</v>
      </c>
      <c r="BL58" s="53"/>
      <c r="BM58" s="53">
        <f t="shared" si="19"/>
        <v>11620444</v>
      </c>
      <c r="BN58" s="54" t="s">
        <v>347</v>
      </c>
      <c r="BO58" s="35"/>
      <c r="BR58" s="51"/>
      <c r="BS58" s="53"/>
      <c r="BT58" s="53"/>
      <c r="BU58" s="53"/>
      <c r="BV58" s="53"/>
      <c r="BW58" s="45"/>
      <c r="BX58" s="45"/>
      <c r="BY58" s="53"/>
      <c r="BZ58" s="53"/>
      <c r="CA58" s="53"/>
      <c r="CB58" s="53"/>
      <c r="CC58" s="53"/>
      <c r="CD58" s="53"/>
      <c r="CE58" s="53"/>
      <c r="CF58" s="35"/>
      <c r="CH58" s="35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4"/>
      <c r="CT58" s="35"/>
    </row>
    <row r="59" spans="1:98" s="55" customFormat="1" ht="12.75" customHeight="1">
      <c r="A59" s="35" t="s">
        <v>78</v>
      </c>
      <c r="B59" s="51"/>
      <c r="C59" s="35" t="s">
        <v>19</v>
      </c>
      <c r="D59" s="44"/>
      <c r="E59" s="53">
        <f t="shared" si="7"/>
        <v>716683</v>
      </c>
      <c r="F59" s="53"/>
      <c r="G59" s="53">
        <v>10069241</v>
      </c>
      <c r="H59" s="53"/>
      <c r="I59" s="53">
        <v>10785924</v>
      </c>
      <c r="J59" s="53"/>
      <c r="K59" s="53">
        <f t="shared" si="8"/>
        <v>876754</v>
      </c>
      <c r="L59" s="53"/>
      <c r="M59" s="53">
        <v>3564071</v>
      </c>
      <c r="N59" s="53"/>
      <c r="O59" s="53">
        <v>4440825</v>
      </c>
      <c r="P59" s="53"/>
      <c r="Q59" s="53">
        <v>5983516</v>
      </c>
      <c r="R59" s="53"/>
      <c r="S59" s="53">
        <v>0</v>
      </c>
      <c r="T59" s="53"/>
      <c r="U59" s="53">
        <v>361583</v>
      </c>
      <c r="V59" s="53"/>
      <c r="W59" s="53">
        <f t="shared" si="20"/>
        <v>6345099</v>
      </c>
      <c r="X59" s="53"/>
      <c r="Y59" s="35" t="s">
        <v>78</v>
      </c>
      <c r="AA59" s="35" t="s">
        <v>19</v>
      </c>
      <c r="AB59" s="35"/>
      <c r="AC59" s="53">
        <v>2414498</v>
      </c>
      <c r="AD59" s="53"/>
      <c r="AE59" s="53">
        <f>1798420-344247</f>
        <v>1454173</v>
      </c>
      <c r="AF59" s="53"/>
      <c r="AG59" s="53">
        <v>344247</v>
      </c>
      <c r="AH59" s="53"/>
      <c r="AI59" s="45">
        <f t="shared" si="9"/>
        <v>616078</v>
      </c>
      <c r="AJ59" s="45"/>
      <c r="AK59" s="53">
        <v>-48336</v>
      </c>
      <c r="AL59" s="45"/>
      <c r="AM59" s="53">
        <v>0</v>
      </c>
      <c r="AN59" s="53"/>
      <c r="AO59" s="53">
        <v>0</v>
      </c>
      <c r="AP59" s="53"/>
      <c r="AQ59" s="53">
        <v>0</v>
      </c>
      <c r="AR59" s="53"/>
      <c r="AS59" s="45">
        <f t="shared" si="4"/>
        <v>567742</v>
      </c>
      <c r="AT59" s="45"/>
      <c r="AU59" s="53">
        <v>0</v>
      </c>
      <c r="AV59" s="53"/>
      <c r="AW59" s="53">
        <v>0</v>
      </c>
      <c r="AX59" s="53"/>
      <c r="AY59" s="53">
        <f t="shared" si="5"/>
        <v>-160071</v>
      </c>
      <c r="AZ59" s="53"/>
      <c r="BA59" s="35" t="s">
        <v>78</v>
      </c>
      <c r="BC59" s="35" t="s">
        <v>19</v>
      </c>
      <c r="BD59" s="53"/>
      <c r="BE59" s="53">
        <v>0</v>
      </c>
      <c r="BF59" s="53"/>
      <c r="BG59" s="53">
        <v>0</v>
      </c>
      <c r="BH59" s="53"/>
      <c r="BI59" s="53">
        <f>24589+3045763+122667+1892+477413+15333</f>
        <v>3687657</v>
      </c>
      <c r="BJ59" s="53"/>
      <c r="BK59" s="53">
        <f>131052+240000+36909+150000</f>
        <v>557961</v>
      </c>
      <c r="BL59" s="53"/>
      <c r="BM59" s="53">
        <f t="shared" si="19"/>
        <v>4245618</v>
      </c>
      <c r="BN59" s="54" t="s">
        <v>347</v>
      </c>
      <c r="BR59" s="51"/>
      <c r="BS59" s="53"/>
      <c r="BT59" s="53"/>
      <c r="BU59" s="53"/>
      <c r="BV59" s="53"/>
      <c r="BW59" s="53"/>
      <c r="BX59" s="45"/>
      <c r="BY59" s="45"/>
      <c r="BZ59" s="53"/>
      <c r="CA59" s="53"/>
      <c r="CB59" s="53"/>
      <c r="CC59" s="53"/>
      <c r="CD59" s="53"/>
      <c r="CE59" s="53"/>
      <c r="CF59" s="35"/>
      <c r="CH59" s="35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4"/>
    </row>
    <row r="60" spans="1:98" s="55" customFormat="1" ht="12.75" customHeight="1">
      <c r="A60" s="35" t="s">
        <v>79</v>
      </c>
      <c r="C60" s="35" t="s">
        <v>80</v>
      </c>
      <c r="D60" s="44"/>
      <c r="E60" s="53">
        <f t="shared" si="7"/>
        <v>779805</v>
      </c>
      <c r="F60" s="53"/>
      <c r="G60" s="53">
        <v>5118721</v>
      </c>
      <c r="H60" s="53"/>
      <c r="I60" s="53">
        <v>5898526</v>
      </c>
      <c r="J60" s="53"/>
      <c r="K60" s="53">
        <f t="shared" si="8"/>
        <v>93883</v>
      </c>
      <c r="L60" s="53"/>
      <c r="M60" s="53">
        <v>127173</v>
      </c>
      <c r="N60" s="53"/>
      <c r="O60" s="53">
        <v>221056</v>
      </c>
      <c r="P60" s="53"/>
      <c r="Q60" s="53">
        <v>4979158</v>
      </c>
      <c r="R60" s="53"/>
      <c r="S60" s="53">
        <v>0</v>
      </c>
      <c r="T60" s="53"/>
      <c r="U60" s="53">
        <v>698312</v>
      </c>
      <c r="V60" s="53"/>
      <c r="W60" s="53">
        <f t="shared" si="20"/>
        <v>5677470</v>
      </c>
      <c r="X60" s="53"/>
      <c r="Y60" s="35" t="s">
        <v>79</v>
      </c>
      <c r="AA60" s="35" t="s">
        <v>80</v>
      </c>
      <c r="AB60" s="35"/>
      <c r="AC60" s="53">
        <v>688081</v>
      </c>
      <c r="AD60" s="53"/>
      <c r="AE60" s="53">
        <f>1109259-180487</f>
        <v>928772</v>
      </c>
      <c r="AF60" s="53"/>
      <c r="AG60" s="53">
        <v>180487</v>
      </c>
      <c r="AH60" s="53"/>
      <c r="AI60" s="45">
        <f t="shared" si="9"/>
        <v>-421178</v>
      </c>
      <c r="AJ60" s="45"/>
      <c r="AK60" s="53">
        <v>0</v>
      </c>
      <c r="AL60" s="45"/>
      <c r="AM60" s="53">
        <v>0</v>
      </c>
      <c r="AN60" s="53"/>
      <c r="AO60" s="53">
        <v>0</v>
      </c>
      <c r="AP60" s="53"/>
      <c r="AQ60" s="53">
        <v>0</v>
      </c>
      <c r="AR60" s="53"/>
      <c r="AS60" s="45">
        <f t="shared" si="4"/>
        <v>-421178</v>
      </c>
      <c r="AT60" s="45"/>
      <c r="AU60" s="53">
        <v>0</v>
      </c>
      <c r="AV60" s="53"/>
      <c r="AW60" s="53">
        <v>0</v>
      </c>
      <c r="AX60" s="53"/>
      <c r="AY60" s="53">
        <f t="shared" si="5"/>
        <v>685922</v>
      </c>
      <c r="AZ60" s="53"/>
      <c r="BA60" s="35" t="s">
        <v>79</v>
      </c>
      <c r="BC60" s="35" t="s">
        <v>80</v>
      </c>
      <c r="BD60" s="53"/>
      <c r="BE60" s="53">
        <v>0</v>
      </c>
      <c r="BF60" s="53"/>
      <c r="BG60" s="53">
        <v>0</v>
      </c>
      <c r="BH60" s="53"/>
      <c r="BI60" s="53">
        <f>105670+33893</f>
        <v>139563</v>
      </c>
      <c r="BJ60" s="53"/>
      <c r="BK60" s="53">
        <f>21503+43004</f>
        <v>64507</v>
      </c>
      <c r="BL60" s="53"/>
      <c r="BM60" s="53">
        <f t="shared" si="19"/>
        <v>204070</v>
      </c>
      <c r="BN60" s="54" t="s">
        <v>347</v>
      </c>
      <c r="BR60" s="51"/>
      <c r="BS60" s="53"/>
      <c r="BT60" s="53"/>
      <c r="BU60" s="53"/>
      <c r="BV60" s="53"/>
      <c r="BW60" s="53"/>
      <c r="BX60" s="45"/>
      <c r="BY60" s="45"/>
      <c r="BZ60" s="53"/>
      <c r="CA60" s="53"/>
      <c r="CB60" s="53"/>
      <c r="CC60" s="53"/>
      <c r="CD60" s="53"/>
      <c r="CE60" s="53"/>
      <c r="CF60" s="35"/>
      <c r="CH60" s="35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4"/>
    </row>
    <row r="61" spans="1:98" s="55" customFormat="1" ht="12.75" customHeight="1">
      <c r="A61" s="35" t="s">
        <v>81</v>
      </c>
      <c r="B61" s="51"/>
      <c r="C61" s="35" t="s">
        <v>81</v>
      </c>
      <c r="D61" s="44"/>
      <c r="E61" s="53">
        <f t="shared" si="7"/>
        <v>1191634</v>
      </c>
      <c r="F61" s="53"/>
      <c r="G61" s="53">
        <v>9034537</v>
      </c>
      <c r="H61" s="53"/>
      <c r="I61" s="53">
        <v>10226171</v>
      </c>
      <c r="J61" s="53"/>
      <c r="K61" s="53">
        <f t="shared" si="8"/>
        <v>305009</v>
      </c>
      <c r="L61" s="53"/>
      <c r="M61" s="53">
        <v>7809146</v>
      </c>
      <c r="N61" s="53"/>
      <c r="O61" s="53">
        <v>8114155</v>
      </c>
      <c r="P61" s="53"/>
      <c r="Q61" s="53">
        <v>1063048</v>
      </c>
      <c r="R61" s="53"/>
      <c r="S61" s="53">
        <v>0</v>
      </c>
      <c r="T61" s="53"/>
      <c r="U61" s="53">
        <v>1048968</v>
      </c>
      <c r="V61" s="53"/>
      <c r="W61" s="53">
        <f t="shared" si="20"/>
        <v>2112016</v>
      </c>
      <c r="X61" s="53"/>
      <c r="Y61" s="35" t="s">
        <v>81</v>
      </c>
      <c r="AA61" s="35" t="s">
        <v>81</v>
      </c>
      <c r="AB61" s="35"/>
      <c r="AC61" s="53">
        <v>1702647</v>
      </c>
      <c r="AD61" s="53"/>
      <c r="AE61" s="53">
        <f>1500174-369659</f>
        <v>1130515</v>
      </c>
      <c r="AF61" s="53"/>
      <c r="AG61" s="53">
        <v>369659</v>
      </c>
      <c r="AH61" s="53"/>
      <c r="AI61" s="45">
        <f t="shared" si="9"/>
        <v>202473</v>
      </c>
      <c r="AJ61" s="45"/>
      <c r="AK61" s="53">
        <v>-275304</v>
      </c>
      <c r="AL61" s="45"/>
      <c r="AM61" s="53">
        <v>0</v>
      </c>
      <c r="AN61" s="53"/>
      <c r="AO61" s="53">
        <v>0</v>
      </c>
      <c r="AP61" s="53"/>
      <c r="AQ61" s="53">
        <v>0</v>
      </c>
      <c r="AR61" s="53"/>
      <c r="AS61" s="45">
        <f t="shared" si="4"/>
        <v>-72831</v>
      </c>
      <c r="AT61" s="45"/>
      <c r="AU61" s="53">
        <v>0</v>
      </c>
      <c r="AV61" s="53"/>
      <c r="AW61" s="53">
        <v>0</v>
      </c>
      <c r="AX61" s="53"/>
      <c r="AY61" s="53">
        <f t="shared" si="5"/>
        <v>886625</v>
      </c>
      <c r="AZ61" s="53"/>
      <c r="BA61" s="35" t="s">
        <v>81</v>
      </c>
      <c r="BC61" s="35" t="s">
        <v>81</v>
      </c>
      <c r="BD61" s="53"/>
      <c r="BE61" s="53">
        <v>0</v>
      </c>
      <c r="BF61" s="53"/>
      <c r="BG61" s="53">
        <f>228604+250000</f>
        <v>478604</v>
      </c>
      <c r="BH61" s="53"/>
      <c r="BI61" s="53">
        <v>7492885</v>
      </c>
      <c r="BJ61" s="53"/>
      <c r="BK61" s="53">
        <f>87657+8026</f>
        <v>95683</v>
      </c>
      <c r="BL61" s="53"/>
      <c r="BM61" s="53">
        <f t="shared" si="19"/>
        <v>8067172</v>
      </c>
      <c r="BN61" s="54" t="s">
        <v>347</v>
      </c>
      <c r="BR61" s="51"/>
      <c r="BS61" s="53"/>
      <c r="BT61" s="53"/>
      <c r="BU61" s="53"/>
      <c r="BV61" s="53"/>
      <c r="BW61" s="53"/>
      <c r="BX61" s="45"/>
      <c r="BY61" s="45"/>
      <c r="BZ61" s="53"/>
      <c r="CA61" s="53"/>
      <c r="CB61" s="53"/>
      <c r="CC61" s="53"/>
      <c r="CD61" s="53"/>
      <c r="CE61" s="53"/>
      <c r="CF61" s="44"/>
      <c r="CH61" s="44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4"/>
    </row>
    <row r="62" spans="1:98" s="140" customFormat="1" ht="12.75" hidden="1" customHeight="1">
      <c r="A62" s="122" t="s">
        <v>465</v>
      </c>
      <c r="B62" s="122"/>
      <c r="C62" s="122" t="s">
        <v>57</v>
      </c>
      <c r="D62" s="121"/>
      <c r="E62" s="137">
        <f t="shared" si="7"/>
        <v>0</v>
      </c>
      <c r="F62" s="137"/>
      <c r="G62" s="137">
        <v>0</v>
      </c>
      <c r="H62" s="137"/>
      <c r="I62" s="137">
        <v>0</v>
      </c>
      <c r="J62" s="137"/>
      <c r="K62" s="137">
        <f t="shared" si="8"/>
        <v>0</v>
      </c>
      <c r="L62" s="137"/>
      <c r="M62" s="137">
        <v>0</v>
      </c>
      <c r="N62" s="137"/>
      <c r="O62" s="137">
        <v>0</v>
      </c>
      <c r="P62" s="137"/>
      <c r="Q62" s="137">
        <v>0</v>
      </c>
      <c r="R62" s="137"/>
      <c r="S62" s="137">
        <v>0</v>
      </c>
      <c r="T62" s="137"/>
      <c r="U62" s="137">
        <v>0</v>
      </c>
      <c r="V62" s="137"/>
      <c r="W62" s="137">
        <f t="shared" si="20"/>
        <v>0</v>
      </c>
      <c r="X62" s="137"/>
      <c r="Y62" s="122" t="s">
        <v>465</v>
      </c>
      <c r="Z62" s="122"/>
      <c r="AA62" s="122" t="s">
        <v>57</v>
      </c>
      <c r="AB62" s="126"/>
      <c r="AC62" s="137">
        <v>0</v>
      </c>
      <c r="AD62" s="137"/>
      <c r="AE62" s="137">
        <v>0</v>
      </c>
      <c r="AF62" s="137"/>
      <c r="AG62" s="137">
        <v>0</v>
      </c>
      <c r="AH62" s="137"/>
      <c r="AI62" s="127">
        <f t="shared" si="9"/>
        <v>0</v>
      </c>
      <c r="AJ62" s="127"/>
      <c r="AK62" s="137">
        <v>0</v>
      </c>
      <c r="AL62" s="127"/>
      <c r="AM62" s="137">
        <v>0</v>
      </c>
      <c r="AN62" s="137"/>
      <c r="AO62" s="137">
        <v>0</v>
      </c>
      <c r="AP62" s="137"/>
      <c r="AQ62" s="137">
        <v>0</v>
      </c>
      <c r="AR62" s="137"/>
      <c r="AS62" s="127">
        <f t="shared" si="4"/>
        <v>0</v>
      </c>
      <c r="AT62" s="127"/>
      <c r="AU62" s="137">
        <v>0</v>
      </c>
      <c r="AV62" s="137"/>
      <c r="AW62" s="137">
        <v>0</v>
      </c>
      <c r="AX62" s="137"/>
      <c r="AY62" s="137">
        <f t="shared" si="5"/>
        <v>0</v>
      </c>
      <c r="AZ62" s="137"/>
      <c r="BA62" s="122" t="s">
        <v>465</v>
      </c>
      <c r="BB62" s="122"/>
      <c r="BC62" s="122" t="s">
        <v>57</v>
      </c>
      <c r="BD62" s="137"/>
      <c r="BE62" s="137">
        <v>0</v>
      </c>
      <c r="BF62" s="137"/>
      <c r="BG62" s="137">
        <v>0</v>
      </c>
      <c r="BH62" s="137"/>
      <c r="BI62" s="137">
        <v>0</v>
      </c>
      <c r="BJ62" s="137"/>
      <c r="BK62" s="137">
        <v>0</v>
      </c>
      <c r="BL62" s="137"/>
      <c r="BM62" s="137">
        <f t="shared" si="19"/>
        <v>0</v>
      </c>
      <c r="BN62" s="139" t="s">
        <v>347</v>
      </c>
      <c r="BR62" s="124"/>
      <c r="BS62" s="137"/>
      <c r="BT62" s="137"/>
      <c r="BU62" s="137"/>
      <c r="BV62" s="137"/>
      <c r="BW62" s="137"/>
      <c r="BX62" s="127"/>
      <c r="BY62" s="127"/>
      <c r="BZ62" s="137"/>
      <c r="CA62" s="137"/>
      <c r="CB62" s="137"/>
      <c r="CC62" s="137"/>
      <c r="CD62" s="137"/>
      <c r="CE62" s="137"/>
      <c r="CF62" s="126"/>
      <c r="CH62" s="126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9"/>
    </row>
    <row r="63" spans="1:98" s="55" customFormat="1" ht="12.75" customHeight="1">
      <c r="A63" s="35" t="s">
        <v>82</v>
      </c>
      <c r="B63" s="51"/>
      <c r="C63" s="35" t="s">
        <v>13</v>
      </c>
      <c r="D63" s="44"/>
      <c r="E63" s="53">
        <f t="shared" si="7"/>
        <v>23765584</v>
      </c>
      <c r="F63" s="53"/>
      <c r="G63" s="53">
        <v>2225626</v>
      </c>
      <c r="H63" s="53"/>
      <c r="I63" s="53">
        <v>25991210</v>
      </c>
      <c r="J63" s="53"/>
      <c r="K63" s="53">
        <f t="shared" si="8"/>
        <v>1554779</v>
      </c>
      <c r="L63" s="53"/>
      <c r="M63" s="53">
        <v>6810484</v>
      </c>
      <c r="N63" s="53"/>
      <c r="O63" s="53">
        <v>8365263</v>
      </c>
      <c r="P63" s="53"/>
      <c r="Q63" s="53">
        <v>14976322</v>
      </c>
      <c r="R63" s="53"/>
      <c r="S63" s="53">
        <v>0</v>
      </c>
      <c r="T63" s="53"/>
      <c r="U63" s="53">
        <v>2649625</v>
      </c>
      <c r="V63" s="53"/>
      <c r="W63" s="53">
        <f t="shared" ref="W63:W64" si="21">SUM(Q63:U63)</f>
        <v>17625947</v>
      </c>
      <c r="X63" s="53"/>
      <c r="Y63" s="35" t="s">
        <v>82</v>
      </c>
      <c r="AA63" s="35" t="s">
        <v>13</v>
      </c>
      <c r="AB63" s="35"/>
      <c r="AC63" s="53">
        <v>6151949</v>
      </c>
      <c r="AD63" s="53"/>
      <c r="AE63" s="53">
        <f>5170687-863795</f>
        <v>4306892</v>
      </c>
      <c r="AF63" s="53"/>
      <c r="AG63" s="53">
        <v>863795</v>
      </c>
      <c r="AH63" s="53"/>
      <c r="AI63" s="45">
        <f t="shared" si="9"/>
        <v>981262</v>
      </c>
      <c r="AJ63" s="45"/>
      <c r="AK63" s="53">
        <v>-344413</v>
      </c>
      <c r="AL63" s="45"/>
      <c r="AM63" s="53">
        <v>0</v>
      </c>
      <c r="AN63" s="53"/>
      <c r="AO63" s="53">
        <v>859</v>
      </c>
      <c r="AP63" s="53"/>
      <c r="AQ63" s="53">
        <v>0</v>
      </c>
      <c r="AR63" s="53"/>
      <c r="AS63" s="45">
        <f t="shared" si="4"/>
        <v>635990</v>
      </c>
      <c r="AT63" s="45"/>
      <c r="AU63" s="53">
        <v>0</v>
      </c>
      <c r="AV63" s="53"/>
      <c r="AW63" s="53">
        <v>0</v>
      </c>
      <c r="AX63" s="53"/>
      <c r="AY63" s="53">
        <f t="shared" si="5"/>
        <v>22210805</v>
      </c>
      <c r="AZ63" s="53"/>
      <c r="BA63" s="35" t="s">
        <v>82</v>
      </c>
      <c r="BC63" s="35" t="s">
        <v>13</v>
      </c>
      <c r="BD63" s="53"/>
      <c r="BE63" s="53">
        <f>1907000+112440+265000</f>
        <v>2284440</v>
      </c>
      <c r="BF63" s="53"/>
      <c r="BG63" s="53">
        <v>0</v>
      </c>
      <c r="BH63" s="53"/>
      <c r="BI63" s="53">
        <v>0</v>
      </c>
      <c r="BJ63" s="53"/>
      <c r="BK63" s="53">
        <f>205403+4330641+255000+44616+85000+48815</f>
        <v>4969475</v>
      </c>
      <c r="BL63" s="53"/>
      <c r="BM63" s="53">
        <f t="shared" si="19"/>
        <v>7253915</v>
      </c>
      <c r="BN63" s="54" t="s">
        <v>347</v>
      </c>
      <c r="BR63" s="51"/>
      <c r="BS63" s="53"/>
      <c r="BT63" s="53"/>
      <c r="BU63" s="53"/>
      <c r="BV63" s="53"/>
      <c r="BW63" s="53"/>
      <c r="BX63" s="45"/>
      <c r="BY63" s="45"/>
      <c r="BZ63" s="53"/>
      <c r="CA63" s="53"/>
      <c r="CB63" s="53"/>
      <c r="CC63" s="53"/>
      <c r="CD63" s="53"/>
      <c r="CE63" s="53"/>
      <c r="CF63" s="35"/>
      <c r="CH63" s="35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4"/>
    </row>
    <row r="64" spans="1:98" s="55" customFormat="1" ht="12.75" customHeight="1">
      <c r="A64" s="35" t="s">
        <v>83</v>
      </c>
      <c r="B64" s="51"/>
      <c r="C64" s="35" t="s">
        <v>66</v>
      </c>
      <c r="D64" s="44"/>
      <c r="E64" s="53">
        <f t="shared" si="7"/>
        <v>35569134</v>
      </c>
      <c r="F64" s="53"/>
      <c r="G64" s="53">
        <v>89592294</v>
      </c>
      <c r="H64" s="53"/>
      <c r="I64" s="53">
        <v>125161428</v>
      </c>
      <c r="J64" s="53"/>
      <c r="K64" s="53">
        <f t="shared" si="8"/>
        <v>5548785</v>
      </c>
      <c r="L64" s="53"/>
      <c r="M64" s="53">
        <v>10448424</v>
      </c>
      <c r="N64" s="53"/>
      <c r="O64" s="53">
        <v>15997209</v>
      </c>
      <c r="P64" s="53"/>
      <c r="Q64" s="53">
        <v>70793843</v>
      </c>
      <c r="R64" s="53"/>
      <c r="S64" s="53">
        <v>0</v>
      </c>
      <c r="T64" s="53"/>
      <c r="U64" s="53">
        <v>38370376</v>
      </c>
      <c r="V64" s="53"/>
      <c r="W64" s="53">
        <f t="shared" si="21"/>
        <v>109164219</v>
      </c>
      <c r="X64" s="53"/>
      <c r="Y64" s="35" t="s">
        <v>83</v>
      </c>
      <c r="AA64" s="35" t="s">
        <v>66</v>
      </c>
      <c r="AB64" s="35"/>
      <c r="AC64" s="53">
        <v>32558557</v>
      </c>
      <c r="AD64" s="53"/>
      <c r="AE64" s="53">
        <f>30614757-7652896</f>
        <v>22961861</v>
      </c>
      <c r="AF64" s="53"/>
      <c r="AG64" s="53">
        <v>7652896</v>
      </c>
      <c r="AH64" s="53"/>
      <c r="AI64" s="45">
        <f t="shared" si="9"/>
        <v>1943800</v>
      </c>
      <c r="AJ64" s="45"/>
      <c r="AK64" s="53">
        <v>-429095</v>
      </c>
      <c r="AL64" s="45"/>
      <c r="AM64" s="53">
        <v>0</v>
      </c>
      <c r="AN64" s="53"/>
      <c r="AO64" s="53">
        <v>0</v>
      </c>
      <c r="AP64" s="53"/>
      <c r="AQ64" s="53">
        <v>2059066</v>
      </c>
      <c r="AR64" s="53"/>
      <c r="AS64" s="45">
        <f t="shared" si="4"/>
        <v>3573771</v>
      </c>
      <c r="AT64" s="45"/>
      <c r="AU64" s="53">
        <v>0</v>
      </c>
      <c r="AV64" s="53"/>
      <c r="AW64" s="53">
        <v>0</v>
      </c>
      <c r="AX64" s="53"/>
      <c r="AY64" s="53">
        <f t="shared" si="5"/>
        <v>30020349</v>
      </c>
      <c r="AZ64" s="53"/>
      <c r="BA64" s="35" t="s">
        <v>83</v>
      </c>
      <c r="BC64" s="35" t="s">
        <v>66</v>
      </c>
      <c r="BD64" s="53"/>
      <c r="BE64" s="53">
        <v>0</v>
      </c>
      <c r="BF64" s="53"/>
      <c r="BG64" s="53">
        <v>0</v>
      </c>
      <c r="BH64" s="53"/>
      <c r="BI64" s="53">
        <f>9734207+450000+702970+50000</f>
        <v>10937177</v>
      </c>
      <c r="BJ64" s="53"/>
      <c r="BK64" s="53">
        <f>264217+345317</f>
        <v>609534</v>
      </c>
      <c r="BL64" s="53"/>
      <c r="BM64" s="53">
        <f t="shared" si="19"/>
        <v>11546711</v>
      </c>
      <c r="BN64" s="54" t="s">
        <v>347</v>
      </c>
      <c r="BR64" s="51"/>
      <c r="BS64" s="53"/>
      <c r="BT64" s="53"/>
      <c r="BU64" s="53"/>
      <c r="BV64" s="53"/>
      <c r="BW64" s="45"/>
      <c r="BX64" s="45"/>
      <c r="BY64" s="53"/>
      <c r="BZ64" s="53"/>
      <c r="CA64" s="53"/>
      <c r="CB64" s="53"/>
      <c r="CC64" s="53"/>
      <c r="CD64" s="53"/>
      <c r="CE64" s="53"/>
      <c r="CF64" s="35"/>
      <c r="CH64" s="35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4"/>
    </row>
    <row r="65" spans="1:105" s="140" customFormat="1" ht="12.75" hidden="1" customHeight="1">
      <c r="A65" s="126" t="s">
        <v>84</v>
      </c>
      <c r="B65" s="124"/>
      <c r="C65" s="126" t="s">
        <v>45</v>
      </c>
      <c r="D65" s="121"/>
      <c r="E65" s="53">
        <f t="shared" si="7"/>
        <v>0</v>
      </c>
      <c r="F65" s="53"/>
      <c r="G65" s="53">
        <v>0</v>
      </c>
      <c r="H65" s="53"/>
      <c r="I65" s="53">
        <v>0</v>
      </c>
      <c r="J65" s="53"/>
      <c r="K65" s="53">
        <f t="shared" si="8"/>
        <v>0</v>
      </c>
      <c r="L65" s="53"/>
      <c r="M65" s="53">
        <v>0</v>
      </c>
      <c r="N65" s="53"/>
      <c r="O65" s="53">
        <v>0</v>
      </c>
      <c r="P65" s="53"/>
      <c r="Q65" s="53">
        <v>0</v>
      </c>
      <c r="R65" s="53"/>
      <c r="S65" s="53">
        <v>0</v>
      </c>
      <c r="T65" s="53"/>
      <c r="U65" s="53">
        <v>0</v>
      </c>
      <c r="V65" s="137"/>
      <c r="W65" s="137">
        <f t="shared" si="18"/>
        <v>0</v>
      </c>
      <c r="X65" s="137"/>
      <c r="Y65" s="126" t="s">
        <v>84</v>
      </c>
      <c r="AA65" s="126" t="s">
        <v>45</v>
      </c>
      <c r="AB65" s="126"/>
      <c r="AC65" s="53">
        <v>0</v>
      </c>
      <c r="AD65" s="53"/>
      <c r="AE65" s="53">
        <v>0</v>
      </c>
      <c r="AF65" s="53"/>
      <c r="AG65" s="53">
        <v>0</v>
      </c>
      <c r="AH65" s="53"/>
      <c r="AI65" s="45">
        <f t="shared" si="9"/>
        <v>0</v>
      </c>
      <c r="AJ65" s="45"/>
      <c r="AK65" s="53">
        <v>0</v>
      </c>
      <c r="AL65" s="45"/>
      <c r="AM65" s="53">
        <v>0</v>
      </c>
      <c r="AN65" s="53"/>
      <c r="AO65" s="53">
        <v>0</v>
      </c>
      <c r="AP65" s="53"/>
      <c r="AQ65" s="53">
        <v>0</v>
      </c>
      <c r="AR65" s="137"/>
      <c r="AS65" s="45">
        <f t="shared" si="4"/>
        <v>0</v>
      </c>
      <c r="AT65" s="127"/>
      <c r="AU65" s="137">
        <v>0</v>
      </c>
      <c r="AV65" s="137"/>
      <c r="AW65" s="137">
        <v>0</v>
      </c>
      <c r="AX65" s="137"/>
      <c r="AY65" s="137">
        <f t="shared" si="5"/>
        <v>0</v>
      </c>
      <c r="AZ65" s="137"/>
      <c r="BA65" s="126" t="s">
        <v>84</v>
      </c>
      <c r="BC65" s="126" t="s">
        <v>45</v>
      </c>
      <c r="BD65" s="137"/>
      <c r="BE65" s="53">
        <v>0</v>
      </c>
      <c r="BF65" s="53"/>
      <c r="BG65" s="53">
        <v>0</v>
      </c>
      <c r="BH65" s="53"/>
      <c r="BI65" s="53">
        <v>0</v>
      </c>
      <c r="BJ65" s="53"/>
      <c r="BK65" s="53">
        <v>0</v>
      </c>
      <c r="BL65" s="137"/>
      <c r="BM65" s="137">
        <f t="shared" si="19"/>
        <v>0</v>
      </c>
      <c r="BN65" s="139" t="s">
        <v>347</v>
      </c>
      <c r="BR65" s="124"/>
      <c r="BS65" s="137"/>
      <c r="BT65" s="137"/>
      <c r="BU65" s="137"/>
      <c r="BV65" s="137"/>
      <c r="BW65" s="127"/>
      <c r="BX65" s="127"/>
      <c r="BY65" s="137"/>
      <c r="BZ65" s="137"/>
      <c r="CA65" s="137"/>
      <c r="CB65" s="137"/>
      <c r="CC65" s="137"/>
      <c r="CD65" s="137"/>
      <c r="CE65" s="137"/>
      <c r="CF65" s="126"/>
      <c r="CH65" s="126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9"/>
    </row>
    <row r="66" spans="1:105" s="55" customFormat="1" ht="12.75" customHeight="1">
      <c r="A66" s="35" t="s">
        <v>85</v>
      </c>
      <c r="B66" s="51"/>
      <c r="C66" s="35" t="s">
        <v>85</v>
      </c>
      <c r="D66" s="44"/>
      <c r="E66" s="53">
        <f t="shared" si="7"/>
        <v>4226104</v>
      </c>
      <c r="F66" s="53"/>
      <c r="G66" s="53">
        <v>39562211</v>
      </c>
      <c r="H66" s="53"/>
      <c r="I66" s="53">
        <v>43788315</v>
      </c>
      <c r="J66" s="53"/>
      <c r="K66" s="53">
        <f t="shared" si="8"/>
        <v>6863721</v>
      </c>
      <c r="L66" s="53"/>
      <c r="M66" s="53">
        <v>24748477</v>
      </c>
      <c r="N66" s="53"/>
      <c r="O66" s="53">
        <v>31612198</v>
      </c>
      <c r="P66" s="53"/>
      <c r="Q66" s="53">
        <v>8335090</v>
      </c>
      <c r="R66" s="53"/>
      <c r="S66" s="53">
        <v>0</v>
      </c>
      <c r="T66" s="53"/>
      <c r="U66" s="53">
        <v>3841027</v>
      </c>
      <c r="V66" s="53"/>
      <c r="W66" s="53">
        <f t="shared" si="18"/>
        <v>12176117</v>
      </c>
      <c r="X66" s="53"/>
      <c r="Y66" s="35" t="s">
        <v>85</v>
      </c>
      <c r="AA66" s="35" t="s">
        <v>85</v>
      </c>
      <c r="AB66" s="35"/>
      <c r="AC66" s="53">
        <v>5524512</v>
      </c>
      <c r="AD66" s="53"/>
      <c r="AE66" s="53">
        <f>4937083-569759</f>
        <v>4367324</v>
      </c>
      <c r="AF66" s="53"/>
      <c r="AG66" s="53">
        <v>569759</v>
      </c>
      <c r="AH66" s="53"/>
      <c r="AI66" s="45">
        <f t="shared" si="9"/>
        <v>587429</v>
      </c>
      <c r="AJ66" s="45"/>
      <c r="AK66" s="53">
        <f>-671978+2206289</f>
        <v>1534311</v>
      </c>
      <c r="AL66" s="45"/>
      <c r="AM66" s="53">
        <v>6836</v>
      </c>
      <c r="AN66" s="53"/>
      <c r="AO66" s="53">
        <v>0</v>
      </c>
      <c r="AP66" s="53"/>
      <c r="AQ66" s="53">
        <v>581725</v>
      </c>
      <c r="AR66" s="53"/>
      <c r="AS66" s="45">
        <f t="shared" si="4"/>
        <v>2710301</v>
      </c>
      <c r="AT66" s="45"/>
      <c r="AU66" s="53">
        <v>0</v>
      </c>
      <c r="AV66" s="53"/>
      <c r="AW66" s="53">
        <v>0</v>
      </c>
      <c r="AX66" s="53"/>
      <c r="AY66" s="53">
        <f t="shared" si="5"/>
        <v>-2637617</v>
      </c>
      <c r="AZ66" s="53"/>
      <c r="BA66" s="35" t="s">
        <v>85</v>
      </c>
      <c r="BC66" s="35" t="s">
        <v>85</v>
      </c>
      <c r="BD66" s="53"/>
      <c r="BE66" s="53">
        <v>0</v>
      </c>
      <c r="BF66" s="53"/>
      <c r="BG66" s="53">
        <v>0</v>
      </c>
      <c r="BH66" s="53"/>
      <c r="BI66" s="53">
        <f>91032+24531981+10710+1134216</f>
        <v>25767939</v>
      </c>
      <c r="BJ66" s="53"/>
      <c r="BK66" s="53">
        <f>86952+38512+7230+38311</f>
        <v>171005</v>
      </c>
      <c r="BL66" s="53"/>
      <c r="BM66" s="53">
        <f t="shared" si="19"/>
        <v>25938944</v>
      </c>
      <c r="BN66" s="54" t="s">
        <v>347</v>
      </c>
      <c r="BR66" s="51"/>
      <c r="BS66" s="53"/>
      <c r="BT66" s="53"/>
      <c r="BU66" s="53"/>
      <c r="BV66" s="53"/>
      <c r="BW66" s="45"/>
      <c r="BX66" s="45"/>
      <c r="BY66" s="53"/>
      <c r="BZ66" s="53"/>
      <c r="CA66" s="53"/>
      <c r="CB66" s="53"/>
      <c r="CC66" s="53"/>
      <c r="CD66" s="53"/>
      <c r="CE66" s="53"/>
      <c r="CF66" s="35"/>
      <c r="CH66" s="35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4"/>
    </row>
    <row r="67" spans="1:105" s="55" customFormat="1" ht="12.75" customHeight="1">
      <c r="A67" s="35" t="s">
        <v>86</v>
      </c>
      <c r="B67" s="51"/>
      <c r="C67" s="35" t="s">
        <v>86</v>
      </c>
      <c r="D67" s="44"/>
      <c r="E67" s="53">
        <f t="shared" si="7"/>
        <v>6342803</v>
      </c>
      <c r="F67" s="53"/>
      <c r="G67" s="53">
        <v>66161496</v>
      </c>
      <c r="H67" s="53"/>
      <c r="I67" s="53">
        <v>72504299</v>
      </c>
      <c r="J67" s="53"/>
      <c r="K67" s="53">
        <f t="shared" si="8"/>
        <v>2398884</v>
      </c>
      <c r="L67" s="53"/>
      <c r="M67" s="53">
        <v>40379506</v>
      </c>
      <c r="N67" s="53"/>
      <c r="O67" s="53">
        <v>42778390</v>
      </c>
      <c r="P67" s="53"/>
      <c r="Q67" s="53">
        <v>24172976</v>
      </c>
      <c r="R67" s="53"/>
      <c r="S67" s="53">
        <v>0</v>
      </c>
      <c r="T67" s="53"/>
      <c r="U67" s="53">
        <v>5552933</v>
      </c>
      <c r="V67" s="53"/>
      <c r="W67" s="53">
        <f t="shared" si="18"/>
        <v>29725909</v>
      </c>
      <c r="X67" s="53"/>
      <c r="Y67" s="35" t="s">
        <v>86</v>
      </c>
      <c r="AA67" s="35" t="s">
        <v>86</v>
      </c>
      <c r="AB67" s="35"/>
      <c r="AC67" s="53">
        <v>6878506</v>
      </c>
      <c r="AD67" s="53"/>
      <c r="AE67" s="53">
        <f>5761252-2523610</f>
        <v>3237642</v>
      </c>
      <c r="AF67" s="53"/>
      <c r="AG67" s="53">
        <v>2523610</v>
      </c>
      <c r="AH67" s="53"/>
      <c r="AI67" s="45">
        <f t="shared" si="9"/>
        <v>1117254</v>
      </c>
      <c r="AJ67" s="45"/>
      <c r="AK67" s="53">
        <v>-1691000</v>
      </c>
      <c r="AL67" s="45"/>
      <c r="AM67" s="53">
        <v>0</v>
      </c>
      <c r="AN67" s="53"/>
      <c r="AO67" s="53">
        <v>0</v>
      </c>
      <c r="AP67" s="53"/>
      <c r="AQ67" s="53">
        <v>165405</v>
      </c>
      <c r="AR67" s="53"/>
      <c r="AS67" s="45">
        <f t="shared" si="4"/>
        <v>-408341</v>
      </c>
      <c r="AT67" s="45"/>
      <c r="AU67" s="53">
        <v>0</v>
      </c>
      <c r="AV67" s="53"/>
      <c r="AW67" s="53">
        <v>0</v>
      </c>
      <c r="AX67" s="53"/>
      <c r="AY67" s="53">
        <f t="shared" si="5"/>
        <v>3943919</v>
      </c>
      <c r="AZ67" s="53"/>
      <c r="BA67" s="35" t="s">
        <v>86</v>
      </c>
      <c r="BC67" s="35" t="s">
        <v>86</v>
      </c>
      <c r="BD67" s="53"/>
      <c r="BE67" s="53">
        <f>4191287+14855000+574000+165000</f>
        <v>19785287</v>
      </c>
      <c r="BF67" s="53"/>
      <c r="BG67" s="53">
        <v>0</v>
      </c>
      <c r="BH67" s="53"/>
      <c r="BI67" s="53">
        <f>21111630+1090267</f>
        <v>22201897</v>
      </c>
      <c r="BJ67" s="53"/>
      <c r="BK67" s="53">
        <f>1336+220253+40069</f>
        <v>261658</v>
      </c>
      <c r="BL67" s="53"/>
      <c r="BM67" s="53">
        <f t="shared" si="19"/>
        <v>42248842</v>
      </c>
      <c r="BN67" s="54" t="s">
        <v>347</v>
      </c>
      <c r="BR67" s="51"/>
      <c r="BS67" s="53"/>
      <c r="BT67" s="53"/>
      <c r="BU67" s="53"/>
      <c r="BV67" s="53"/>
      <c r="BW67" s="45"/>
      <c r="BX67" s="45"/>
      <c r="BY67" s="53"/>
      <c r="BZ67" s="53"/>
      <c r="CA67" s="53"/>
      <c r="CB67" s="53"/>
      <c r="CC67" s="53"/>
      <c r="CD67" s="53"/>
      <c r="CE67" s="53"/>
      <c r="CF67" s="35"/>
      <c r="CH67" s="35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4"/>
    </row>
    <row r="68" spans="1:105" s="55" customFormat="1" ht="12.75" customHeight="1">
      <c r="A68" s="64" t="s">
        <v>87</v>
      </c>
      <c r="B68" s="90"/>
      <c r="C68" s="64" t="s">
        <v>88</v>
      </c>
      <c r="D68" s="46"/>
      <c r="E68" s="53">
        <f t="shared" si="7"/>
        <v>2871834</v>
      </c>
      <c r="F68" s="53"/>
      <c r="G68" s="53">
        <v>33562792</v>
      </c>
      <c r="H68" s="53"/>
      <c r="I68" s="53">
        <v>36434626</v>
      </c>
      <c r="J68" s="53"/>
      <c r="K68" s="53">
        <f t="shared" si="8"/>
        <v>2037356</v>
      </c>
      <c r="L68" s="53"/>
      <c r="M68" s="53">
        <v>27581845</v>
      </c>
      <c r="N68" s="53"/>
      <c r="O68" s="53">
        <v>29619201</v>
      </c>
      <c r="P68" s="53"/>
      <c r="Q68" s="53">
        <v>4158243</v>
      </c>
      <c r="R68" s="53"/>
      <c r="S68" s="53">
        <v>0</v>
      </c>
      <c r="T68" s="53"/>
      <c r="U68" s="53">
        <v>2657182</v>
      </c>
      <c r="V68" s="53"/>
      <c r="W68" s="53">
        <f t="shared" si="18"/>
        <v>6815425</v>
      </c>
      <c r="X68" s="79"/>
      <c r="Y68" s="64" t="s">
        <v>87</v>
      </c>
      <c r="Z68" s="90"/>
      <c r="AA68" s="64" t="s">
        <v>88</v>
      </c>
      <c r="AB68" s="64"/>
      <c r="AC68" s="53">
        <v>3136540</v>
      </c>
      <c r="AD68" s="53"/>
      <c r="AE68" s="53">
        <f>3468559-2026379</f>
        <v>1442180</v>
      </c>
      <c r="AF68" s="53"/>
      <c r="AG68" s="53">
        <v>2026379</v>
      </c>
      <c r="AH68" s="53"/>
      <c r="AI68" s="45">
        <f t="shared" si="9"/>
        <v>-332019</v>
      </c>
      <c r="AJ68" s="45"/>
      <c r="AK68" s="53">
        <v>1262460</v>
      </c>
      <c r="AL68" s="45"/>
      <c r="AM68" s="53">
        <v>630000</v>
      </c>
      <c r="AN68" s="53"/>
      <c r="AO68" s="53">
        <v>0</v>
      </c>
      <c r="AP68" s="53"/>
      <c r="AQ68" s="53">
        <v>0</v>
      </c>
      <c r="AR68" s="53"/>
      <c r="AS68" s="45">
        <f t="shared" si="4"/>
        <v>1560441</v>
      </c>
      <c r="AT68" s="45"/>
      <c r="AU68" s="53">
        <v>0</v>
      </c>
      <c r="AV68" s="53"/>
      <c r="AW68" s="53">
        <v>0</v>
      </c>
      <c r="AX68" s="53"/>
      <c r="AY68" s="53">
        <f t="shared" si="5"/>
        <v>834478</v>
      </c>
      <c r="AZ68" s="79"/>
      <c r="BA68" s="64" t="s">
        <v>87</v>
      </c>
      <c r="BB68" s="90"/>
      <c r="BC68" s="64" t="s">
        <v>88</v>
      </c>
      <c r="BD68" s="79"/>
      <c r="BE68" s="53">
        <v>0</v>
      </c>
      <c r="BF68" s="53"/>
      <c r="BG68" s="53">
        <v>0</v>
      </c>
      <c r="BH68" s="53"/>
      <c r="BI68" s="53">
        <f>27510243+1894306</f>
        <v>29404549</v>
      </c>
      <c r="BJ68" s="53"/>
      <c r="BK68" s="53">
        <f>71602+42537</f>
        <v>114139</v>
      </c>
      <c r="BL68" s="53"/>
      <c r="BM68" s="53">
        <f t="shared" si="19"/>
        <v>29518688</v>
      </c>
      <c r="BN68" s="54" t="s">
        <v>347</v>
      </c>
      <c r="BO68" s="35"/>
      <c r="BP68" s="35"/>
      <c r="BR68" s="51"/>
      <c r="BS68" s="53"/>
      <c r="BT68" s="53"/>
      <c r="BU68" s="53"/>
      <c r="BV68" s="53"/>
      <c r="BW68" s="45"/>
      <c r="BX68" s="45"/>
      <c r="BY68" s="53"/>
      <c r="BZ68" s="53"/>
      <c r="CA68" s="53"/>
      <c r="CB68" s="53"/>
      <c r="CC68" s="53"/>
      <c r="CD68" s="53"/>
      <c r="CE68" s="53"/>
      <c r="CF68" s="35"/>
      <c r="CH68" s="35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4"/>
      <c r="CT68" s="35"/>
      <c r="CU68" s="35"/>
    </row>
    <row r="69" spans="1:105" s="55" customFormat="1" ht="12.75" customHeight="1">
      <c r="A69" s="35" t="s">
        <v>394</v>
      </c>
      <c r="B69" s="51"/>
      <c r="C69" s="35" t="s">
        <v>89</v>
      </c>
      <c r="D69" s="44"/>
      <c r="E69" s="53">
        <f t="shared" si="7"/>
        <v>4209289</v>
      </c>
      <c r="F69" s="53"/>
      <c r="G69" s="53">
        <v>23140783</v>
      </c>
      <c r="H69" s="53"/>
      <c r="I69" s="53">
        <v>27350072</v>
      </c>
      <c r="J69" s="53"/>
      <c r="K69" s="53">
        <f t="shared" si="8"/>
        <v>198684</v>
      </c>
      <c r="L69" s="53"/>
      <c r="M69" s="53">
        <v>12555217</v>
      </c>
      <c r="N69" s="53"/>
      <c r="O69" s="53">
        <v>12753901</v>
      </c>
      <c r="P69" s="53"/>
      <c r="Q69" s="53">
        <v>10857942</v>
      </c>
      <c r="R69" s="53"/>
      <c r="S69" s="53">
        <v>0</v>
      </c>
      <c r="T69" s="53"/>
      <c r="U69" s="53">
        <v>3738229</v>
      </c>
      <c r="V69" s="53"/>
      <c r="W69" s="53">
        <f t="shared" si="18"/>
        <v>14596171</v>
      </c>
      <c r="X69" s="53"/>
      <c r="Y69" s="35" t="s">
        <v>394</v>
      </c>
      <c r="AA69" s="35" t="s">
        <v>89</v>
      </c>
      <c r="AB69" s="35"/>
      <c r="AC69" s="53">
        <v>3182888</v>
      </c>
      <c r="AD69" s="53"/>
      <c r="AE69" s="53">
        <f>2629849-1016494</f>
        <v>1613355</v>
      </c>
      <c r="AF69" s="53"/>
      <c r="AG69" s="53">
        <v>1016494</v>
      </c>
      <c r="AH69" s="53"/>
      <c r="AI69" s="45">
        <f t="shared" si="9"/>
        <v>553039</v>
      </c>
      <c r="AJ69" s="45"/>
      <c r="AK69" s="53">
        <v>-425720</v>
      </c>
      <c r="AL69" s="45"/>
      <c r="AM69" s="53">
        <v>0</v>
      </c>
      <c r="AN69" s="53"/>
      <c r="AO69" s="53">
        <v>0</v>
      </c>
      <c r="AP69" s="53"/>
      <c r="AQ69" s="53">
        <v>0</v>
      </c>
      <c r="AR69" s="53"/>
      <c r="AS69" s="45">
        <f t="shared" si="4"/>
        <v>127319</v>
      </c>
      <c r="AT69" s="45"/>
      <c r="AU69" s="53">
        <v>0</v>
      </c>
      <c r="AV69" s="53"/>
      <c r="AW69" s="53">
        <v>0</v>
      </c>
      <c r="AX69" s="53"/>
      <c r="AY69" s="53">
        <f t="shared" si="5"/>
        <v>4010605</v>
      </c>
      <c r="AZ69" s="53"/>
      <c r="BA69" s="35" t="s">
        <v>395</v>
      </c>
      <c r="BC69" s="35" t="s">
        <v>89</v>
      </c>
      <c r="BD69" s="53"/>
      <c r="BE69" s="53">
        <v>0</v>
      </c>
      <c r="BF69" s="53"/>
      <c r="BG69" s="53">
        <v>0</v>
      </c>
      <c r="BH69" s="53"/>
      <c r="BI69" s="53">
        <v>12282841</v>
      </c>
      <c r="BJ69" s="53"/>
      <c r="BK69" s="53">
        <f>272376+28867</f>
        <v>301243</v>
      </c>
      <c r="BL69" s="53"/>
      <c r="BM69" s="53">
        <f t="shared" si="19"/>
        <v>12584084</v>
      </c>
      <c r="BN69" s="54" t="s">
        <v>347</v>
      </c>
      <c r="BR69" s="51"/>
      <c r="BS69" s="53"/>
      <c r="BT69" s="53"/>
      <c r="BU69" s="53"/>
      <c r="BV69" s="53"/>
      <c r="BW69" s="53"/>
      <c r="BX69" s="45"/>
      <c r="BY69" s="45"/>
      <c r="BZ69" s="53"/>
      <c r="CA69" s="53"/>
      <c r="CB69" s="53"/>
      <c r="CC69" s="53"/>
      <c r="CD69" s="53"/>
      <c r="CE69" s="53"/>
      <c r="CF69" s="35"/>
      <c r="CH69" s="35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4"/>
    </row>
    <row r="70" spans="1:105" s="55" customFormat="1" ht="12.75" customHeight="1">
      <c r="A70" s="35" t="s">
        <v>90</v>
      </c>
      <c r="B70" s="96"/>
      <c r="C70" s="35" t="s">
        <v>43</v>
      </c>
      <c r="D70" s="44"/>
      <c r="E70" s="53">
        <f t="shared" si="7"/>
        <v>11345195</v>
      </c>
      <c r="F70" s="53"/>
      <c r="G70" s="53">
        <v>41996914</v>
      </c>
      <c r="H70" s="53"/>
      <c r="I70" s="53">
        <v>53342109</v>
      </c>
      <c r="J70" s="53"/>
      <c r="K70" s="53">
        <f t="shared" si="8"/>
        <v>2249935</v>
      </c>
      <c r="L70" s="53"/>
      <c r="M70" s="53">
        <v>10164815</v>
      </c>
      <c r="N70" s="53"/>
      <c r="O70" s="53">
        <v>12414750</v>
      </c>
      <c r="P70" s="53"/>
      <c r="Q70" s="53">
        <v>30764259</v>
      </c>
      <c r="R70" s="53"/>
      <c r="S70" s="53">
        <v>0</v>
      </c>
      <c r="T70" s="53"/>
      <c r="U70" s="53">
        <v>10163100</v>
      </c>
      <c r="V70" s="53"/>
      <c r="W70" s="53">
        <f t="shared" si="18"/>
        <v>40927359</v>
      </c>
      <c r="X70" s="53"/>
      <c r="Y70" s="35" t="s">
        <v>90</v>
      </c>
      <c r="AA70" s="35" t="s">
        <v>43</v>
      </c>
      <c r="AB70" s="35"/>
      <c r="AC70" s="53">
        <v>2061288</v>
      </c>
      <c r="AD70" s="53"/>
      <c r="AE70" s="53">
        <f>3582017-1217693</f>
        <v>2364324</v>
      </c>
      <c r="AF70" s="53"/>
      <c r="AG70" s="53">
        <v>1217693</v>
      </c>
      <c r="AH70" s="53"/>
      <c r="AI70" s="45">
        <f t="shared" si="9"/>
        <v>-1520729</v>
      </c>
      <c r="AJ70" s="45"/>
      <c r="AK70" s="53">
        <v>-348260</v>
      </c>
      <c r="AL70" s="45"/>
      <c r="AM70" s="53">
        <v>0</v>
      </c>
      <c r="AN70" s="53"/>
      <c r="AO70" s="53">
        <v>0</v>
      </c>
      <c r="AP70" s="53"/>
      <c r="AQ70" s="53">
        <v>515878</v>
      </c>
      <c r="AR70" s="53"/>
      <c r="AS70" s="45">
        <f t="shared" si="4"/>
        <v>-1353111</v>
      </c>
      <c r="AT70" s="45"/>
      <c r="AU70" s="53">
        <v>0</v>
      </c>
      <c r="AV70" s="53"/>
      <c r="AW70" s="53">
        <v>0</v>
      </c>
      <c r="AX70" s="53"/>
      <c r="AY70" s="53">
        <f t="shared" si="5"/>
        <v>9095260</v>
      </c>
      <c r="AZ70" s="53"/>
      <c r="BA70" s="35" t="s">
        <v>90</v>
      </c>
      <c r="BC70" s="35" t="s">
        <v>43</v>
      </c>
      <c r="BD70" s="53"/>
      <c r="BE70" s="53">
        <f>2049855+1061621</f>
        <v>3111476</v>
      </c>
      <c r="BF70" s="53"/>
      <c r="BG70" s="53">
        <v>0</v>
      </c>
      <c r="BH70" s="53"/>
      <c r="BI70" s="53">
        <v>8091179</v>
      </c>
      <c r="BJ70" s="53"/>
      <c r="BK70" s="53">
        <f>23781+22581</f>
        <v>46362</v>
      </c>
      <c r="BL70" s="53"/>
      <c r="BM70" s="53">
        <f t="shared" si="19"/>
        <v>11249017</v>
      </c>
      <c r="BN70" s="54" t="s">
        <v>347</v>
      </c>
      <c r="BR70" s="96"/>
      <c r="BS70" s="53"/>
      <c r="BT70" s="53"/>
      <c r="BU70" s="53"/>
      <c r="BV70" s="53"/>
      <c r="BW70" s="53"/>
      <c r="BX70" s="45"/>
      <c r="BY70" s="45"/>
      <c r="BZ70" s="53"/>
      <c r="CA70" s="53"/>
      <c r="CB70" s="53"/>
      <c r="CC70" s="53"/>
      <c r="CD70" s="53"/>
      <c r="CE70" s="53"/>
      <c r="CF70" s="35"/>
      <c r="CH70" s="35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4"/>
    </row>
    <row r="71" spans="1:105" s="140" customFormat="1" ht="12.75" hidden="1" customHeight="1">
      <c r="A71" s="122" t="s">
        <v>488</v>
      </c>
      <c r="B71" s="122"/>
      <c r="C71" s="122" t="s">
        <v>27</v>
      </c>
      <c r="D71" s="121"/>
      <c r="E71" s="137">
        <f t="shared" si="7"/>
        <v>0</v>
      </c>
      <c r="F71" s="137"/>
      <c r="G71" s="137">
        <v>0</v>
      </c>
      <c r="H71" s="137"/>
      <c r="I71" s="137">
        <v>0</v>
      </c>
      <c r="J71" s="137"/>
      <c r="K71" s="137">
        <f t="shared" si="8"/>
        <v>0</v>
      </c>
      <c r="L71" s="137"/>
      <c r="M71" s="137">
        <v>0</v>
      </c>
      <c r="N71" s="137"/>
      <c r="O71" s="137">
        <v>0</v>
      </c>
      <c r="P71" s="137"/>
      <c r="Q71" s="137">
        <v>0</v>
      </c>
      <c r="R71" s="137"/>
      <c r="S71" s="137">
        <v>0</v>
      </c>
      <c r="T71" s="137"/>
      <c r="U71" s="137">
        <v>0</v>
      </c>
      <c r="V71" s="137"/>
      <c r="W71" s="137">
        <f t="shared" si="18"/>
        <v>0</v>
      </c>
      <c r="X71" s="137"/>
      <c r="Y71" s="122" t="s">
        <v>488</v>
      </c>
      <c r="Z71" s="122"/>
      <c r="AA71" s="122" t="s">
        <v>27</v>
      </c>
      <c r="AB71" s="126"/>
      <c r="AC71" s="137">
        <v>0</v>
      </c>
      <c r="AD71" s="137"/>
      <c r="AE71" s="137">
        <v>0</v>
      </c>
      <c r="AF71" s="137"/>
      <c r="AG71" s="137">
        <v>0</v>
      </c>
      <c r="AH71" s="137"/>
      <c r="AI71" s="127">
        <f t="shared" si="9"/>
        <v>0</v>
      </c>
      <c r="AJ71" s="127"/>
      <c r="AK71" s="137">
        <v>0</v>
      </c>
      <c r="AL71" s="127"/>
      <c r="AM71" s="137">
        <v>0</v>
      </c>
      <c r="AN71" s="137"/>
      <c r="AO71" s="137">
        <v>0</v>
      </c>
      <c r="AP71" s="137"/>
      <c r="AQ71" s="137">
        <v>0</v>
      </c>
      <c r="AR71" s="137"/>
      <c r="AS71" s="127">
        <f t="shared" si="4"/>
        <v>0</v>
      </c>
      <c r="AT71" s="127"/>
      <c r="AU71" s="137">
        <v>0</v>
      </c>
      <c r="AV71" s="137"/>
      <c r="AW71" s="137">
        <v>0</v>
      </c>
      <c r="AX71" s="137"/>
      <c r="AY71" s="137">
        <f t="shared" si="5"/>
        <v>0</v>
      </c>
      <c r="AZ71" s="137"/>
      <c r="BA71" s="122" t="s">
        <v>488</v>
      </c>
      <c r="BB71" s="122"/>
      <c r="BC71" s="122" t="s">
        <v>27</v>
      </c>
      <c r="BD71" s="137"/>
      <c r="BE71" s="137">
        <v>0</v>
      </c>
      <c r="BF71" s="137"/>
      <c r="BG71" s="137">
        <v>0</v>
      </c>
      <c r="BH71" s="137"/>
      <c r="BI71" s="137">
        <v>0</v>
      </c>
      <c r="BJ71" s="137"/>
      <c r="BK71" s="137">
        <v>0</v>
      </c>
      <c r="BL71" s="137"/>
      <c r="BM71" s="137">
        <f t="shared" si="19"/>
        <v>0</v>
      </c>
      <c r="BN71" s="139" t="s">
        <v>347</v>
      </c>
      <c r="BO71" s="126"/>
      <c r="BR71" s="124"/>
      <c r="BS71" s="137"/>
      <c r="BT71" s="137"/>
      <c r="BU71" s="137"/>
      <c r="BV71" s="137"/>
      <c r="BW71" s="127"/>
      <c r="BX71" s="127"/>
      <c r="BY71" s="137"/>
      <c r="BZ71" s="137"/>
      <c r="CA71" s="137"/>
      <c r="CB71" s="137"/>
      <c r="CC71" s="137"/>
      <c r="CD71" s="137"/>
      <c r="CE71" s="137"/>
      <c r="CF71" s="126"/>
      <c r="CH71" s="126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9"/>
      <c r="CT71" s="126"/>
    </row>
    <row r="72" spans="1:105" s="55" customFormat="1" ht="12.75" customHeight="1">
      <c r="A72" s="44" t="s">
        <v>93</v>
      </c>
      <c r="B72" s="47"/>
      <c r="C72" s="44" t="s">
        <v>94</v>
      </c>
      <c r="D72" s="44"/>
      <c r="E72" s="53">
        <f t="shared" si="7"/>
        <v>1050202</v>
      </c>
      <c r="F72" s="53"/>
      <c r="G72" s="53">
        <v>375232</v>
      </c>
      <c r="H72" s="53"/>
      <c r="I72" s="53">
        <v>1425434</v>
      </c>
      <c r="J72" s="53"/>
      <c r="K72" s="53">
        <f t="shared" si="8"/>
        <v>209207</v>
      </c>
      <c r="L72" s="53"/>
      <c r="M72" s="53">
        <v>304922</v>
      </c>
      <c r="N72" s="53"/>
      <c r="O72" s="53">
        <v>514129</v>
      </c>
      <c r="P72" s="53"/>
      <c r="Q72" s="53">
        <v>-9794</v>
      </c>
      <c r="R72" s="53"/>
      <c r="S72" s="53">
        <v>0</v>
      </c>
      <c r="T72" s="53"/>
      <c r="U72" s="53">
        <v>921099</v>
      </c>
      <c r="V72" s="53"/>
      <c r="W72" s="53">
        <f>SUM(Q72:U72)</f>
        <v>911305</v>
      </c>
      <c r="X72" s="53"/>
      <c r="Y72" s="44" t="s">
        <v>93</v>
      </c>
      <c r="Z72" s="47"/>
      <c r="AA72" s="44" t="s">
        <v>94</v>
      </c>
      <c r="AB72" s="35"/>
      <c r="AC72" s="53">
        <v>1286025</v>
      </c>
      <c r="AD72" s="53"/>
      <c r="AE72" s="53">
        <f>1091166-140640</f>
        <v>950526</v>
      </c>
      <c r="AF72" s="53"/>
      <c r="AG72" s="53">
        <v>140640</v>
      </c>
      <c r="AH72" s="53"/>
      <c r="AI72" s="45">
        <f t="shared" si="9"/>
        <v>194859</v>
      </c>
      <c r="AJ72" s="45"/>
      <c r="AK72" s="53">
        <v>-20389</v>
      </c>
      <c r="AL72" s="45"/>
      <c r="AM72" s="53">
        <v>0</v>
      </c>
      <c r="AN72" s="53"/>
      <c r="AO72" s="53">
        <v>171617</v>
      </c>
      <c r="AP72" s="53"/>
      <c r="AQ72" s="53">
        <v>0</v>
      </c>
      <c r="AR72" s="53"/>
      <c r="AS72" s="45">
        <f t="shared" si="4"/>
        <v>2853</v>
      </c>
      <c r="AT72" s="45"/>
      <c r="AU72" s="53">
        <v>0</v>
      </c>
      <c r="AV72" s="53"/>
      <c r="AW72" s="53">
        <v>0</v>
      </c>
      <c r="AX72" s="53"/>
      <c r="AY72" s="53">
        <f>+E72-K72</f>
        <v>840995</v>
      </c>
      <c r="AZ72" s="53"/>
      <c r="BA72" s="44" t="s">
        <v>93</v>
      </c>
      <c r="BB72" s="47"/>
      <c r="BC72" s="44" t="s">
        <v>94</v>
      </c>
      <c r="BD72" s="53"/>
      <c r="BE72" s="53">
        <v>0</v>
      </c>
      <c r="BF72" s="53"/>
      <c r="BG72" s="53">
        <v>0</v>
      </c>
      <c r="BH72" s="53"/>
      <c r="BI72" s="53">
        <f>43326+232178+103020+6502</f>
        <v>385026</v>
      </c>
      <c r="BJ72" s="53"/>
      <c r="BK72" s="53">
        <v>29418</v>
      </c>
      <c r="BL72" s="53"/>
      <c r="BM72" s="53">
        <f t="shared" si="19"/>
        <v>414444</v>
      </c>
      <c r="BN72" s="54" t="s">
        <v>347</v>
      </c>
      <c r="BO72" s="35"/>
      <c r="BP72" s="35"/>
      <c r="BR72" s="51"/>
      <c r="BS72" s="53"/>
      <c r="BT72" s="53"/>
      <c r="BU72" s="53"/>
      <c r="BV72" s="53"/>
      <c r="BW72" s="45"/>
      <c r="BX72" s="45"/>
      <c r="BY72" s="53"/>
      <c r="BZ72" s="53"/>
      <c r="CA72" s="53"/>
      <c r="CB72" s="53"/>
      <c r="CC72" s="53"/>
      <c r="CD72" s="53"/>
      <c r="CE72" s="53"/>
      <c r="CF72" s="35"/>
      <c r="CH72" s="35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4"/>
      <c r="CT72" s="35"/>
      <c r="CU72" s="35"/>
    </row>
    <row r="73" spans="1:105" s="55" customFormat="1" ht="12.75" customHeight="1">
      <c r="A73" s="35" t="s">
        <v>95</v>
      </c>
      <c r="B73" s="51"/>
      <c r="C73" s="35" t="s">
        <v>94</v>
      </c>
      <c r="D73" s="44"/>
      <c r="E73" s="53">
        <f t="shared" si="7"/>
        <v>287510</v>
      </c>
      <c r="F73" s="53"/>
      <c r="G73" s="53">
        <v>7393763</v>
      </c>
      <c r="H73" s="53"/>
      <c r="I73" s="53">
        <v>7681273</v>
      </c>
      <c r="J73" s="53"/>
      <c r="K73" s="53">
        <f t="shared" si="8"/>
        <v>448131</v>
      </c>
      <c r="L73" s="53"/>
      <c r="M73" s="53">
        <v>5902804</v>
      </c>
      <c r="N73" s="53"/>
      <c r="O73" s="53">
        <v>6350935</v>
      </c>
      <c r="P73" s="53"/>
      <c r="Q73" s="53">
        <v>1167818</v>
      </c>
      <c r="R73" s="53"/>
      <c r="S73" s="53">
        <v>0</v>
      </c>
      <c r="T73" s="53"/>
      <c r="U73" s="53">
        <v>162520</v>
      </c>
      <c r="V73" s="53"/>
      <c r="W73" s="53">
        <f t="shared" ref="W73:W79" si="22">SUM(Q73:U73)</f>
        <v>1330338</v>
      </c>
      <c r="X73" s="53"/>
      <c r="Y73" s="35" t="s">
        <v>95</v>
      </c>
      <c r="AA73" s="35" t="s">
        <v>94</v>
      </c>
      <c r="AB73" s="35"/>
      <c r="AC73" s="53">
        <v>1148297</v>
      </c>
      <c r="AD73" s="53"/>
      <c r="AE73" s="53">
        <f>727398-239352</f>
        <v>488046</v>
      </c>
      <c r="AF73" s="53"/>
      <c r="AG73" s="53">
        <v>239352</v>
      </c>
      <c r="AH73" s="53"/>
      <c r="AI73" s="45">
        <f t="shared" si="9"/>
        <v>420899</v>
      </c>
      <c r="AJ73" s="45"/>
      <c r="AK73" s="53">
        <v>-197899</v>
      </c>
      <c r="AL73" s="45"/>
      <c r="AM73" s="53">
        <v>16747</v>
      </c>
      <c r="AN73" s="53"/>
      <c r="AO73" s="53">
        <v>0</v>
      </c>
      <c r="AP73" s="53"/>
      <c r="AQ73" s="53">
        <v>0</v>
      </c>
      <c r="AR73" s="53"/>
      <c r="AS73" s="45">
        <f t="shared" si="4"/>
        <v>239747</v>
      </c>
      <c r="AT73" s="45"/>
      <c r="AU73" s="53">
        <v>0</v>
      </c>
      <c r="AV73" s="53"/>
      <c r="AW73" s="53">
        <v>0</v>
      </c>
      <c r="AX73" s="53"/>
      <c r="AY73" s="53">
        <f t="shared" ref="AY73:AY79" si="23">+E73-K73</f>
        <v>-160621</v>
      </c>
      <c r="AZ73" s="53"/>
      <c r="BA73" s="35" t="s">
        <v>95</v>
      </c>
      <c r="BC73" s="35" t="s">
        <v>94</v>
      </c>
      <c r="BD73" s="53"/>
      <c r="BE73" s="53">
        <f>2826375+176810</f>
        <v>3003185</v>
      </c>
      <c r="BF73" s="53"/>
      <c r="BG73" s="53">
        <v>0</v>
      </c>
      <c r="BH73" s="53"/>
      <c r="BI73" s="53">
        <f>2406474+604019+25000+177073+35194</f>
        <v>3247760</v>
      </c>
      <c r="BJ73" s="53"/>
      <c r="BK73" s="53">
        <f>40936+8043</f>
        <v>48979</v>
      </c>
      <c r="BL73" s="53"/>
      <c r="BM73" s="53">
        <f t="shared" ref="BM73:BM79" si="24">SUM(BE73:BK73)</f>
        <v>6299924</v>
      </c>
      <c r="BN73" s="54" t="s">
        <v>347</v>
      </c>
      <c r="BO73" s="35"/>
      <c r="BP73" s="35"/>
      <c r="BR73" s="51"/>
      <c r="BS73" s="53"/>
      <c r="BT73" s="53"/>
      <c r="BU73" s="53"/>
      <c r="BV73" s="53"/>
      <c r="BW73" s="45"/>
      <c r="BX73" s="45"/>
      <c r="BY73" s="53"/>
      <c r="BZ73" s="53"/>
      <c r="CA73" s="53"/>
      <c r="CB73" s="53"/>
      <c r="CC73" s="53"/>
      <c r="CD73" s="53"/>
      <c r="CE73" s="53"/>
      <c r="CF73" s="35"/>
      <c r="CH73" s="35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4"/>
      <c r="CT73" s="35"/>
      <c r="CU73" s="35"/>
    </row>
    <row r="74" spans="1:105" s="55" customFormat="1" ht="12.75" hidden="1" customHeight="1">
      <c r="A74" s="35" t="s">
        <v>91</v>
      </c>
      <c r="B74" s="51"/>
      <c r="C74" s="35" t="s">
        <v>92</v>
      </c>
      <c r="D74" s="44"/>
      <c r="E74" s="53">
        <f t="shared" si="7"/>
        <v>0</v>
      </c>
      <c r="F74" s="53"/>
      <c r="G74" s="53">
        <v>0</v>
      </c>
      <c r="H74" s="53"/>
      <c r="I74" s="53">
        <v>0</v>
      </c>
      <c r="J74" s="53"/>
      <c r="K74" s="53">
        <f t="shared" si="8"/>
        <v>0</v>
      </c>
      <c r="L74" s="53"/>
      <c r="M74" s="53">
        <v>0</v>
      </c>
      <c r="N74" s="53"/>
      <c r="O74" s="53">
        <v>0</v>
      </c>
      <c r="P74" s="53"/>
      <c r="Q74" s="53">
        <v>0</v>
      </c>
      <c r="R74" s="53"/>
      <c r="S74" s="53">
        <v>0</v>
      </c>
      <c r="T74" s="53"/>
      <c r="U74" s="53">
        <v>0</v>
      </c>
      <c r="V74" s="53"/>
      <c r="W74" s="53">
        <f t="shared" si="22"/>
        <v>0</v>
      </c>
      <c r="X74" s="53"/>
      <c r="Y74" s="35" t="s">
        <v>91</v>
      </c>
      <c r="AA74" s="35" t="s">
        <v>92</v>
      </c>
      <c r="AB74" s="35"/>
      <c r="AC74" s="53">
        <v>0</v>
      </c>
      <c r="AD74" s="53"/>
      <c r="AE74" s="53">
        <v>0</v>
      </c>
      <c r="AF74" s="53"/>
      <c r="AG74" s="53">
        <v>0</v>
      </c>
      <c r="AH74" s="53"/>
      <c r="AI74" s="45">
        <f t="shared" si="9"/>
        <v>0</v>
      </c>
      <c r="AJ74" s="45"/>
      <c r="AK74" s="53">
        <v>0</v>
      </c>
      <c r="AL74" s="45"/>
      <c r="AM74" s="53">
        <v>0</v>
      </c>
      <c r="AN74" s="53"/>
      <c r="AO74" s="53">
        <v>0</v>
      </c>
      <c r="AP74" s="53"/>
      <c r="AQ74" s="53">
        <v>0</v>
      </c>
      <c r="AR74" s="53"/>
      <c r="AS74" s="45">
        <f t="shared" ref="AS74:AS91" si="25">+AI74+AK74+AM74-AO74+AQ74</f>
        <v>0</v>
      </c>
      <c r="AT74" s="45"/>
      <c r="AU74" s="53">
        <v>0</v>
      </c>
      <c r="AV74" s="53"/>
      <c r="AW74" s="53">
        <v>0</v>
      </c>
      <c r="AX74" s="53"/>
      <c r="AY74" s="53">
        <f t="shared" si="23"/>
        <v>0</v>
      </c>
      <c r="AZ74" s="53"/>
      <c r="BA74" s="35" t="s">
        <v>91</v>
      </c>
      <c r="BC74" s="35" t="s">
        <v>92</v>
      </c>
      <c r="BD74" s="53"/>
      <c r="BE74" s="53">
        <v>0</v>
      </c>
      <c r="BF74" s="53"/>
      <c r="BG74" s="53">
        <v>0</v>
      </c>
      <c r="BH74" s="53"/>
      <c r="BI74" s="53">
        <v>0</v>
      </c>
      <c r="BJ74" s="53"/>
      <c r="BK74" s="53">
        <v>0</v>
      </c>
      <c r="BL74" s="53"/>
      <c r="BM74" s="53">
        <f t="shared" si="24"/>
        <v>0</v>
      </c>
      <c r="BN74" s="54" t="s">
        <v>347</v>
      </c>
      <c r="BO74" s="35"/>
      <c r="BP74" s="35"/>
      <c r="BQ74" s="35"/>
      <c r="BR74" s="51"/>
      <c r="BS74" s="53"/>
      <c r="BT74" s="53"/>
      <c r="BU74" s="53"/>
      <c r="BV74" s="53"/>
      <c r="BW74" s="45"/>
      <c r="BX74" s="45"/>
      <c r="BY74" s="53"/>
      <c r="BZ74" s="53"/>
      <c r="CA74" s="53"/>
      <c r="CB74" s="53"/>
      <c r="CC74" s="53"/>
      <c r="CD74" s="53"/>
      <c r="CE74" s="53"/>
      <c r="CF74" s="35"/>
      <c r="CH74" s="35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4"/>
      <c r="CT74" s="35"/>
      <c r="CU74" s="35"/>
      <c r="CV74" s="35"/>
      <c r="CW74" s="35"/>
      <c r="CX74" s="35"/>
      <c r="CY74" s="35"/>
      <c r="CZ74" s="35"/>
      <c r="DA74" s="35"/>
    </row>
    <row r="75" spans="1:105" s="55" customFormat="1" ht="12.75" customHeight="1">
      <c r="A75" s="35" t="s">
        <v>96</v>
      </c>
      <c r="B75" s="51"/>
      <c r="C75" s="35" t="s">
        <v>97</v>
      </c>
      <c r="D75" s="44"/>
      <c r="E75" s="53">
        <f t="shared" si="7"/>
        <v>1172585</v>
      </c>
      <c r="F75" s="53"/>
      <c r="G75" s="53">
        <v>3519973</v>
      </c>
      <c r="H75" s="53"/>
      <c r="I75" s="53">
        <v>4692558</v>
      </c>
      <c r="J75" s="53"/>
      <c r="K75" s="53">
        <f t="shared" si="8"/>
        <v>41225</v>
      </c>
      <c r="L75" s="53"/>
      <c r="M75" s="53">
        <v>42079</v>
      </c>
      <c r="N75" s="53"/>
      <c r="O75" s="53">
        <v>83304</v>
      </c>
      <c r="P75" s="53"/>
      <c r="Q75" s="53">
        <v>3519973</v>
      </c>
      <c r="R75" s="53"/>
      <c r="S75" s="53">
        <v>0</v>
      </c>
      <c r="T75" s="53"/>
      <c r="U75" s="53">
        <v>1089281</v>
      </c>
      <c r="V75" s="53"/>
      <c r="W75" s="53">
        <f t="shared" si="22"/>
        <v>4609254</v>
      </c>
      <c r="X75" s="53"/>
      <c r="Y75" s="35" t="s">
        <v>96</v>
      </c>
      <c r="AA75" s="35" t="s">
        <v>97</v>
      </c>
      <c r="AB75" s="35"/>
      <c r="AC75" s="53">
        <v>1138134</v>
      </c>
      <c r="AD75" s="53"/>
      <c r="AE75" s="53">
        <f>1126990-245648</f>
        <v>881342</v>
      </c>
      <c r="AF75" s="53"/>
      <c r="AG75" s="53">
        <v>245648</v>
      </c>
      <c r="AH75" s="53"/>
      <c r="AI75" s="45">
        <f t="shared" si="9"/>
        <v>11144</v>
      </c>
      <c r="AJ75" s="45"/>
      <c r="AK75" s="53">
        <v>0</v>
      </c>
      <c r="AL75" s="45"/>
      <c r="AM75" s="53">
        <v>0</v>
      </c>
      <c r="AN75" s="53"/>
      <c r="AO75" s="53">
        <v>0</v>
      </c>
      <c r="AP75" s="53"/>
      <c r="AQ75" s="53">
        <v>0</v>
      </c>
      <c r="AR75" s="53"/>
      <c r="AS75" s="45">
        <f t="shared" si="25"/>
        <v>11144</v>
      </c>
      <c r="AT75" s="45"/>
      <c r="AU75" s="53">
        <v>0</v>
      </c>
      <c r="AV75" s="53"/>
      <c r="AW75" s="53">
        <v>0</v>
      </c>
      <c r="AX75" s="53"/>
      <c r="AY75" s="53">
        <f t="shared" si="23"/>
        <v>1131360</v>
      </c>
      <c r="AZ75" s="53"/>
      <c r="BA75" s="35" t="s">
        <v>96</v>
      </c>
      <c r="BC75" s="35" t="s">
        <v>97</v>
      </c>
      <c r="BD75" s="53"/>
      <c r="BE75" s="53">
        <v>0</v>
      </c>
      <c r="BF75" s="53"/>
      <c r="BG75" s="53">
        <v>0</v>
      </c>
      <c r="BH75" s="53"/>
      <c r="BI75" s="53">
        <v>0</v>
      </c>
      <c r="BJ75" s="53"/>
      <c r="BK75" s="53">
        <f>42079+16445</f>
        <v>58524</v>
      </c>
      <c r="BL75" s="53"/>
      <c r="BM75" s="53">
        <f t="shared" si="24"/>
        <v>58524</v>
      </c>
      <c r="BN75" s="54" t="s">
        <v>347</v>
      </c>
      <c r="BR75" s="51"/>
      <c r="BS75" s="53"/>
      <c r="BT75" s="53"/>
      <c r="BU75" s="53"/>
      <c r="BV75" s="53"/>
      <c r="BW75" s="53"/>
      <c r="BX75" s="45"/>
      <c r="BY75" s="45"/>
      <c r="BZ75" s="53"/>
      <c r="CA75" s="53"/>
      <c r="CB75" s="53"/>
      <c r="CC75" s="53"/>
      <c r="CD75" s="53"/>
      <c r="CE75" s="53"/>
      <c r="CF75" s="35"/>
      <c r="CH75" s="35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4"/>
    </row>
    <row r="76" spans="1:105" s="55" customFormat="1" ht="12.75" customHeight="1">
      <c r="A76" s="35" t="s">
        <v>98</v>
      </c>
      <c r="B76" s="51"/>
      <c r="C76" s="35" t="s">
        <v>17</v>
      </c>
      <c r="D76" s="44"/>
      <c r="E76" s="53">
        <f t="shared" ref="E76:E87" si="26">I76-G76</f>
        <v>79152</v>
      </c>
      <c r="F76" s="53"/>
      <c r="G76" s="53">
        <v>39864933</v>
      </c>
      <c r="H76" s="53"/>
      <c r="I76" s="53">
        <v>39944085</v>
      </c>
      <c r="J76" s="53"/>
      <c r="K76" s="53">
        <f t="shared" ref="K76:K87" si="27">O76-M76</f>
        <v>2411561</v>
      </c>
      <c r="L76" s="53"/>
      <c r="M76" s="53">
        <v>15280024</v>
      </c>
      <c r="N76" s="53"/>
      <c r="O76" s="53">
        <v>17691585</v>
      </c>
      <c r="P76" s="53"/>
      <c r="Q76" s="53">
        <v>23627555</v>
      </c>
      <c r="R76" s="53"/>
      <c r="S76" s="53">
        <v>0</v>
      </c>
      <c r="T76" s="53"/>
      <c r="U76" s="53">
        <v>678922</v>
      </c>
      <c r="V76" s="53"/>
      <c r="W76" s="53">
        <f t="shared" si="22"/>
        <v>24306477</v>
      </c>
      <c r="X76" s="53"/>
      <c r="Y76" s="35" t="s">
        <v>98</v>
      </c>
      <c r="AA76" s="35" t="s">
        <v>17</v>
      </c>
      <c r="AB76" s="35"/>
      <c r="AC76" s="53">
        <v>10546448</v>
      </c>
      <c r="AD76" s="53"/>
      <c r="AE76" s="53">
        <f>11032052-1654229</f>
        <v>9377823</v>
      </c>
      <c r="AF76" s="53"/>
      <c r="AG76" s="53">
        <v>1654229</v>
      </c>
      <c r="AH76" s="53"/>
      <c r="AI76" s="45">
        <f t="shared" ref="AI76:AI87" si="28">+AC76-AE76-AG76</f>
        <v>-485604</v>
      </c>
      <c r="AJ76" s="45"/>
      <c r="AK76" s="53">
        <v>-744360</v>
      </c>
      <c r="AL76" s="45"/>
      <c r="AM76" s="53">
        <v>0</v>
      </c>
      <c r="AN76" s="53"/>
      <c r="AO76" s="53">
        <v>0</v>
      </c>
      <c r="AP76" s="53"/>
      <c r="AQ76" s="53">
        <v>198217</v>
      </c>
      <c r="AR76" s="53"/>
      <c r="AS76" s="45">
        <f t="shared" si="25"/>
        <v>-1031747</v>
      </c>
      <c r="AT76" s="45"/>
      <c r="AU76" s="53">
        <v>0</v>
      </c>
      <c r="AV76" s="53"/>
      <c r="AW76" s="53">
        <v>0</v>
      </c>
      <c r="AX76" s="53"/>
      <c r="AY76" s="53">
        <f t="shared" si="23"/>
        <v>-2332409</v>
      </c>
      <c r="AZ76" s="53"/>
      <c r="BA76" s="35" t="s">
        <v>98</v>
      </c>
      <c r="BC76" s="35" t="s">
        <v>17</v>
      </c>
      <c r="BD76" s="53"/>
      <c r="BE76" s="53">
        <f>3012643+146509</f>
        <v>3159152</v>
      </c>
      <c r="BF76" s="53"/>
      <c r="BG76" s="53">
        <v>0</v>
      </c>
      <c r="BH76" s="53"/>
      <c r="BI76" s="53">
        <f>11239781+1381161</f>
        <v>12620942</v>
      </c>
      <c r="BJ76" s="53"/>
      <c r="BK76" s="53">
        <f>1306333+398166+59118</f>
        <v>1763617</v>
      </c>
      <c r="BL76" s="53"/>
      <c r="BM76" s="53">
        <f t="shared" si="24"/>
        <v>17543711</v>
      </c>
      <c r="BN76" s="54" t="s">
        <v>347</v>
      </c>
      <c r="BR76" s="51"/>
      <c r="BS76" s="53"/>
      <c r="BT76" s="53"/>
      <c r="BU76" s="53"/>
      <c r="BV76" s="53"/>
      <c r="BW76" s="53"/>
      <c r="BX76" s="45"/>
      <c r="BY76" s="45"/>
      <c r="BZ76" s="53"/>
      <c r="CA76" s="53"/>
      <c r="CB76" s="53"/>
      <c r="CC76" s="53"/>
      <c r="CD76" s="53"/>
      <c r="CE76" s="53"/>
      <c r="CF76" s="35"/>
      <c r="CH76" s="35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4"/>
    </row>
    <row r="77" spans="1:105" s="55" customFormat="1" ht="12.75" customHeight="1">
      <c r="A77" s="35" t="s">
        <v>99</v>
      </c>
      <c r="B77" s="51"/>
      <c r="C77" s="35" t="s">
        <v>66</v>
      </c>
      <c r="D77" s="44"/>
      <c r="E77" s="53">
        <f t="shared" si="26"/>
        <v>2135056</v>
      </c>
      <c r="F77" s="53"/>
      <c r="G77" s="53">
        <v>9281879</v>
      </c>
      <c r="H77" s="53"/>
      <c r="I77" s="53">
        <v>11416935</v>
      </c>
      <c r="J77" s="53"/>
      <c r="K77" s="53">
        <f t="shared" si="27"/>
        <v>132791</v>
      </c>
      <c r="L77" s="53"/>
      <c r="M77" s="53">
        <v>120487</v>
      </c>
      <c r="N77" s="53"/>
      <c r="O77" s="53">
        <v>253278</v>
      </c>
      <c r="P77" s="53"/>
      <c r="Q77" s="53">
        <v>9152735</v>
      </c>
      <c r="R77" s="53"/>
      <c r="S77" s="53">
        <v>0</v>
      </c>
      <c r="T77" s="53"/>
      <c r="U77" s="53">
        <v>2010922</v>
      </c>
      <c r="V77" s="53"/>
      <c r="W77" s="53">
        <f t="shared" si="22"/>
        <v>11163657</v>
      </c>
      <c r="X77" s="53"/>
      <c r="Y77" s="35" t="s">
        <v>99</v>
      </c>
      <c r="AA77" s="35" t="s">
        <v>66</v>
      </c>
      <c r="AB77" s="35"/>
      <c r="AC77" s="53">
        <v>1320639</v>
      </c>
      <c r="AD77" s="53"/>
      <c r="AE77" s="53">
        <f>1355153-418556</f>
        <v>936597</v>
      </c>
      <c r="AF77" s="53"/>
      <c r="AG77" s="53">
        <v>418556</v>
      </c>
      <c r="AH77" s="53"/>
      <c r="AI77" s="45">
        <f t="shared" si="28"/>
        <v>-34514</v>
      </c>
      <c r="AJ77" s="45"/>
      <c r="AK77" s="53">
        <v>-13658</v>
      </c>
      <c r="AL77" s="45"/>
      <c r="AM77" s="53">
        <v>0</v>
      </c>
      <c r="AN77" s="53"/>
      <c r="AO77" s="53">
        <v>0</v>
      </c>
      <c r="AP77" s="53"/>
      <c r="AQ77" s="53">
        <v>185104</v>
      </c>
      <c r="AR77" s="53"/>
      <c r="AS77" s="45">
        <f t="shared" si="25"/>
        <v>136932</v>
      </c>
      <c r="AT77" s="45"/>
      <c r="AU77" s="53">
        <v>0</v>
      </c>
      <c r="AV77" s="53"/>
      <c r="AW77" s="53">
        <v>0</v>
      </c>
      <c r="AX77" s="53"/>
      <c r="AY77" s="53">
        <f t="shared" si="23"/>
        <v>2002265</v>
      </c>
      <c r="AZ77" s="53"/>
      <c r="BA77" s="35" t="s">
        <v>99</v>
      </c>
      <c r="BC77" s="35" t="s">
        <v>66</v>
      </c>
      <c r="BD77" s="53"/>
      <c r="BE77" s="53">
        <v>0</v>
      </c>
      <c r="BF77" s="53"/>
      <c r="BG77" s="53">
        <v>0</v>
      </c>
      <c r="BH77" s="53"/>
      <c r="BI77" s="53">
        <f>70871+58273</f>
        <v>129144</v>
      </c>
      <c r="BJ77" s="53"/>
      <c r="BK77" s="53">
        <f>49616+20029</f>
        <v>69645</v>
      </c>
      <c r="BL77" s="53"/>
      <c r="BM77" s="53">
        <f t="shared" si="24"/>
        <v>198789</v>
      </c>
      <c r="BN77" s="54" t="s">
        <v>347</v>
      </c>
      <c r="BR77" s="51"/>
      <c r="BS77" s="53"/>
      <c r="BT77" s="53"/>
      <c r="BU77" s="53"/>
      <c r="BV77" s="53"/>
      <c r="BW77" s="45"/>
      <c r="BX77" s="45"/>
      <c r="BY77" s="53"/>
      <c r="BZ77" s="53"/>
      <c r="CA77" s="53"/>
      <c r="CB77" s="53"/>
      <c r="CC77" s="53"/>
      <c r="CD77" s="53"/>
      <c r="CE77" s="53"/>
      <c r="CF77" s="35"/>
      <c r="CH77" s="44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4"/>
    </row>
    <row r="78" spans="1:105" s="55" customFormat="1" ht="12.75" customHeight="1">
      <c r="A78" s="35" t="s">
        <v>100</v>
      </c>
      <c r="C78" s="35" t="s">
        <v>27</v>
      </c>
      <c r="D78" s="44"/>
      <c r="E78" s="53">
        <f t="shared" si="26"/>
        <v>6707803</v>
      </c>
      <c r="F78" s="53"/>
      <c r="G78" s="53">
        <v>31979406</v>
      </c>
      <c r="H78" s="53"/>
      <c r="I78" s="53">
        <v>38687209</v>
      </c>
      <c r="J78" s="53"/>
      <c r="K78" s="53">
        <f t="shared" si="27"/>
        <v>4324350</v>
      </c>
      <c r="L78" s="53"/>
      <c r="M78" s="53">
        <v>10620691</v>
      </c>
      <c r="N78" s="53"/>
      <c r="O78" s="53">
        <v>14945041</v>
      </c>
      <c r="P78" s="53"/>
      <c r="Q78" s="53">
        <v>19063623</v>
      </c>
      <c r="R78" s="53"/>
      <c r="S78" s="53">
        <v>0</v>
      </c>
      <c r="T78" s="53"/>
      <c r="U78" s="53">
        <v>4678545</v>
      </c>
      <c r="V78" s="53"/>
      <c r="W78" s="53">
        <f t="shared" si="22"/>
        <v>23742168</v>
      </c>
      <c r="X78" s="53"/>
      <c r="Y78" s="35" t="s">
        <v>100</v>
      </c>
      <c r="AA78" s="35" t="s">
        <v>27</v>
      </c>
      <c r="AB78" s="35"/>
      <c r="AC78" s="53">
        <v>10164471</v>
      </c>
      <c r="AD78" s="53"/>
      <c r="AE78" s="53">
        <f>7647203-958489</f>
        <v>6688714</v>
      </c>
      <c r="AF78" s="53"/>
      <c r="AG78" s="53">
        <v>958489</v>
      </c>
      <c r="AH78" s="53"/>
      <c r="AI78" s="45">
        <f t="shared" si="28"/>
        <v>2517268</v>
      </c>
      <c r="AJ78" s="45"/>
      <c r="AK78" s="53">
        <v>393509</v>
      </c>
      <c r="AL78" s="45"/>
      <c r="AM78" s="53">
        <v>310152</v>
      </c>
      <c r="AN78" s="53"/>
      <c r="AO78" s="53">
        <v>0</v>
      </c>
      <c r="AP78" s="53"/>
      <c r="AQ78" s="53">
        <v>0</v>
      </c>
      <c r="AR78" s="53"/>
      <c r="AS78" s="45">
        <f t="shared" si="25"/>
        <v>3220929</v>
      </c>
      <c r="AT78" s="45"/>
      <c r="AU78" s="53">
        <v>0</v>
      </c>
      <c r="AV78" s="53"/>
      <c r="AW78" s="53">
        <v>0</v>
      </c>
      <c r="AX78" s="53"/>
      <c r="AY78" s="53">
        <f t="shared" si="23"/>
        <v>2383453</v>
      </c>
      <c r="AZ78" s="53"/>
      <c r="BA78" s="35" t="s">
        <v>100</v>
      </c>
      <c r="BC78" s="35" t="s">
        <v>27</v>
      </c>
      <c r="BD78" s="53"/>
      <c r="BE78" s="53">
        <f>2135152+179000</f>
        <v>2314152</v>
      </c>
      <c r="BF78" s="53"/>
      <c r="BG78" s="53">
        <v>0</v>
      </c>
      <c r="BH78" s="53"/>
      <c r="BI78" s="53">
        <f>4489583+3184850+289412+1606039</f>
        <v>9569884</v>
      </c>
      <c r="BJ78" s="53"/>
      <c r="BK78" s="53">
        <f>83855+650065+77186+50042+104267</f>
        <v>965415</v>
      </c>
      <c r="BL78" s="53"/>
      <c r="BM78" s="53">
        <f t="shared" si="24"/>
        <v>12849451</v>
      </c>
      <c r="BN78" s="54" t="s">
        <v>347</v>
      </c>
      <c r="BO78" s="55" t="s">
        <v>405</v>
      </c>
      <c r="BR78" s="51"/>
      <c r="BS78" s="53"/>
      <c r="BT78" s="53"/>
      <c r="BU78" s="53"/>
      <c r="BV78" s="53"/>
      <c r="BW78" s="53"/>
      <c r="BX78" s="45"/>
      <c r="BY78" s="45"/>
      <c r="BZ78" s="53"/>
      <c r="CA78" s="53"/>
      <c r="CB78" s="53"/>
      <c r="CC78" s="53"/>
      <c r="CD78" s="53"/>
      <c r="CE78" s="53"/>
      <c r="CF78" s="35"/>
      <c r="CH78" s="35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4"/>
    </row>
    <row r="79" spans="1:105" s="55" customFormat="1" ht="12.75" customHeight="1">
      <c r="A79" s="35" t="s">
        <v>101</v>
      </c>
      <c r="B79" s="51"/>
      <c r="C79" s="35" t="s">
        <v>30</v>
      </c>
      <c r="D79" s="44"/>
      <c r="E79" s="53">
        <f t="shared" si="26"/>
        <v>4863838</v>
      </c>
      <c r="F79" s="53"/>
      <c r="G79" s="53">
        <v>19404827</v>
      </c>
      <c r="H79" s="53"/>
      <c r="I79" s="53">
        <v>24268665</v>
      </c>
      <c r="J79" s="53"/>
      <c r="K79" s="53">
        <f t="shared" si="27"/>
        <v>1399428</v>
      </c>
      <c r="L79" s="53"/>
      <c r="M79" s="53">
        <v>9634262</v>
      </c>
      <c r="N79" s="53"/>
      <c r="O79" s="53">
        <v>11033690</v>
      </c>
      <c r="P79" s="53"/>
      <c r="Q79" s="53">
        <v>8978595</v>
      </c>
      <c r="R79" s="53"/>
      <c r="S79" s="53">
        <v>0</v>
      </c>
      <c r="T79" s="53"/>
      <c r="U79" s="53">
        <v>4256380</v>
      </c>
      <c r="V79" s="53"/>
      <c r="W79" s="53">
        <f t="shared" si="22"/>
        <v>13234975</v>
      </c>
      <c r="X79" s="53"/>
      <c r="Y79" s="35" t="s">
        <v>101</v>
      </c>
      <c r="AA79" s="35" t="s">
        <v>30</v>
      </c>
      <c r="AB79" s="35"/>
      <c r="AC79" s="53">
        <v>5770826</v>
      </c>
      <c r="AD79" s="53"/>
      <c r="AE79" s="53">
        <f>4893791-938658</f>
        <v>3955133</v>
      </c>
      <c r="AF79" s="53"/>
      <c r="AG79" s="53">
        <v>938658</v>
      </c>
      <c r="AH79" s="53"/>
      <c r="AI79" s="45">
        <f t="shared" si="28"/>
        <v>877035</v>
      </c>
      <c r="AJ79" s="45"/>
      <c r="AK79" s="53">
        <f>-420897+5840</f>
        <v>-415057</v>
      </c>
      <c r="AL79" s="45"/>
      <c r="AM79" s="53">
        <v>0</v>
      </c>
      <c r="AN79" s="53"/>
      <c r="AO79" s="53">
        <v>0</v>
      </c>
      <c r="AP79" s="53"/>
      <c r="AQ79" s="53">
        <v>33700</v>
      </c>
      <c r="AR79" s="53"/>
      <c r="AS79" s="45">
        <f t="shared" si="25"/>
        <v>495678</v>
      </c>
      <c r="AT79" s="45"/>
      <c r="AU79" s="53">
        <v>0</v>
      </c>
      <c r="AV79" s="53"/>
      <c r="AW79" s="53">
        <v>0</v>
      </c>
      <c r="AX79" s="53"/>
      <c r="AY79" s="53">
        <f t="shared" si="23"/>
        <v>3464410</v>
      </c>
      <c r="AZ79" s="53"/>
      <c r="BA79" s="35" t="s">
        <v>101</v>
      </c>
      <c r="BC79" s="35" t="s">
        <v>30</v>
      </c>
      <c r="BD79" s="53"/>
      <c r="BE79" s="53">
        <f>8767540+529850</f>
        <v>9297390</v>
      </c>
      <c r="BF79" s="53"/>
      <c r="BG79" s="53">
        <v>0</v>
      </c>
      <c r="BH79" s="53"/>
      <c r="BI79" s="53">
        <f>493521+333750</f>
        <v>827271</v>
      </c>
      <c r="BJ79" s="53"/>
      <c r="BK79" s="53">
        <f>115000+220974+37227+87745+60597+5000</f>
        <v>526543</v>
      </c>
      <c r="BL79" s="53"/>
      <c r="BM79" s="53">
        <f t="shared" si="24"/>
        <v>10651204</v>
      </c>
      <c r="BN79" s="54" t="s">
        <v>347</v>
      </c>
      <c r="BO79" s="35" t="s">
        <v>405</v>
      </c>
      <c r="BR79" s="51"/>
      <c r="BS79" s="53"/>
      <c r="BT79" s="53"/>
      <c r="BU79" s="53"/>
      <c r="BV79" s="53"/>
      <c r="BW79" s="45"/>
      <c r="BX79" s="45"/>
      <c r="BY79" s="53"/>
      <c r="BZ79" s="53"/>
      <c r="CA79" s="53"/>
      <c r="CB79" s="53"/>
      <c r="CC79" s="53"/>
      <c r="CD79" s="53"/>
      <c r="CE79" s="53"/>
      <c r="CF79" s="35"/>
      <c r="CH79" s="35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4"/>
      <c r="CT79" s="35"/>
    </row>
    <row r="80" spans="1:105" s="55" customFormat="1" ht="11.25" customHeight="1">
      <c r="A80" s="35"/>
      <c r="B80" s="51"/>
      <c r="C80" s="35"/>
      <c r="D80" s="44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 t="s">
        <v>484</v>
      </c>
      <c r="X80" s="53"/>
      <c r="Y80" s="35"/>
      <c r="AA80" s="35"/>
      <c r="AB80" s="35"/>
      <c r="AC80" s="53"/>
      <c r="AD80" s="53"/>
      <c r="AE80" s="53"/>
      <c r="AF80" s="53"/>
      <c r="AG80" s="53"/>
      <c r="AH80" s="53"/>
      <c r="AI80" s="45"/>
      <c r="AJ80" s="45"/>
      <c r="AK80" s="53"/>
      <c r="AL80" s="45"/>
      <c r="AM80" s="53"/>
      <c r="AN80" s="53"/>
      <c r="AO80" s="53"/>
      <c r="AP80" s="53"/>
      <c r="AQ80" s="53"/>
      <c r="AR80" s="53"/>
      <c r="AS80" s="45"/>
      <c r="AT80" s="45"/>
      <c r="AU80" s="53"/>
      <c r="AV80" s="53"/>
      <c r="AW80" s="53"/>
      <c r="AX80" s="53"/>
      <c r="AY80" s="53" t="s">
        <v>484</v>
      </c>
      <c r="AZ80" s="53"/>
      <c r="BA80" s="35"/>
      <c r="BC80" s="35"/>
      <c r="BD80" s="53"/>
      <c r="BE80" s="53"/>
      <c r="BF80" s="53"/>
      <c r="BG80" s="53"/>
      <c r="BH80" s="53"/>
      <c r="BI80" s="53"/>
      <c r="BJ80" s="53"/>
      <c r="BK80" s="53"/>
      <c r="BL80" s="53"/>
      <c r="BM80" s="53" t="s">
        <v>484</v>
      </c>
      <c r="BN80" s="54"/>
      <c r="BR80" s="51"/>
      <c r="BS80" s="53"/>
      <c r="BT80" s="53"/>
      <c r="BU80" s="53"/>
      <c r="BV80" s="53"/>
      <c r="BW80" s="53"/>
      <c r="BX80" s="45"/>
      <c r="BY80" s="45"/>
      <c r="BZ80" s="53"/>
      <c r="CA80" s="53"/>
      <c r="CB80" s="53"/>
      <c r="CC80" s="53"/>
      <c r="CD80" s="53"/>
      <c r="CE80" s="53"/>
      <c r="CF80" s="35"/>
      <c r="CH80" s="35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4"/>
    </row>
    <row r="81" spans="1:98" s="90" customFormat="1" ht="12.75" customHeight="1">
      <c r="A81" s="64" t="s">
        <v>102</v>
      </c>
      <c r="B81" s="66"/>
      <c r="C81" s="64" t="s">
        <v>103</v>
      </c>
      <c r="D81" s="46"/>
      <c r="E81" s="79">
        <f t="shared" si="26"/>
        <v>3405558</v>
      </c>
      <c r="F81" s="79"/>
      <c r="G81" s="79">
        <v>26815955</v>
      </c>
      <c r="H81" s="79"/>
      <c r="I81" s="79">
        <v>30221513</v>
      </c>
      <c r="J81" s="79"/>
      <c r="K81" s="79">
        <f t="shared" si="27"/>
        <v>2920848</v>
      </c>
      <c r="L81" s="79"/>
      <c r="M81" s="79">
        <v>5393119</v>
      </c>
      <c r="N81" s="79"/>
      <c r="O81" s="79">
        <v>8313967</v>
      </c>
      <c r="P81" s="79"/>
      <c r="Q81" s="79">
        <v>19195770</v>
      </c>
      <c r="R81" s="79"/>
      <c r="S81" s="79">
        <v>0</v>
      </c>
      <c r="T81" s="79"/>
      <c r="U81" s="79">
        <v>2711776</v>
      </c>
      <c r="V81" s="79"/>
      <c r="W81" s="79">
        <f t="shared" ref="W81:W144" si="29">SUM(Q81:U81)</f>
        <v>21907546</v>
      </c>
      <c r="X81" s="79"/>
      <c r="Y81" s="64" t="s">
        <v>102</v>
      </c>
      <c r="AA81" s="64" t="s">
        <v>103</v>
      </c>
      <c r="AB81" s="64"/>
      <c r="AC81" s="79">
        <v>4806510</v>
      </c>
      <c r="AD81" s="79"/>
      <c r="AE81" s="79">
        <f>4742742-1154476</f>
        <v>3588266</v>
      </c>
      <c r="AF81" s="79"/>
      <c r="AG81" s="79">
        <v>1154476</v>
      </c>
      <c r="AH81" s="79"/>
      <c r="AI81" s="94">
        <f t="shared" si="28"/>
        <v>63768</v>
      </c>
      <c r="AJ81" s="94"/>
      <c r="AK81" s="79">
        <v>-276391</v>
      </c>
      <c r="AL81" s="94"/>
      <c r="AM81" s="79">
        <v>0</v>
      </c>
      <c r="AN81" s="79"/>
      <c r="AO81" s="79">
        <v>0</v>
      </c>
      <c r="AP81" s="79"/>
      <c r="AQ81" s="79">
        <v>18266</v>
      </c>
      <c r="AR81" s="79"/>
      <c r="AS81" s="94">
        <f t="shared" si="25"/>
        <v>-194357</v>
      </c>
      <c r="AT81" s="94"/>
      <c r="AU81" s="79">
        <v>0</v>
      </c>
      <c r="AV81" s="79"/>
      <c r="AW81" s="79">
        <v>0</v>
      </c>
      <c r="AX81" s="79"/>
      <c r="AY81" s="79">
        <f t="shared" ref="AY81:AY144" si="30">+E81-K81</f>
        <v>484710</v>
      </c>
      <c r="AZ81" s="79"/>
      <c r="BA81" s="64" t="s">
        <v>102</v>
      </c>
      <c r="BC81" s="64" t="s">
        <v>103</v>
      </c>
      <c r="BD81" s="79"/>
      <c r="BE81" s="79">
        <f>5154545+765640</f>
        <v>5920185</v>
      </c>
      <c r="BF81" s="79"/>
      <c r="BG81" s="79">
        <v>0</v>
      </c>
      <c r="BH81" s="79"/>
      <c r="BI81" s="79">
        <v>0</v>
      </c>
      <c r="BJ81" s="79"/>
      <c r="BK81" s="79">
        <f>15174+238574</f>
        <v>253748</v>
      </c>
      <c r="BL81" s="79"/>
      <c r="BM81" s="79">
        <f t="shared" ref="BM81:BM143" si="31">SUM(BE81:BK81)</f>
        <v>6173933</v>
      </c>
      <c r="BN81" s="91" t="s">
        <v>347</v>
      </c>
      <c r="BR81" s="66"/>
      <c r="BS81" s="79"/>
      <c r="BT81" s="79"/>
      <c r="BU81" s="79"/>
      <c r="BV81" s="79"/>
      <c r="BW81" s="79"/>
      <c r="BX81" s="94"/>
      <c r="BY81" s="94"/>
      <c r="BZ81" s="79"/>
      <c r="CA81" s="79"/>
      <c r="CB81" s="79"/>
      <c r="CC81" s="79"/>
      <c r="CD81" s="79"/>
      <c r="CE81" s="79"/>
      <c r="CF81" s="64"/>
      <c r="CH81" s="64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91"/>
    </row>
    <row r="82" spans="1:98" s="140" customFormat="1" ht="12.75" hidden="1" customHeight="1">
      <c r="A82" s="126" t="s">
        <v>104</v>
      </c>
      <c r="B82" s="124"/>
      <c r="C82" s="126" t="s">
        <v>13</v>
      </c>
      <c r="D82" s="121"/>
      <c r="E82" s="53">
        <f t="shared" si="26"/>
        <v>0</v>
      </c>
      <c r="F82" s="53"/>
      <c r="G82" s="53">
        <v>0</v>
      </c>
      <c r="H82" s="53"/>
      <c r="I82" s="53">
        <v>0</v>
      </c>
      <c r="J82" s="53"/>
      <c r="K82" s="53">
        <f t="shared" si="27"/>
        <v>0</v>
      </c>
      <c r="L82" s="53"/>
      <c r="M82" s="53">
        <v>0</v>
      </c>
      <c r="N82" s="53"/>
      <c r="O82" s="53">
        <v>0</v>
      </c>
      <c r="P82" s="53"/>
      <c r="Q82" s="53">
        <v>0</v>
      </c>
      <c r="R82" s="53"/>
      <c r="S82" s="53">
        <v>0</v>
      </c>
      <c r="T82" s="53"/>
      <c r="U82" s="53">
        <v>0</v>
      </c>
      <c r="V82" s="137"/>
      <c r="W82" s="137">
        <f t="shared" si="29"/>
        <v>0</v>
      </c>
      <c r="X82" s="137"/>
      <c r="Y82" s="126" t="s">
        <v>104</v>
      </c>
      <c r="AA82" s="126" t="s">
        <v>13</v>
      </c>
      <c r="AB82" s="126"/>
      <c r="AC82" s="53">
        <v>0</v>
      </c>
      <c r="AD82" s="53"/>
      <c r="AE82" s="53">
        <v>0</v>
      </c>
      <c r="AF82" s="53"/>
      <c r="AG82" s="53">
        <v>0</v>
      </c>
      <c r="AH82" s="53"/>
      <c r="AI82" s="45">
        <f t="shared" si="28"/>
        <v>0</v>
      </c>
      <c r="AJ82" s="45"/>
      <c r="AK82" s="53">
        <v>0</v>
      </c>
      <c r="AL82" s="45"/>
      <c r="AM82" s="53">
        <v>0</v>
      </c>
      <c r="AN82" s="53"/>
      <c r="AO82" s="53">
        <v>0</v>
      </c>
      <c r="AP82" s="53"/>
      <c r="AQ82" s="53">
        <v>0</v>
      </c>
      <c r="AR82" s="137"/>
      <c r="AS82" s="45">
        <f t="shared" si="25"/>
        <v>0</v>
      </c>
      <c r="AT82" s="127"/>
      <c r="AU82" s="137">
        <v>0</v>
      </c>
      <c r="AV82" s="137"/>
      <c r="AW82" s="137">
        <v>0</v>
      </c>
      <c r="AX82" s="137"/>
      <c r="AY82" s="137">
        <f t="shared" si="30"/>
        <v>0</v>
      </c>
      <c r="AZ82" s="137"/>
      <c r="BA82" s="126" t="s">
        <v>104</v>
      </c>
      <c r="BC82" s="126" t="s">
        <v>13</v>
      </c>
      <c r="BD82" s="137"/>
      <c r="BE82" s="53">
        <v>0</v>
      </c>
      <c r="BF82" s="53"/>
      <c r="BG82" s="53">
        <v>0</v>
      </c>
      <c r="BH82" s="53"/>
      <c r="BI82" s="53">
        <v>0</v>
      </c>
      <c r="BJ82" s="53"/>
      <c r="BK82" s="53">
        <v>0</v>
      </c>
      <c r="BL82" s="137"/>
      <c r="BM82" s="137">
        <f t="shared" si="31"/>
        <v>0</v>
      </c>
      <c r="BN82" s="139" t="s">
        <v>347</v>
      </c>
      <c r="BR82" s="124"/>
      <c r="BS82" s="137"/>
      <c r="BT82" s="137"/>
      <c r="BU82" s="137"/>
      <c r="BV82" s="137"/>
      <c r="BW82" s="137"/>
      <c r="BX82" s="127"/>
      <c r="BY82" s="127"/>
      <c r="BZ82" s="137"/>
      <c r="CA82" s="137"/>
      <c r="CB82" s="137"/>
      <c r="CC82" s="137"/>
      <c r="CD82" s="137"/>
      <c r="CE82" s="137"/>
      <c r="CF82" s="126"/>
      <c r="CH82" s="126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9"/>
    </row>
    <row r="83" spans="1:98" s="55" customFormat="1" ht="12.75" customHeight="1">
      <c r="A83" s="35" t="s">
        <v>105</v>
      </c>
      <c r="B83" s="51"/>
      <c r="C83" s="35" t="s">
        <v>27</v>
      </c>
      <c r="D83" s="44"/>
      <c r="E83" s="53">
        <f t="shared" si="26"/>
        <v>489674</v>
      </c>
      <c r="F83" s="53"/>
      <c r="G83" s="53">
        <v>16685412</v>
      </c>
      <c r="H83" s="53"/>
      <c r="I83" s="53">
        <v>17175086</v>
      </c>
      <c r="J83" s="53"/>
      <c r="K83" s="53">
        <f t="shared" si="27"/>
        <v>67932</v>
      </c>
      <c r="L83" s="53"/>
      <c r="M83" s="53">
        <v>231396</v>
      </c>
      <c r="N83" s="53"/>
      <c r="O83" s="53">
        <v>299328</v>
      </c>
      <c r="P83" s="53"/>
      <c r="Q83" s="53">
        <v>12409791</v>
      </c>
      <c r="R83" s="53"/>
      <c r="S83" s="53">
        <v>54517</v>
      </c>
      <c r="T83" s="53"/>
      <c r="U83" s="53">
        <v>4411450</v>
      </c>
      <c r="V83" s="53"/>
      <c r="W83" s="53">
        <f t="shared" si="29"/>
        <v>16875758</v>
      </c>
      <c r="X83" s="53"/>
      <c r="Y83" s="35" t="s">
        <v>105</v>
      </c>
      <c r="AA83" s="35" t="s">
        <v>27</v>
      </c>
      <c r="AB83" s="35"/>
      <c r="AC83" s="53">
        <v>1797614</v>
      </c>
      <c r="AD83" s="53"/>
      <c r="AE83" s="53">
        <f>1931538-416669</f>
        <v>1514869</v>
      </c>
      <c r="AF83" s="53"/>
      <c r="AG83" s="53">
        <v>416669</v>
      </c>
      <c r="AH83" s="53"/>
      <c r="AI83" s="45">
        <f t="shared" si="28"/>
        <v>-133924</v>
      </c>
      <c r="AJ83" s="45"/>
      <c r="AK83" s="53">
        <v>-11159</v>
      </c>
      <c r="AL83" s="45"/>
      <c r="AM83" s="53">
        <v>113646</v>
      </c>
      <c r="AN83" s="53"/>
      <c r="AO83" s="53">
        <v>0</v>
      </c>
      <c r="AP83" s="53"/>
      <c r="AQ83" s="53">
        <v>0</v>
      </c>
      <c r="AR83" s="53"/>
      <c r="AS83" s="45">
        <f t="shared" si="25"/>
        <v>-31437</v>
      </c>
      <c r="AT83" s="45"/>
      <c r="AU83" s="53">
        <v>0</v>
      </c>
      <c r="AV83" s="53"/>
      <c r="AW83" s="53">
        <v>0</v>
      </c>
      <c r="AX83" s="53"/>
      <c r="AY83" s="53">
        <f t="shared" si="30"/>
        <v>421742</v>
      </c>
      <c r="AZ83" s="53"/>
      <c r="BA83" s="35" t="s">
        <v>105</v>
      </c>
      <c r="BC83" s="35" t="s">
        <v>27</v>
      </c>
      <c r="BD83" s="53"/>
      <c r="BE83" s="53">
        <v>0</v>
      </c>
      <c r="BF83" s="53"/>
      <c r="BG83" s="53">
        <v>0</v>
      </c>
      <c r="BH83" s="53"/>
      <c r="BI83" s="53">
        <f>117860+36134</f>
        <v>153994</v>
      </c>
      <c r="BJ83" s="53"/>
      <c r="BK83" s="53">
        <f>59019+54517</f>
        <v>113536</v>
      </c>
      <c r="BL83" s="53"/>
      <c r="BM83" s="53">
        <f t="shared" si="31"/>
        <v>267530</v>
      </c>
      <c r="BN83" s="54" t="s">
        <v>347</v>
      </c>
      <c r="BR83" s="51"/>
      <c r="BS83" s="53"/>
      <c r="BT83" s="53"/>
      <c r="BU83" s="53"/>
      <c r="BV83" s="53"/>
      <c r="BW83" s="45"/>
      <c r="BX83" s="45"/>
      <c r="BY83" s="53"/>
      <c r="BZ83" s="53"/>
      <c r="CA83" s="53"/>
      <c r="CB83" s="53"/>
      <c r="CC83" s="53"/>
      <c r="CD83" s="53"/>
      <c r="CE83" s="53"/>
      <c r="CF83" s="44"/>
      <c r="CH83" s="44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4"/>
    </row>
    <row r="84" spans="1:98" s="140" customFormat="1" ht="12.75" hidden="1" customHeight="1">
      <c r="A84" s="126" t="s">
        <v>106</v>
      </c>
      <c r="B84" s="124"/>
      <c r="C84" s="126" t="s">
        <v>107</v>
      </c>
      <c r="D84" s="121"/>
      <c r="E84" s="53">
        <f t="shared" si="26"/>
        <v>0</v>
      </c>
      <c r="F84" s="53"/>
      <c r="G84" s="53">
        <v>0</v>
      </c>
      <c r="H84" s="53"/>
      <c r="I84" s="53">
        <v>0</v>
      </c>
      <c r="J84" s="53"/>
      <c r="K84" s="53">
        <f t="shared" si="27"/>
        <v>0</v>
      </c>
      <c r="L84" s="53"/>
      <c r="M84" s="53">
        <v>0</v>
      </c>
      <c r="N84" s="53"/>
      <c r="O84" s="53">
        <v>0</v>
      </c>
      <c r="P84" s="53"/>
      <c r="Q84" s="53">
        <v>0</v>
      </c>
      <c r="R84" s="53"/>
      <c r="S84" s="53">
        <v>0</v>
      </c>
      <c r="T84" s="53"/>
      <c r="U84" s="53">
        <v>0</v>
      </c>
      <c r="V84" s="137"/>
      <c r="W84" s="137">
        <f t="shared" si="29"/>
        <v>0</v>
      </c>
      <c r="X84" s="137"/>
      <c r="Y84" s="126" t="s">
        <v>106</v>
      </c>
      <c r="AA84" s="126" t="s">
        <v>107</v>
      </c>
      <c r="AB84" s="126"/>
      <c r="AC84" s="53">
        <v>0</v>
      </c>
      <c r="AD84" s="53"/>
      <c r="AE84" s="53">
        <v>0</v>
      </c>
      <c r="AF84" s="53"/>
      <c r="AG84" s="53">
        <v>0</v>
      </c>
      <c r="AH84" s="53"/>
      <c r="AI84" s="45">
        <f t="shared" si="28"/>
        <v>0</v>
      </c>
      <c r="AJ84" s="45"/>
      <c r="AK84" s="53">
        <v>0</v>
      </c>
      <c r="AL84" s="45"/>
      <c r="AM84" s="53">
        <v>0</v>
      </c>
      <c r="AN84" s="53"/>
      <c r="AO84" s="53">
        <v>0</v>
      </c>
      <c r="AP84" s="53"/>
      <c r="AQ84" s="53">
        <v>0</v>
      </c>
      <c r="AR84" s="137"/>
      <c r="AS84" s="45">
        <f t="shared" si="25"/>
        <v>0</v>
      </c>
      <c r="AT84" s="127"/>
      <c r="AU84" s="137">
        <v>0</v>
      </c>
      <c r="AV84" s="137"/>
      <c r="AW84" s="137">
        <v>0</v>
      </c>
      <c r="AX84" s="137"/>
      <c r="AY84" s="137">
        <f t="shared" si="30"/>
        <v>0</v>
      </c>
      <c r="AZ84" s="137"/>
      <c r="BA84" s="126" t="s">
        <v>106</v>
      </c>
      <c r="BC84" s="126" t="s">
        <v>107</v>
      </c>
      <c r="BD84" s="137"/>
      <c r="BE84" s="53">
        <v>0</v>
      </c>
      <c r="BF84" s="53"/>
      <c r="BG84" s="53">
        <v>0</v>
      </c>
      <c r="BH84" s="53"/>
      <c r="BI84" s="53">
        <v>0</v>
      </c>
      <c r="BJ84" s="53"/>
      <c r="BK84" s="53">
        <v>0</v>
      </c>
      <c r="BL84" s="137"/>
      <c r="BM84" s="137">
        <f t="shared" si="31"/>
        <v>0</v>
      </c>
      <c r="BN84" s="139" t="s">
        <v>347</v>
      </c>
      <c r="BR84" s="124"/>
      <c r="BS84" s="137"/>
      <c r="BT84" s="137"/>
      <c r="BU84" s="137"/>
      <c r="BV84" s="137"/>
      <c r="BW84" s="137"/>
      <c r="BX84" s="127"/>
      <c r="BY84" s="127"/>
      <c r="BZ84" s="137"/>
      <c r="CA84" s="137"/>
      <c r="CB84" s="137"/>
      <c r="CC84" s="137"/>
      <c r="CD84" s="137"/>
      <c r="CE84" s="137"/>
      <c r="CF84" s="126"/>
      <c r="CH84" s="126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9"/>
    </row>
    <row r="85" spans="1:98" s="140" customFormat="1" ht="12.75" hidden="1" customHeight="1">
      <c r="A85" s="126" t="s">
        <v>108</v>
      </c>
      <c r="B85" s="124"/>
      <c r="C85" s="126" t="s">
        <v>45</v>
      </c>
      <c r="D85" s="121"/>
      <c r="E85" s="53">
        <f t="shared" si="26"/>
        <v>0</v>
      </c>
      <c r="F85" s="53"/>
      <c r="G85" s="53">
        <v>0</v>
      </c>
      <c r="H85" s="53"/>
      <c r="I85" s="53">
        <v>0</v>
      </c>
      <c r="J85" s="53"/>
      <c r="K85" s="53">
        <f t="shared" si="27"/>
        <v>0</v>
      </c>
      <c r="L85" s="53"/>
      <c r="M85" s="53">
        <v>0</v>
      </c>
      <c r="N85" s="53"/>
      <c r="O85" s="53">
        <v>0</v>
      </c>
      <c r="P85" s="53"/>
      <c r="Q85" s="53">
        <v>0</v>
      </c>
      <c r="R85" s="53"/>
      <c r="S85" s="53">
        <v>0</v>
      </c>
      <c r="T85" s="53"/>
      <c r="U85" s="53">
        <v>0</v>
      </c>
      <c r="V85" s="137"/>
      <c r="W85" s="137">
        <f t="shared" si="29"/>
        <v>0</v>
      </c>
      <c r="X85" s="137"/>
      <c r="Y85" s="126" t="s">
        <v>108</v>
      </c>
      <c r="AA85" s="126" t="s">
        <v>45</v>
      </c>
      <c r="AB85" s="126"/>
      <c r="AC85" s="53">
        <v>0</v>
      </c>
      <c r="AD85" s="53"/>
      <c r="AE85" s="53">
        <v>0</v>
      </c>
      <c r="AF85" s="53"/>
      <c r="AG85" s="53">
        <v>0</v>
      </c>
      <c r="AH85" s="53"/>
      <c r="AI85" s="45">
        <f t="shared" si="28"/>
        <v>0</v>
      </c>
      <c r="AJ85" s="45"/>
      <c r="AK85" s="53">
        <v>0</v>
      </c>
      <c r="AL85" s="45"/>
      <c r="AM85" s="53">
        <v>0</v>
      </c>
      <c r="AN85" s="53"/>
      <c r="AO85" s="53">
        <v>0</v>
      </c>
      <c r="AP85" s="53"/>
      <c r="AQ85" s="53">
        <v>0</v>
      </c>
      <c r="AR85" s="137"/>
      <c r="AS85" s="45">
        <f t="shared" si="25"/>
        <v>0</v>
      </c>
      <c r="AT85" s="127"/>
      <c r="AU85" s="137">
        <v>0</v>
      </c>
      <c r="AV85" s="137"/>
      <c r="AW85" s="137">
        <v>0</v>
      </c>
      <c r="AX85" s="137"/>
      <c r="AY85" s="137">
        <f t="shared" si="30"/>
        <v>0</v>
      </c>
      <c r="AZ85" s="137"/>
      <c r="BA85" s="126" t="s">
        <v>108</v>
      </c>
      <c r="BC85" s="126" t="s">
        <v>45</v>
      </c>
      <c r="BD85" s="137"/>
      <c r="BE85" s="53">
        <v>0</v>
      </c>
      <c r="BF85" s="53"/>
      <c r="BG85" s="53">
        <v>0</v>
      </c>
      <c r="BH85" s="53"/>
      <c r="BI85" s="53">
        <v>0</v>
      </c>
      <c r="BJ85" s="53"/>
      <c r="BK85" s="53">
        <v>0</v>
      </c>
      <c r="BL85" s="137"/>
      <c r="BM85" s="137">
        <f t="shared" si="31"/>
        <v>0</v>
      </c>
      <c r="BN85" s="139" t="s">
        <v>347</v>
      </c>
      <c r="BO85" s="140" t="s">
        <v>404</v>
      </c>
      <c r="BR85" s="124"/>
      <c r="BS85" s="137"/>
      <c r="BT85" s="137"/>
      <c r="BU85" s="137"/>
      <c r="BV85" s="137"/>
      <c r="BW85" s="137"/>
      <c r="BX85" s="127"/>
      <c r="BY85" s="127"/>
      <c r="BZ85" s="137"/>
      <c r="CA85" s="137"/>
      <c r="CB85" s="137"/>
      <c r="CC85" s="137"/>
      <c r="CD85" s="137"/>
      <c r="CE85" s="137"/>
      <c r="CF85" s="126"/>
      <c r="CH85" s="126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9"/>
    </row>
    <row r="86" spans="1:98" s="55" customFormat="1" ht="12.75" customHeight="1">
      <c r="A86" s="35" t="s">
        <v>109</v>
      </c>
      <c r="C86" s="35" t="s">
        <v>110</v>
      </c>
      <c r="D86" s="44"/>
      <c r="E86" s="53">
        <f t="shared" si="26"/>
        <v>1988230</v>
      </c>
      <c r="F86" s="53"/>
      <c r="G86" s="53">
        <v>13736084</v>
      </c>
      <c r="H86" s="53"/>
      <c r="I86" s="53">
        <v>15724314</v>
      </c>
      <c r="J86" s="53"/>
      <c r="K86" s="53">
        <f t="shared" si="27"/>
        <v>787275</v>
      </c>
      <c r="L86" s="53"/>
      <c r="M86" s="53">
        <v>2756455</v>
      </c>
      <c r="N86" s="53"/>
      <c r="O86" s="53">
        <v>3543730</v>
      </c>
      <c r="P86" s="53"/>
      <c r="Q86" s="53">
        <v>10690379</v>
      </c>
      <c r="R86" s="53"/>
      <c r="S86" s="53">
        <v>0</v>
      </c>
      <c r="T86" s="53"/>
      <c r="U86" s="53">
        <v>1490205</v>
      </c>
      <c r="V86" s="53"/>
      <c r="W86" s="53">
        <f t="shared" si="29"/>
        <v>12180584</v>
      </c>
      <c r="X86" s="53"/>
      <c r="Y86" s="35" t="s">
        <v>109</v>
      </c>
      <c r="AA86" s="35" t="s">
        <v>110</v>
      </c>
      <c r="AB86" s="35"/>
      <c r="AC86" s="53">
        <v>2738334</v>
      </c>
      <c r="AD86" s="53"/>
      <c r="AE86" s="53">
        <f>2108453-354786</f>
        <v>1753667</v>
      </c>
      <c r="AF86" s="53"/>
      <c r="AG86" s="53">
        <v>354786</v>
      </c>
      <c r="AH86" s="53"/>
      <c r="AI86" s="45">
        <f t="shared" si="28"/>
        <v>629881</v>
      </c>
      <c r="AJ86" s="45"/>
      <c r="AK86" s="53">
        <v>50052</v>
      </c>
      <c r="AL86" s="45"/>
      <c r="AM86" s="53">
        <v>0</v>
      </c>
      <c r="AN86" s="53"/>
      <c r="AO86" s="53">
        <v>0</v>
      </c>
      <c r="AP86" s="53"/>
      <c r="AQ86" s="53">
        <v>460989</v>
      </c>
      <c r="AR86" s="53"/>
      <c r="AS86" s="45">
        <f t="shared" si="25"/>
        <v>1140922</v>
      </c>
      <c r="AT86" s="45"/>
      <c r="AU86" s="53">
        <v>0</v>
      </c>
      <c r="AV86" s="53"/>
      <c r="AW86" s="53">
        <v>0</v>
      </c>
      <c r="AX86" s="53"/>
      <c r="AY86" s="53">
        <f t="shared" si="30"/>
        <v>1200955</v>
      </c>
      <c r="AZ86" s="53"/>
      <c r="BA86" s="35" t="s">
        <v>109</v>
      </c>
      <c r="BC86" s="35" t="s">
        <v>110</v>
      </c>
      <c r="BD86" s="53"/>
      <c r="BE86" s="53">
        <v>0</v>
      </c>
      <c r="BF86" s="53"/>
      <c r="BG86" s="53">
        <v>0</v>
      </c>
      <c r="BH86" s="53"/>
      <c r="BI86" s="53">
        <f>2568730+119885+344992+12098</f>
        <v>3045705</v>
      </c>
      <c r="BJ86" s="53"/>
      <c r="BK86" s="53">
        <f>67840+47523</f>
        <v>115363</v>
      </c>
      <c r="BL86" s="53"/>
      <c r="BM86" s="53">
        <f t="shared" si="31"/>
        <v>3161068</v>
      </c>
      <c r="BN86" s="54" t="s">
        <v>347</v>
      </c>
      <c r="BR86" s="51"/>
      <c r="BS86" s="53"/>
      <c r="BT86" s="53"/>
      <c r="BU86" s="53"/>
      <c r="BV86" s="53"/>
      <c r="BW86" s="53"/>
      <c r="BX86" s="45"/>
      <c r="BY86" s="45"/>
      <c r="BZ86" s="53"/>
      <c r="CA86" s="53"/>
      <c r="CB86" s="53"/>
      <c r="CC86" s="53"/>
      <c r="CD86" s="53"/>
      <c r="CE86" s="53"/>
      <c r="CF86" s="35"/>
      <c r="CH86" s="35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4"/>
    </row>
    <row r="87" spans="1:98" s="55" customFormat="1" ht="12.75" customHeight="1">
      <c r="A87" s="35" t="s">
        <v>43</v>
      </c>
      <c r="B87" s="51"/>
      <c r="C87" s="35" t="s">
        <v>111</v>
      </c>
      <c r="D87" s="44"/>
      <c r="E87" s="53">
        <f t="shared" si="26"/>
        <v>1137811</v>
      </c>
      <c r="F87" s="53"/>
      <c r="G87" s="53">
        <v>4368789</v>
      </c>
      <c r="H87" s="53"/>
      <c r="I87" s="53">
        <v>5506600</v>
      </c>
      <c r="J87" s="53"/>
      <c r="K87" s="53">
        <f t="shared" si="27"/>
        <v>519276</v>
      </c>
      <c r="L87" s="53"/>
      <c r="M87" s="53">
        <v>115222</v>
      </c>
      <c r="N87" s="53"/>
      <c r="O87" s="53">
        <v>634498</v>
      </c>
      <c r="P87" s="53"/>
      <c r="Q87" s="53">
        <v>3790124</v>
      </c>
      <c r="R87" s="53"/>
      <c r="S87" s="53">
        <v>0</v>
      </c>
      <c r="T87" s="53"/>
      <c r="U87" s="53">
        <v>1081978</v>
      </c>
      <c r="V87" s="53"/>
      <c r="W87" s="53">
        <f t="shared" si="29"/>
        <v>4872102</v>
      </c>
      <c r="X87" s="53"/>
      <c r="Y87" s="35" t="s">
        <v>43</v>
      </c>
      <c r="AA87" s="35" t="s">
        <v>111</v>
      </c>
      <c r="AB87" s="35"/>
      <c r="AC87" s="53">
        <v>2949890</v>
      </c>
      <c r="AD87" s="53"/>
      <c r="AE87" s="53">
        <f>2748200-148160</f>
        <v>2600040</v>
      </c>
      <c r="AF87" s="53"/>
      <c r="AG87" s="53">
        <v>148160</v>
      </c>
      <c r="AH87" s="53"/>
      <c r="AI87" s="45">
        <f t="shared" si="28"/>
        <v>201690</v>
      </c>
      <c r="AJ87" s="45"/>
      <c r="AK87" s="53">
        <v>0</v>
      </c>
      <c r="AL87" s="45"/>
      <c r="AM87" s="53">
        <v>0</v>
      </c>
      <c r="AN87" s="53"/>
      <c r="AO87" s="53">
        <v>60142</v>
      </c>
      <c r="AP87" s="53"/>
      <c r="AQ87" s="53">
        <v>229494</v>
      </c>
      <c r="AR87" s="53"/>
      <c r="AS87" s="45">
        <f t="shared" si="25"/>
        <v>371042</v>
      </c>
      <c r="AT87" s="45"/>
      <c r="AU87" s="53">
        <v>0</v>
      </c>
      <c r="AV87" s="53"/>
      <c r="AW87" s="53">
        <v>0</v>
      </c>
      <c r="AX87" s="53"/>
      <c r="AY87" s="53">
        <f t="shared" si="30"/>
        <v>618535</v>
      </c>
      <c r="AZ87" s="53"/>
      <c r="BA87" s="35" t="s">
        <v>43</v>
      </c>
      <c r="BC87" s="35" t="s">
        <v>111</v>
      </c>
      <c r="BD87" s="53"/>
      <c r="BE87" s="53">
        <v>0</v>
      </c>
      <c r="BF87" s="53"/>
      <c r="BG87" s="53">
        <v>0</v>
      </c>
      <c r="BH87" s="53"/>
      <c r="BI87" s="53">
        <v>0</v>
      </c>
      <c r="BJ87" s="53"/>
      <c r="BK87" s="53">
        <f>49541+65681+21113</f>
        <v>136335</v>
      </c>
      <c r="BL87" s="53"/>
      <c r="BM87" s="53">
        <f t="shared" si="31"/>
        <v>136335</v>
      </c>
      <c r="BN87" s="54" t="s">
        <v>347</v>
      </c>
      <c r="BR87" s="51"/>
      <c r="BS87" s="53"/>
      <c r="BT87" s="53"/>
      <c r="BU87" s="53"/>
      <c r="BV87" s="53"/>
      <c r="BW87" s="53"/>
      <c r="BX87" s="45"/>
      <c r="BY87" s="45"/>
      <c r="BZ87" s="53"/>
      <c r="CA87" s="53"/>
      <c r="CB87" s="53"/>
      <c r="CC87" s="53"/>
      <c r="CD87" s="53"/>
      <c r="CE87" s="53"/>
      <c r="CF87" s="35"/>
      <c r="CH87" s="35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4"/>
    </row>
    <row r="88" spans="1:98" s="55" customFormat="1" ht="12.75" customHeight="1">
      <c r="A88" s="35" t="s">
        <v>112</v>
      </c>
      <c r="B88" s="65"/>
      <c r="C88" s="35" t="s">
        <v>76</v>
      </c>
      <c r="D88" s="44"/>
      <c r="E88" s="53">
        <f t="shared" ref="E88:E90" si="32">I88-G88</f>
        <v>5609312</v>
      </c>
      <c r="F88" s="53"/>
      <c r="G88" s="53">
        <v>9813440</v>
      </c>
      <c r="H88" s="53"/>
      <c r="I88" s="53">
        <v>15422752</v>
      </c>
      <c r="J88" s="53"/>
      <c r="K88" s="53">
        <f t="shared" ref="K88:K144" si="33">O88-M88</f>
        <v>225979</v>
      </c>
      <c r="L88" s="53"/>
      <c r="M88" s="53">
        <v>377926</v>
      </c>
      <c r="N88" s="53"/>
      <c r="O88" s="53">
        <v>603905</v>
      </c>
      <c r="P88" s="53"/>
      <c r="Q88" s="53">
        <v>9403457</v>
      </c>
      <c r="R88" s="53"/>
      <c r="S88" s="53">
        <v>0</v>
      </c>
      <c r="T88" s="53"/>
      <c r="U88" s="53">
        <v>5415390</v>
      </c>
      <c r="V88" s="53"/>
      <c r="W88" s="53">
        <f t="shared" si="29"/>
        <v>14818847</v>
      </c>
      <c r="X88" s="53"/>
      <c r="Y88" s="35" t="s">
        <v>112</v>
      </c>
      <c r="AA88" s="35" t="s">
        <v>76</v>
      </c>
      <c r="AB88" s="35"/>
      <c r="AC88" s="53">
        <v>5367550</v>
      </c>
      <c r="AD88" s="53"/>
      <c r="AE88" s="53">
        <f>3731293-546539</f>
        <v>3184754</v>
      </c>
      <c r="AF88" s="53"/>
      <c r="AG88" s="53">
        <v>546539</v>
      </c>
      <c r="AH88" s="53"/>
      <c r="AI88" s="45">
        <f t="shared" ref="AI88:AI144" si="34">+AC88-AE88-AG88</f>
        <v>1636257</v>
      </c>
      <c r="AJ88" s="45"/>
      <c r="AK88" s="53">
        <v>174</v>
      </c>
      <c r="AL88" s="45"/>
      <c r="AM88" s="53">
        <v>0</v>
      </c>
      <c r="AN88" s="53"/>
      <c r="AO88" s="53">
        <v>0</v>
      </c>
      <c r="AP88" s="53"/>
      <c r="AQ88" s="53">
        <v>270303</v>
      </c>
      <c r="AR88" s="53"/>
      <c r="AS88" s="45">
        <f t="shared" si="25"/>
        <v>1906734</v>
      </c>
      <c r="AT88" s="45"/>
      <c r="AU88" s="53">
        <v>0</v>
      </c>
      <c r="AV88" s="53"/>
      <c r="AW88" s="53">
        <v>0</v>
      </c>
      <c r="AX88" s="53"/>
      <c r="AY88" s="53">
        <f t="shared" si="30"/>
        <v>5383333</v>
      </c>
      <c r="AZ88" s="53"/>
      <c r="BA88" s="35" t="s">
        <v>112</v>
      </c>
      <c r="BC88" s="35" t="s">
        <v>76</v>
      </c>
      <c r="BD88" s="53"/>
      <c r="BE88" s="53">
        <v>0</v>
      </c>
      <c r="BF88" s="53"/>
      <c r="BG88" s="53">
        <v>0</v>
      </c>
      <c r="BH88" s="53"/>
      <c r="BI88" s="53">
        <f>223367+19225</f>
        <v>242592</v>
      </c>
      <c r="BJ88" s="53"/>
      <c r="BK88" s="53">
        <f>64879+154559</f>
        <v>219438</v>
      </c>
      <c r="BL88" s="53"/>
      <c r="BM88" s="53">
        <f t="shared" si="31"/>
        <v>462030</v>
      </c>
      <c r="BN88" s="54" t="s">
        <v>347</v>
      </c>
      <c r="BR88" s="65"/>
      <c r="BS88" s="53"/>
      <c r="BT88" s="53"/>
      <c r="BU88" s="53"/>
      <c r="BV88" s="53"/>
      <c r="BW88" s="53"/>
      <c r="BX88" s="45"/>
      <c r="BY88" s="45"/>
      <c r="BZ88" s="53"/>
      <c r="CA88" s="53"/>
      <c r="CB88" s="53"/>
      <c r="CC88" s="53"/>
      <c r="CD88" s="53"/>
      <c r="CE88" s="53"/>
      <c r="CF88" s="35"/>
      <c r="CH88" s="35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4"/>
    </row>
    <row r="89" spans="1:98" s="55" customFormat="1" ht="12.75" customHeight="1">
      <c r="A89" s="35" t="s">
        <v>113</v>
      </c>
      <c r="B89" s="65"/>
      <c r="C89" s="35" t="s">
        <v>43</v>
      </c>
      <c r="D89" s="44"/>
      <c r="E89" s="53">
        <f t="shared" si="32"/>
        <v>14937723</v>
      </c>
      <c r="F89" s="53"/>
      <c r="G89" s="53">
        <v>16657677</v>
      </c>
      <c r="H89" s="53"/>
      <c r="I89" s="53">
        <v>31595400</v>
      </c>
      <c r="J89" s="53"/>
      <c r="K89" s="53">
        <f t="shared" si="33"/>
        <v>535133</v>
      </c>
      <c r="L89" s="53"/>
      <c r="M89" s="53">
        <v>322252</v>
      </c>
      <c r="N89" s="53"/>
      <c r="O89" s="53">
        <v>857385</v>
      </c>
      <c r="P89" s="53"/>
      <c r="Q89" s="53">
        <v>16302298</v>
      </c>
      <c r="R89" s="53"/>
      <c r="S89" s="53">
        <v>0</v>
      </c>
      <c r="T89" s="53"/>
      <c r="U89" s="53">
        <v>14435717</v>
      </c>
      <c r="V89" s="53"/>
      <c r="W89" s="53">
        <f t="shared" si="29"/>
        <v>30738015</v>
      </c>
      <c r="X89" s="53"/>
      <c r="Y89" s="35" t="s">
        <v>113</v>
      </c>
      <c r="AA89" s="35" t="s">
        <v>43</v>
      </c>
      <c r="AB89" s="35"/>
      <c r="AC89" s="53">
        <v>5506268</v>
      </c>
      <c r="AD89" s="53"/>
      <c r="AE89" s="53">
        <f>6424720-479458</f>
        <v>5945262</v>
      </c>
      <c r="AF89" s="53"/>
      <c r="AG89" s="53">
        <v>479458</v>
      </c>
      <c r="AH89" s="53"/>
      <c r="AI89" s="45">
        <f t="shared" si="34"/>
        <v>-918452</v>
      </c>
      <c r="AJ89" s="45"/>
      <c r="AK89" s="53">
        <v>-16258</v>
      </c>
      <c r="AL89" s="45"/>
      <c r="AM89" s="53">
        <v>0</v>
      </c>
      <c r="AN89" s="53"/>
      <c r="AO89" s="53">
        <v>0</v>
      </c>
      <c r="AP89" s="53"/>
      <c r="AQ89" s="53">
        <v>0</v>
      </c>
      <c r="AR89" s="53"/>
      <c r="AS89" s="45">
        <f t="shared" si="25"/>
        <v>-934710</v>
      </c>
      <c r="AT89" s="45"/>
      <c r="AU89" s="53">
        <v>0</v>
      </c>
      <c r="AV89" s="53"/>
      <c r="AW89" s="53">
        <v>0</v>
      </c>
      <c r="AX89" s="53"/>
      <c r="AY89" s="53">
        <f t="shared" si="30"/>
        <v>14402590</v>
      </c>
      <c r="AZ89" s="53"/>
      <c r="BA89" s="35" t="s">
        <v>113</v>
      </c>
      <c r="BC89" s="35" t="s">
        <v>43</v>
      </c>
      <c r="BD89" s="53"/>
      <c r="BE89" s="53">
        <f>303685+12802</f>
        <v>316487</v>
      </c>
      <c r="BF89" s="53"/>
      <c r="BG89" s="53">
        <v>0</v>
      </c>
      <c r="BH89" s="53"/>
      <c r="BI89" s="53">
        <f>18567+17231</f>
        <v>35798</v>
      </c>
      <c r="BJ89" s="53"/>
      <c r="BK89" s="53">
        <v>0</v>
      </c>
      <c r="BL89" s="53"/>
      <c r="BM89" s="53">
        <f t="shared" si="31"/>
        <v>352285</v>
      </c>
      <c r="BN89" s="54" t="s">
        <v>347</v>
      </c>
      <c r="BR89" s="65"/>
      <c r="BS89" s="53"/>
      <c r="BT89" s="53"/>
      <c r="BU89" s="53"/>
      <c r="BV89" s="53"/>
      <c r="BW89" s="53"/>
      <c r="BX89" s="45"/>
      <c r="BY89" s="45"/>
      <c r="BZ89" s="53"/>
      <c r="CA89" s="53"/>
      <c r="CB89" s="53"/>
      <c r="CC89" s="53"/>
      <c r="CD89" s="53"/>
      <c r="CE89" s="53"/>
      <c r="CF89" s="35"/>
      <c r="CH89" s="35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4"/>
    </row>
    <row r="90" spans="1:98" s="55" customFormat="1" ht="12.75" customHeight="1">
      <c r="A90" s="35" t="s">
        <v>489</v>
      </c>
      <c r="B90" s="51"/>
      <c r="C90" s="35" t="s">
        <v>57</v>
      </c>
      <c r="D90" s="44"/>
      <c r="E90" s="53">
        <f t="shared" si="32"/>
        <v>2473924</v>
      </c>
      <c r="F90" s="53"/>
      <c r="G90" s="53">
        <v>10878013</v>
      </c>
      <c r="H90" s="53"/>
      <c r="I90" s="53">
        <v>13351937</v>
      </c>
      <c r="J90" s="53"/>
      <c r="K90" s="53">
        <f t="shared" si="33"/>
        <v>705230</v>
      </c>
      <c r="L90" s="53"/>
      <c r="M90" s="53">
        <v>5612381</v>
      </c>
      <c r="N90" s="53"/>
      <c r="O90" s="53">
        <v>6317611</v>
      </c>
      <c r="P90" s="53"/>
      <c r="Q90" s="53">
        <v>5093726</v>
      </c>
      <c r="R90" s="53"/>
      <c r="S90" s="53">
        <v>0</v>
      </c>
      <c r="T90" s="53"/>
      <c r="U90" s="53">
        <v>1940600</v>
      </c>
      <c r="V90" s="53"/>
      <c r="W90" s="53">
        <f>SUM(Q90:U90)</f>
        <v>7034326</v>
      </c>
      <c r="X90" s="53"/>
      <c r="Y90" s="35" t="s">
        <v>490</v>
      </c>
      <c r="AA90" s="35" t="s">
        <v>57</v>
      </c>
      <c r="AB90" s="35"/>
      <c r="AC90" s="53">
        <v>2318922</v>
      </c>
      <c r="AD90" s="53"/>
      <c r="AE90" s="53">
        <f>1679253-246073</f>
        <v>1433180</v>
      </c>
      <c r="AF90" s="53"/>
      <c r="AG90" s="53">
        <v>246073</v>
      </c>
      <c r="AH90" s="53"/>
      <c r="AI90" s="45">
        <f t="shared" si="34"/>
        <v>639669</v>
      </c>
      <c r="AJ90" s="45"/>
      <c r="AK90" s="53">
        <v>-230252</v>
      </c>
      <c r="AL90" s="45"/>
      <c r="AM90" s="53">
        <v>44520</v>
      </c>
      <c r="AN90" s="53"/>
      <c r="AO90" s="53">
        <v>44520</v>
      </c>
      <c r="AP90" s="53"/>
      <c r="AQ90" s="53">
        <v>0</v>
      </c>
      <c r="AR90" s="53"/>
      <c r="AS90" s="45">
        <f t="shared" si="25"/>
        <v>409417</v>
      </c>
      <c r="AT90" s="45"/>
      <c r="AU90" s="53">
        <v>0</v>
      </c>
      <c r="AV90" s="53"/>
      <c r="AW90" s="53">
        <v>0</v>
      </c>
      <c r="AX90" s="53"/>
      <c r="AY90" s="53">
        <f>+E90-K90</f>
        <v>1768694</v>
      </c>
      <c r="AZ90" s="53"/>
      <c r="BA90" s="35" t="s">
        <v>489</v>
      </c>
      <c r="BC90" s="35" t="s">
        <v>57</v>
      </c>
      <c r="BD90" s="53"/>
      <c r="BE90" s="53">
        <v>0</v>
      </c>
      <c r="BF90" s="53"/>
      <c r="BG90" s="53">
        <v>0</v>
      </c>
      <c r="BH90" s="53"/>
      <c r="BI90" s="53">
        <f>67268+5364046+26907+80692</f>
        <v>5538913</v>
      </c>
      <c r="BJ90" s="53"/>
      <c r="BK90" s="53">
        <f>71871+109196+21300</f>
        <v>202367</v>
      </c>
      <c r="BL90" s="53"/>
      <c r="BM90" s="53">
        <f>SUM(BE90:BK90)</f>
        <v>5741280</v>
      </c>
      <c r="BN90" s="54" t="s">
        <v>347</v>
      </c>
      <c r="BR90" s="51"/>
      <c r="BS90" s="53"/>
      <c r="BT90" s="53"/>
      <c r="BU90" s="53"/>
      <c r="BV90" s="53"/>
      <c r="BW90" s="53"/>
      <c r="BX90" s="45"/>
      <c r="BY90" s="45"/>
      <c r="BZ90" s="53"/>
      <c r="CA90" s="53"/>
      <c r="CB90" s="53"/>
      <c r="CC90" s="53"/>
      <c r="CD90" s="53"/>
      <c r="CE90" s="53"/>
      <c r="CF90" s="35"/>
      <c r="CH90" s="35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4"/>
    </row>
    <row r="91" spans="1:98" s="140" customFormat="1" ht="12.75" hidden="1" customHeight="1">
      <c r="A91" s="126" t="s">
        <v>114</v>
      </c>
      <c r="B91" s="124"/>
      <c r="C91" s="126" t="s">
        <v>27</v>
      </c>
      <c r="D91" s="121"/>
      <c r="E91" s="53">
        <f t="shared" ref="E91:E154" si="35">I91-G91</f>
        <v>0</v>
      </c>
      <c r="F91" s="53"/>
      <c r="G91" s="53">
        <v>0</v>
      </c>
      <c r="H91" s="53"/>
      <c r="I91" s="53">
        <v>0</v>
      </c>
      <c r="J91" s="53"/>
      <c r="K91" s="53">
        <f t="shared" si="33"/>
        <v>0</v>
      </c>
      <c r="L91" s="53"/>
      <c r="M91" s="53">
        <v>0</v>
      </c>
      <c r="N91" s="53"/>
      <c r="O91" s="53">
        <v>0</v>
      </c>
      <c r="P91" s="53"/>
      <c r="Q91" s="53">
        <v>0</v>
      </c>
      <c r="R91" s="53"/>
      <c r="S91" s="53">
        <v>0</v>
      </c>
      <c r="T91" s="53"/>
      <c r="U91" s="53">
        <v>0</v>
      </c>
      <c r="V91" s="137"/>
      <c r="W91" s="137">
        <f t="shared" si="29"/>
        <v>0</v>
      </c>
      <c r="X91" s="137"/>
      <c r="Y91" s="126" t="s">
        <v>114</v>
      </c>
      <c r="AA91" s="126" t="s">
        <v>27</v>
      </c>
      <c r="AB91" s="126"/>
      <c r="AC91" s="53">
        <v>0</v>
      </c>
      <c r="AD91" s="53"/>
      <c r="AE91" s="53">
        <v>0</v>
      </c>
      <c r="AF91" s="53"/>
      <c r="AG91" s="53">
        <v>0</v>
      </c>
      <c r="AH91" s="53"/>
      <c r="AI91" s="45">
        <f t="shared" si="34"/>
        <v>0</v>
      </c>
      <c r="AJ91" s="45"/>
      <c r="AK91" s="53">
        <v>0</v>
      </c>
      <c r="AL91" s="45"/>
      <c r="AM91" s="53">
        <v>0</v>
      </c>
      <c r="AN91" s="53"/>
      <c r="AO91" s="53">
        <v>0</v>
      </c>
      <c r="AP91" s="53"/>
      <c r="AQ91" s="53">
        <v>0</v>
      </c>
      <c r="AR91" s="137"/>
      <c r="AS91" s="45">
        <f t="shared" si="25"/>
        <v>0</v>
      </c>
      <c r="AT91" s="127"/>
      <c r="AU91" s="137">
        <v>0</v>
      </c>
      <c r="AV91" s="137"/>
      <c r="AW91" s="137">
        <v>0</v>
      </c>
      <c r="AX91" s="137"/>
      <c r="AY91" s="137">
        <f t="shared" si="30"/>
        <v>0</v>
      </c>
      <c r="AZ91" s="137"/>
      <c r="BA91" s="126" t="s">
        <v>114</v>
      </c>
      <c r="BC91" s="126" t="s">
        <v>27</v>
      </c>
      <c r="BD91" s="137"/>
      <c r="BE91" s="53">
        <v>0</v>
      </c>
      <c r="BF91" s="53"/>
      <c r="BG91" s="53">
        <v>0</v>
      </c>
      <c r="BH91" s="53"/>
      <c r="BI91" s="53">
        <v>0</v>
      </c>
      <c r="BJ91" s="53"/>
      <c r="BK91" s="53">
        <v>0</v>
      </c>
      <c r="BL91" s="137"/>
      <c r="BM91" s="137">
        <f t="shared" si="31"/>
        <v>0</v>
      </c>
      <c r="BN91" s="139" t="s">
        <v>347</v>
      </c>
      <c r="BR91" s="124"/>
      <c r="BS91" s="137"/>
      <c r="BT91" s="137"/>
      <c r="BU91" s="137"/>
      <c r="BV91" s="137"/>
      <c r="BW91" s="137"/>
      <c r="BX91" s="127"/>
      <c r="BY91" s="127"/>
      <c r="BZ91" s="137"/>
      <c r="CA91" s="137"/>
      <c r="CB91" s="137"/>
      <c r="CC91" s="137"/>
      <c r="CD91" s="137"/>
      <c r="CE91" s="137"/>
      <c r="CF91" s="126"/>
      <c r="CH91" s="126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9"/>
    </row>
    <row r="92" spans="1:98" s="55" customFormat="1" ht="12.75" customHeight="1">
      <c r="A92" s="35" t="s">
        <v>115</v>
      </c>
      <c r="C92" s="35" t="s">
        <v>19</v>
      </c>
      <c r="D92" s="44"/>
      <c r="E92" s="53">
        <f t="shared" si="35"/>
        <v>1534052</v>
      </c>
      <c r="F92" s="53"/>
      <c r="G92" s="53">
        <v>6248871</v>
      </c>
      <c r="H92" s="53"/>
      <c r="I92" s="53">
        <v>7782923</v>
      </c>
      <c r="J92" s="53"/>
      <c r="K92" s="53">
        <f t="shared" si="33"/>
        <v>627093</v>
      </c>
      <c r="L92" s="53"/>
      <c r="M92" s="53">
        <v>3392756</v>
      </c>
      <c r="N92" s="53"/>
      <c r="O92" s="53">
        <v>4019849</v>
      </c>
      <c r="P92" s="53"/>
      <c r="Q92" s="53">
        <v>2394178</v>
      </c>
      <c r="R92" s="53"/>
      <c r="S92" s="53">
        <v>0</v>
      </c>
      <c r="T92" s="53"/>
      <c r="U92" s="53">
        <v>1368896</v>
      </c>
      <c r="V92" s="53"/>
      <c r="W92" s="53">
        <f t="shared" si="29"/>
        <v>3763074</v>
      </c>
      <c r="X92" s="53"/>
      <c r="Y92" s="35" t="s">
        <v>115</v>
      </c>
      <c r="AA92" s="35" t="s">
        <v>19</v>
      </c>
      <c r="AB92" s="35"/>
      <c r="AC92" s="53">
        <v>1493121</v>
      </c>
      <c r="AD92" s="53"/>
      <c r="AE92" s="53">
        <f>1381397-218289</f>
        <v>1163108</v>
      </c>
      <c r="AF92" s="53"/>
      <c r="AG92" s="53">
        <v>218289</v>
      </c>
      <c r="AH92" s="53"/>
      <c r="AI92" s="45">
        <f t="shared" si="34"/>
        <v>111724</v>
      </c>
      <c r="AJ92" s="45"/>
      <c r="AK92" s="53">
        <v>770759</v>
      </c>
      <c r="AL92" s="45"/>
      <c r="AM92" s="53">
        <v>24672</v>
      </c>
      <c r="AN92" s="53"/>
      <c r="AO92" s="53">
        <v>5000</v>
      </c>
      <c r="AP92" s="53"/>
      <c r="AQ92" s="53">
        <v>0</v>
      </c>
      <c r="AR92" s="53"/>
      <c r="AS92" s="45">
        <f t="shared" ref="AS92:AS156" si="36">+AI92+AK92+AM92-AO92+AQ92</f>
        <v>902155</v>
      </c>
      <c r="AT92" s="45"/>
      <c r="AU92" s="53">
        <v>0</v>
      </c>
      <c r="AV92" s="53"/>
      <c r="AW92" s="53">
        <v>0</v>
      </c>
      <c r="AX92" s="53"/>
      <c r="AY92" s="53">
        <f t="shared" si="30"/>
        <v>906959</v>
      </c>
      <c r="AZ92" s="53"/>
      <c r="BA92" s="35" t="s">
        <v>115</v>
      </c>
      <c r="BC92" s="35" t="s">
        <v>19</v>
      </c>
      <c r="BD92" s="53"/>
      <c r="BE92" s="53">
        <v>0</v>
      </c>
      <c r="BF92" s="53"/>
      <c r="BG92" s="53">
        <v>0</v>
      </c>
      <c r="BH92" s="53"/>
      <c r="BI92" s="53">
        <f>84491+49076+3208219+4069+2583+438090</f>
        <v>3786528</v>
      </c>
      <c r="BJ92" s="53"/>
      <c r="BK92" s="53">
        <f>46506+4464+21659+13642</f>
        <v>86271</v>
      </c>
      <c r="BL92" s="53"/>
      <c r="BM92" s="53">
        <f t="shared" si="31"/>
        <v>3872799</v>
      </c>
      <c r="BN92" s="54" t="s">
        <v>347</v>
      </c>
      <c r="BR92" s="51"/>
      <c r="BS92" s="53"/>
      <c r="BT92" s="53"/>
      <c r="BU92" s="53"/>
      <c r="BV92" s="53"/>
      <c r="BW92" s="53"/>
      <c r="BX92" s="45"/>
      <c r="BY92" s="45"/>
      <c r="BZ92" s="53"/>
      <c r="CA92" s="53"/>
      <c r="CB92" s="53"/>
      <c r="CC92" s="53"/>
      <c r="CD92" s="53"/>
      <c r="CE92" s="53"/>
      <c r="CF92" s="35"/>
      <c r="CH92" s="35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4"/>
    </row>
    <row r="93" spans="1:98" s="55" customFormat="1" ht="12.75" customHeight="1">
      <c r="A93" s="35" t="s">
        <v>116</v>
      </c>
      <c r="B93" s="51"/>
      <c r="C93" s="35" t="s">
        <v>80</v>
      </c>
      <c r="D93" s="44"/>
      <c r="E93" s="53">
        <f t="shared" si="35"/>
        <v>720236</v>
      </c>
      <c r="F93" s="53"/>
      <c r="G93" s="53">
        <v>7434143</v>
      </c>
      <c r="H93" s="53"/>
      <c r="I93" s="53">
        <v>8154379</v>
      </c>
      <c r="J93" s="53"/>
      <c r="K93" s="53">
        <f t="shared" si="33"/>
        <v>88131</v>
      </c>
      <c r="L93" s="53"/>
      <c r="M93" s="53">
        <v>319555</v>
      </c>
      <c r="N93" s="53"/>
      <c r="O93" s="53">
        <v>407686</v>
      </c>
      <c r="P93" s="53"/>
      <c r="Q93" s="53">
        <v>7191862</v>
      </c>
      <c r="R93" s="53"/>
      <c r="S93" s="53">
        <v>0</v>
      </c>
      <c r="T93" s="53"/>
      <c r="U93" s="53">
        <v>554831</v>
      </c>
      <c r="V93" s="53"/>
      <c r="W93" s="53">
        <f t="shared" si="29"/>
        <v>7746693</v>
      </c>
      <c r="X93" s="53"/>
      <c r="Y93" s="35" t="s">
        <v>116</v>
      </c>
      <c r="AA93" s="35" t="s">
        <v>80</v>
      </c>
      <c r="AB93" s="35"/>
      <c r="AC93" s="53">
        <v>1652719</v>
      </c>
      <c r="AD93" s="53"/>
      <c r="AE93" s="53">
        <f>1937842-161031</f>
        <v>1776811</v>
      </c>
      <c r="AF93" s="53"/>
      <c r="AG93" s="53">
        <v>161031</v>
      </c>
      <c r="AH93" s="53"/>
      <c r="AI93" s="45">
        <f t="shared" si="34"/>
        <v>-285123</v>
      </c>
      <c r="AJ93" s="45"/>
      <c r="AK93" s="53">
        <v>335877</v>
      </c>
      <c r="AL93" s="45"/>
      <c r="AM93" s="53">
        <v>0</v>
      </c>
      <c r="AN93" s="53"/>
      <c r="AO93" s="53">
        <v>0</v>
      </c>
      <c r="AP93" s="53"/>
      <c r="AQ93" s="53">
        <v>0</v>
      </c>
      <c r="AR93" s="53"/>
      <c r="AS93" s="45">
        <f t="shared" si="36"/>
        <v>50754</v>
      </c>
      <c r="AT93" s="45"/>
      <c r="AU93" s="53">
        <v>0</v>
      </c>
      <c r="AV93" s="53"/>
      <c r="AW93" s="53">
        <v>0</v>
      </c>
      <c r="AX93" s="53"/>
      <c r="AY93" s="53">
        <f t="shared" si="30"/>
        <v>632105</v>
      </c>
      <c r="AZ93" s="53"/>
      <c r="BA93" s="35" t="s">
        <v>116</v>
      </c>
      <c r="BC93" s="35" t="s">
        <v>80</v>
      </c>
      <c r="BD93" s="53"/>
      <c r="BE93" s="53">
        <v>0</v>
      </c>
      <c r="BF93" s="53"/>
      <c r="BG93" s="53">
        <v>0</v>
      </c>
      <c r="BH93" s="53"/>
      <c r="BI93" s="53">
        <f>1327312+31809</f>
        <v>1359121</v>
      </c>
      <c r="BJ93" s="53"/>
      <c r="BK93" s="53">
        <f>109083+1716</f>
        <v>110799</v>
      </c>
      <c r="BL93" s="53"/>
      <c r="BM93" s="53">
        <f t="shared" si="31"/>
        <v>1469920</v>
      </c>
      <c r="BN93" s="54" t="s">
        <v>347</v>
      </c>
      <c r="BR93" s="51"/>
      <c r="BS93" s="53"/>
      <c r="BT93" s="53"/>
      <c r="BU93" s="53"/>
      <c r="BV93" s="53"/>
      <c r="BW93" s="53"/>
      <c r="BX93" s="45"/>
      <c r="BY93" s="45"/>
      <c r="BZ93" s="53"/>
      <c r="CA93" s="53"/>
      <c r="CB93" s="53"/>
      <c r="CC93" s="53"/>
      <c r="CD93" s="53"/>
      <c r="CE93" s="53"/>
      <c r="CF93" s="35"/>
      <c r="CH93" s="35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4"/>
    </row>
    <row r="94" spans="1:98" s="140" customFormat="1" ht="12.75" hidden="1" customHeight="1">
      <c r="A94" s="121" t="s">
        <v>117</v>
      </c>
      <c r="B94" s="124"/>
      <c r="C94" s="126" t="s">
        <v>43</v>
      </c>
      <c r="D94" s="121"/>
      <c r="E94" s="53">
        <f t="shared" si="35"/>
        <v>0</v>
      </c>
      <c r="F94" s="53"/>
      <c r="G94" s="53">
        <v>0</v>
      </c>
      <c r="H94" s="53"/>
      <c r="I94" s="53">
        <v>0</v>
      </c>
      <c r="J94" s="53"/>
      <c r="K94" s="53">
        <f t="shared" si="33"/>
        <v>0</v>
      </c>
      <c r="L94" s="53"/>
      <c r="M94" s="53">
        <v>0</v>
      </c>
      <c r="N94" s="53"/>
      <c r="O94" s="53">
        <v>0</v>
      </c>
      <c r="P94" s="53"/>
      <c r="Q94" s="53">
        <v>0</v>
      </c>
      <c r="R94" s="53"/>
      <c r="S94" s="53">
        <v>0</v>
      </c>
      <c r="T94" s="53"/>
      <c r="U94" s="53">
        <v>0</v>
      </c>
      <c r="V94" s="53"/>
      <c r="W94" s="53">
        <f t="shared" si="29"/>
        <v>0</v>
      </c>
      <c r="X94" s="137"/>
      <c r="Y94" s="121" t="s">
        <v>117</v>
      </c>
      <c r="AA94" s="126" t="s">
        <v>43</v>
      </c>
      <c r="AB94" s="126"/>
      <c r="AC94" s="53">
        <v>0</v>
      </c>
      <c r="AD94" s="53"/>
      <c r="AE94" s="53">
        <v>0</v>
      </c>
      <c r="AF94" s="53"/>
      <c r="AG94" s="53">
        <v>0</v>
      </c>
      <c r="AH94" s="53"/>
      <c r="AI94" s="45">
        <f t="shared" si="34"/>
        <v>0</v>
      </c>
      <c r="AJ94" s="45"/>
      <c r="AK94" s="53">
        <v>0</v>
      </c>
      <c r="AL94" s="45"/>
      <c r="AM94" s="53">
        <v>0</v>
      </c>
      <c r="AN94" s="53"/>
      <c r="AO94" s="53">
        <v>0</v>
      </c>
      <c r="AP94" s="53"/>
      <c r="AQ94" s="53">
        <v>0</v>
      </c>
      <c r="AR94" s="53"/>
      <c r="AS94" s="45">
        <f t="shared" si="36"/>
        <v>0</v>
      </c>
      <c r="AT94" s="45"/>
      <c r="AU94" s="53">
        <v>0</v>
      </c>
      <c r="AV94" s="53"/>
      <c r="AW94" s="53">
        <v>0</v>
      </c>
      <c r="AX94" s="53"/>
      <c r="AY94" s="53">
        <f t="shared" si="30"/>
        <v>0</v>
      </c>
      <c r="AZ94" s="53"/>
      <c r="BA94" s="121" t="s">
        <v>117</v>
      </c>
      <c r="BC94" s="126" t="s">
        <v>43</v>
      </c>
      <c r="BD94" s="137"/>
      <c r="BE94" s="53">
        <v>0</v>
      </c>
      <c r="BF94" s="53"/>
      <c r="BG94" s="53">
        <v>0</v>
      </c>
      <c r="BH94" s="53"/>
      <c r="BI94" s="53">
        <v>0</v>
      </c>
      <c r="BJ94" s="53"/>
      <c r="BK94" s="53">
        <v>0</v>
      </c>
      <c r="BL94" s="137"/>
      <c r="BM94" s="137">
        <f t="shared" si="31"/>
        <v>0</v>
      </c>
      <c r="BN94" s="139" t="s">
        <v>347</v>
      </c>
      <c r="BR94" s="124"/>
      <c r="BS94" s="137"/>
      <c r="BT94" s="137"/>
      <c r="BU94" s="137"/>
      <c r="BV94" s="137"/>
      <c r="BW94" s="137"/>
      <c r="BX94" s="127"/>
      <c r="BY94" s="127"/>
      <c r="BZ94" s="137"/>
      <c r="CA94" s="137"/>
      <c r="CB94" s="137"/>
      <c r="CC94" s="137"/>
      <c r="CD94" s="137"/>
      <c r="CE94" s="137"/>
      <c r="CF94" s="126"/>
      <c r="CH94" s="126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9"/>
    </row>
    <row r="95" spans="1:98" s="140" customFormat="1" ht="12.75" hidden="1" customHeight="1">
      <c r="A95" s="126" t="s">
        <v>118</v>
      </c>
      <c r="B95" s="124"/>
      <c r="C95" s="126" t="s">
        <v>13</v>
      </c>
      <c r="D95" s="121"/>
      <c r="E95" s="53">
        <f t="shared" si="35"/>
        <v>0</v>
      </c>
      <c r="F95" s="53"/>
      <c r="G95" s="53">
        <v>0</v>
      </c>
      <c r="H95" s="53"/>
      <c r="I95" s="53">
        <v>0</v>
      </c>
      <c r="J95" s="53"/>
      <c r="K95" s="53">
        <f t="shared" si="33"/>
        <v>0</v>
      </c>
      <c r="L95" s="53"/>
      <c r="M95" s="53">
        <v>0</v>
      </c>
      <c r="N95" s="53"/>
      <c r="O95" s="53">
        <v>0</v>
      </c>
      <c r="P95" s="53"/>
      <c r="Q95" s="53">
        <v>0</v>
      </c>
      <c r="R95" s="53"/>
      <c r="S95" s="53">
        <v>0</v>
      </c>
      <c r="T95" s="53"/>
      <c r="U95" s="53">
        <v>0</v>
      </c>
      <c r="V95" s="53"/>
      <c r="W95" s="53">
        <f t="shared" si="29"/>
        <v>0</v>
      </c>
      <c r="X95" s="137"/>
      <c r="Y95" s="126" t="s">
        <v>118</v>
      </c>
      <c r="AA95" s="126" t="s">
        <v>13</v>
      </c>
      <c r="AB95" s="126"/>
      <c r="AC95" s="53">
        <v>0</v>
      </c>
      <c r="AD95" s="53"/>
      <c r="AE95" s="53">
        <v>0</v>
      </c>
      <c r="AF95" s="53"/>
      <c r="AG95" s="53">
        <v>0</v>
      </c>
      <c r="AH95" s="53"/>
      <c r="AI95" s="45">
        <f t="shared" si="34"/>
        <v>0</v>
      </c>
      <c r="AJ95" s="45"/>
      <c r="AK95" s="53">
        <v>0</v>
      </c>
      <c r="AL95" s="45"/>
      <c r="AM95" s="53">
        <v>0</v>
      </c>
      <c r="AN95" s="53"/>
      <c r="AO95" s="53">
        <v>0</v>
      </c>
      <c r="AP95" s="53"/>
      <c r="AQ95" s="53">
        <v>0</v>
      </c>
      <c r="AR95" s="53"/>
      <c r="AS95" s="45">
        <f t="shared" si="36"/>
        <v>0</v>
      </c>
      <c r="AT95" s="45"/>
      <c r="AU95" s="53">
        <v>0</v>
      </c>
      <c r="AV95" s="53"/>
      <c r="AW95" s="53">
        <v>0</v>
      </c>
      <c r="AX95" s="53"/>
      <c r="AY95" s="53">
        <f t="shared" si="30"/>
        <v>0</v>
      </c>
      <c r="AZ95" s="53"/>
      <c r="BA95" s="126" t="s">
        <v>118</v>
      </c>
      <c r="BC95" s="126" t="s">
        <v>13</v>
      </c>
      <c r="BD95" s="137"/>
      <c r="BE95" s="53">
        <v>0</v>
      </c>
      <c r="BF95" s="53"/>
      <c r="BG95" s="53">
        <v>0</v>
      </c>
      <c r="BH95" s="53"/>
      <c r="BI95" s="53">
        <v>0</v>
      </c>
      <c r="BJ95" s="53"/>
      <c r="BK95" s="53">
        <v>0</v>
      </c>
      <c r="BL95" s="137"/>
      <c r="BM95" s="137">
        <f t="shared" si="31"/>
        <v>0</v>
      </c>
      <c r="BN95" s="139" t="s">
        <v>347</v>
      </c>
      <c r="BO95" s="126"/>
      <c r="BR95" s="124"/>
      <c r="BS95" s="137"/>
      <c r="BT95" s="137"/>
      <c r="BU95" s="137"/>
      <c r="BV95" s="137"/>
      <c r="BW95" s="127"/>
      <c r="BX95" s="127"/>
      <c r="BY95" s="137"/>
      <c r="BZ95" s="137"/>
      <c r="CA95" s="137"/>
      <c r="CB95" s="137"/>
      <c r="CC95" s="137"/>
      <c r="CD95" s="137"/>
      <c r="CE95" s="137"/>
      <c r="CF95" s="121"/>
      <c r="CH95" s="126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9"/>
      <c r="CT95" s="126"/>
    </row>
    <row r="96" spans="1:98" s="55" customFormat="1" ht="12.75" customHeight="1">
      <c r="A96" s="35" t="s">
        <v>120</v>
      </c>
      <c r="B96" s="51"/>
      <c r="C96" s="35" t="s">
        <v>121</v>
      </c>
      <c r="D96" s="44"/>
      <c r="E96" s="53">
        <f t="shared" si="35"/>
        <v>8765012</v>
      </c>
      <c r="F96" s="53"/>
      <c r="G96" s="53">
        <v>4010244</v>
      </c>
      <c r="H96" s="53"/>
      <c r="I96" s="53">
        <v>12775256</v>
      </c>
      <c r="J96" s="53"/>
      <c r="K96" s="53">
        <f t="shared" si="33"/>
        <v>260484</v>
      </c>
      <c r="L96" s="53"/>
      <c r="M96" s="53">
        <v>1377916</v>
      </c>
      <c r="N96" s="53"/>
      <c r="O96" s="53">
        <v>1638400</v>
      </c>
      <c r="P96" s="53"/>
      <c r="Q96" s="53">
        <v>2475244</v>
      </c>
      <c r="R96" s="53"/>
      <c r="S96" s="53">
        <v>316178</v>
      </c>
      <c r="T96" s="53"/>
      <c r="U96" s="53">
        <v>8345434</v>
      </c>
      <c r="V96" s="53"/>
      <c r="W96" s="53">
        <f t="shared" si="29"/>
        <v>11136856</v>
      </c>
      <c r="X96" s="53"/>
      <c r="Y96" s="35" t="s">
        <v>120</v>
      </c>
      <c r="AA96" s="35" t="s">
        <v>121</v>
      </c>
      <c r="AB96" s="35"/>
      <c r="AC96" s="53">
        <v>1912953</v>
      </c>
      <c r="AD96" s="53"/>
      <c r="AE96" s="53">
        <f>1263188-256222</f>
        <v>1006966</v>
      </c>
      <c r="AF96" s="53"/>
      <c r="AG96" s="53">
        <v>256222</v>
      </c>
      <c r="AH96" s="53"/>
      <c r="AI96" s="45">
        <f t="shared" si="34"/>
        <v>649765</v>
      </c>
      <c r="AJ96" s="45"/>
      <c r="AK96" s="53">
        <v>-73890</v>
      </c>
      <c r="AL96" s="45"/>
      <c r="AM96" s="53">
        <v>0</v>
      </c>
      <c r="AN96" s="53"/>
      <c r="AO96" s="53">
        <v>0</v>
      </c>
      <c r="AP96" s="53"/>
      <c r="AQ96" s="53">
        <v>0</v>
      </c>
      <c r="AR96" s="53"/>
      <c r="AS96" s="45">
        <f t="shared" si="36"/>
        <v>575875</v>
      </c>
      <c r="AT96" s="45"/>
      <c r="AU96" s="53">
        <v>0</v>
      </c>
      <c r="AV96" s="53"/>
      <c r="AW96" s="53">
        <v>0</v>
      </c>
      <c r="AX96" s="53"/>
      <c r="AY96" s="53">
        <f t="shared" si="30"/>
        <v>8504528</v>
      </c>
      <c r="AZ96" s="53"/>
      <c r="BA96" s="35" t="s">
        <v>120</v>
      </c>
      <c r="BC96" s="35" t="s">
        <v>121</v>
      </c>
      <c r="BD96" s="53"/>
      <c r="BE96" s="53">
        <v>0</v>
      </c>
      <c r="BF96" s="53"/>
      <c r="BG96" s="53">
        <f>1345000+190000</f>
        <v>1535000</v>
      </c>
      <c r="BH96" s="53"/>
      <c r="BI96" s="53">
        <v>0</v>
      </c>
      <c r="BJ96" s="53"/>
      <c r="BK96" s="53">
        <f>32916+3187</f>
        <v>36103</v>
      </c>
      <c r="BL96" s="53"/>
      <c r="BM96" s="53">
        <f t="shared" si="31"/>
        <v>1571103</v>
      </c>
      <c r="BN96" s="54" t="s">
        <v>347</v>
      </c>
      <c r="BO96" s="55" t="s">
        <v>404</v>
      </c>
      <c r="BR96" s="65"/>
      <c r="BS96" s="53"/>
      <c r="BT96" s="53"/>
      <c r="BU96" s="53"/>
      <c r="BV96" s="53"/>
      <c r="BW96" s="53"/>
      <c r="BX96" s="45"/>
      <c r="BY96" s="45"/>
      <c r="BZ96" s="53"/>
      <c r="CA96" s="53"/>
      <c r="CB96" s="53"/>
      <c r="CC96" s="53"/>
      <c r="CD96" s="53"/>
      <c r="CE96" s="53"/>
      <c r="CF96" s="35"/>
      <c r="CH96" s="35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4"/>
    </row>
    <row r="97" spans="1:104" s="55" customFormat="1" ht="12.75" customHeight="1">
      <c r="A97" s="35" t="s">
        <v>122</v>
      </c>
      <c r="C97" s="35" t="s">
        <v>43</v>
      </c>
      <c r="D97" s="44"/>
      <c r="E97" s="53">
        <f t="shared" si="35"/>
        <v>1792646</v>
      </c>
      <c r="F97" s="53"/>
      <c r="G97" s="53">
        <v>27457270</v>
      </c>
      <c r="H97" s="53"/>
      <c r="I97" s="53">
        <v>29249916</v>
      </c>
      <c r="J97" s="53"/>
      <c r="K97" s="53">
        <f t="shared" si="33"/>
        <v>155036</v>
      </c>
      <c r="L97" s="53"/>
      <c r="M97" s="53">
        <v>571271</v>
      </c>
      <c r="N97" s="53"/>
      <c r="O97" s="53">
        <v>726307</v>
      </c>
      <c r="P97" s="53"/>
      <c r="Q97" s="53">
        <v>26830264</v>
      </c>
      <c r="R97" s="53"/>
      <c r="S97" s="53">
        <v>0</v>
      </c>
      <c r="T97" s="53"/>
      <c r="U97" s="53">
        <v>1693345</v>
      </c>
      <c r="V97" s="53"/>
      <c r="W97" s="53">
        <f t="shared" si="29"/>
        <v>28523609</v>
      </c>
      <c r="X97" s="53"/>
      <c r="Y97" s="35" t="s">
        <v>122</v>
      </c>
      <c r="AA97" s="35" t="s">
        <v>43</v>
      </c>
      <c r="AB97" s="35"/>
      <c r="AC97" s="53">
        <v>851214</v>
      </c>
      <c r="AD97" s="53"/>
      <c r="AE97" s="53">
        <f>1718677-741147</f>
        <v>977530</v>
      </c>
      <c r="AF97" s="53"/>
      <c r="AG97" s="53">
        <v>741147</v>
      </c>
      <c r="AH97" s="53"/>
      <c r="AI97" s="45">
        <f t="shared" si="34"/>
        <v>-867463</v>
      </c>
      <c r="AJ97" s="45"/>
      <c r="AK97" s="53">
        <v>-21312</v>
      </c>
      <c r="AL97" s="45"/>
      <c r="AM97" s="53">
        <v>0</v>
      </c>
      <c r="AN97" s="53"/>
      <c r="AO97" s="53">
        <v>49608</v>
      </c>
      <c r="AP97" s="53"/>
      <c r="AQ97" s="53">
        <v>1033960</v>
      </c>
      <c r="AR97" s="53"/>
      <c r="AS97" s="45">
        <f t="shared" si="36"/>
        <v>95577</v>
      </c>
      <c r="AT97" s="45"/>
      <c r="AU97" s="53">
        <v>0</v>
      </c>
      <c r="AV97" s="53"/>
      <c r="AW97" s="53">
        <v>0</v>
      </c>
      <c r="AX97" s="53"/>
      <c r="AY97" s="53">
        <f t="shared" si="30"/>
        <v>1637610</v>
      </c>
      <c r="AZ97" s="53"/>
      <c r="BA97" s="35" t="s">
        <v>122</v>
      </c>
      <c r="BC97" s="35" t="s">
        <v>43</v>
      </c>
      <c r="BD97" s="53"/>
      <c r="BE97" s="53">
        <v>0</v>
      </c>
      <c r="BF97" s="53"/>
      <c r="BG97" s="53">
        <v>0</v>
      </c>
      <c r="BH97" s="53"/>
      <c r="BI97" s="53">
        <f>561088+65918</f>
        <v>627006</v>
      </c>
      <c r="BJ97" s="53"/>
      <c r="BK97" s="53">
        <f>10183+12016</f>
        <v>22199</v>
      </c>
      <c r="BL97" s="53"/>
      <c r="BM97" s="53">
        <f t="shared" si="31"/>
        <v>649205</v>
      </c>
      <c r="BN97" s="54" t="s">
        <v>347</v>
      </c>
      <c r="BR97" s="51"/>
      <c r="BS97" s="53"/>
      <c r="BT97" s="53"/>
      <c r="BU97" s="53"/>
      <c r="BV97" s="53"/>
      <c r="BW97" s="53"/>
      <c r="BX97" s="45"/>
      <c r="BY97" s="45"/>
      <c r="BZ97" s="53"/>
      <c r="CA97" s="53"/>
      <c r="CB97" s="53"/>
      <c r="CC97" s="53"/>
      <c r="CD97" s="53"/>
      <c r="CE97" s="53"/>
      <c r="CF97" s="35"/>
      <c r="CH97" s="35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4"/>
    </row>
    <row r="98" spans="1:104" s="55" customFormat="1" ht="12.75" customHeight="1">
      <c r="A98" s="44" t="s">
        <v>45</v>
      </c>
      <c r="B98" s="51"/>
      <c r="C98" s="35" t="s">
        <v>103</v>
      </c>
      <c r="D98" s="44"/>
      <c r="E98" s="53">
        <f t="shared" si="35"/>
        <v>20793354</v>
      </c>
      <c r="F98" s="53"/>
      <c r="G98" s="53">
        <v>42920699</v>
      </c>
      <c r="H98" s="53"/>
      <c r="I98" s="53">
        <v>63714053</v>
      </c>
      <c r="J98" s="53"/>
      <c r="K98" s="53">
        <f t="shared" si="33"/>
        <v>3151955</v>
      </c>
      <c r="L98" s="53"/>
      <c r="M98" s="53">
        <v>31064589</v>
      </c>
      <c r="N98" s="53"/>
      <c r="O98" s="53">
        <v>34216544</v>
      </c>
      <c r="P98" s="53"/>
      <c r="Q98" s="53">
        <v>20469158</v>
      </c>
      <c r="R98" s="53"/>
      <c r="S98" s="53">
        <f>1914809+2000000</f>
        <v>3914809</v>
      </c>
      <c r="T98" s="53"/>
      <c r="U98" s="53">
        <v>5113540</v>
      </c>
      <c r="V98" s="53"/>
      <c r="W98" s="53">
        <f t="shared" si="29"/>
        <v>29497507</v>
      </c>
      <c r="X98" s="53"/>
      <c r="Y98" s="44" t="s">
        <v>45</v>
      </c>
      <c r="Z98" s="53"/>
      <c r="AA98" s="35" t="s">
        <v>103</v>
      </c>
      <c r="AB98" s="51"/>
      <c r="AC98" s="53">
        <v>11203887</v>
      </c>
      <c r="AD98" s="53"/>
      <c r="AE98" s="53">
        <f>9417119-2194891</f>
        <v>7222228</v>
      </c>
      <c r="AF98" s="53"/>
      <c r="AG98" s="53">
        <v>2194891</v>
      </c>
      <c r="AH98" s="53"/>
      <c r="AI98" s="45">
        <f t="shared" si="34"/>
        <v>1786768</v>
      </c>
      <c r="AJ98" s="45"/>
      <c r="AK98" s="53">
        <v>-1498125</v>
      </c>
      <c r="AL98" s="45"/>
      <c r="AM98" s="53">
        <v>0</v>
      </c>
      <c r="AN98" s="53"/>
      <c r="AO98" s="53">
        <v>0</v>
      </c>
      <c r="AP98" s="53"/>
      <c r="AQ98" s="53">
        <v>602642</v>
      </c>
      <c r="AR98" s="53"/>
      <c r="AS98" s="45">
        <f t="shared" si="36"/>
        <v>891285</v>
      </c>
      <c r="AT98" s="45"/>
      <c r="AU98" s="53">
        <v>0</v>
      </c>
      <c r="AV98" s="53"/>
      <c r="AW98" s="53">
        <v>0</v>
      </c>
      <c r="AX98" s="53"/>
      <c r="AY98" s="53">
        <f t="shared" si="30"/>
        <v>17641399</v>
      </c>
      <c r="AZ98" s="53"/>
      <c r="BA98" s="44" t="s">
        <v>45</v>
      </c>
      <c r="BC98" s="35" t="s">
        <v>103</v>
      </c>
      <c r="BD98" s="53"/>
      <c r="BE98" s="53">
        <v>0</v>
      </c>
      <c r="BF98" s="53"/>
      <c r="BG98" s="53">
        <f>30378637+1385000</f>
        <v>31763637</v>
      </c>
      <c r="BH98" s="53"/>
      <c r="BI98" s="53">
        <f>421290+10547</f>
        <v>431837</v>
      </c>
      <c r="BJ98" s="53"/>
      <c r="BK98" s="53">
        <f>264662+208429</f>
        <v>473091</v>
      </c>
      <c r="BL98" s="53"/>
      <c r="BM98" s="53">
        <f t="shared" si="31"/>
        <v>32668565</v>
      </c>
      <c r="BN98" s="54" t="s">
        <v>347</v>
      </c>
      <c r="BO98" s="55" t="s">
        <v>404</v>
      </c>
      <c r="BR98" s="51"/>
      <c r="BS98" s="53"/>
      <c r="BT98" s="53"/>
      <c r="BU98" s="53"/>
      <c r="BV98" s="53"/>
      <c r="BW98" s="53"/>
      <c r="BX98" s="45"/>
      <c r="BY98" s="45"/>
      <c r="BZ98" s="53"/>
      <c r="CA98" s="53"/>
      <c r="CB98" s="53"/>
      <c r="CC98" s="53"/>
      <c r="CD98" s="53"/>
      <c r="CE98" s="53"/>
      <c r="CF98" s="35"/>
      <c r="CH98" s="35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4"/>
    </row>
    <row r="99" spans="1:104" s="55" customFormat="1" ht="12.75" customHeight="1">
      <c r="A99" s="44" t="s">
        <v>123</v>
      </c>
      <c r="B99" s="51"/>
      <c r="C99" s="35" t="s">
        <v>45</v>
      </c>
      <c r="D99" s="44"/>
      <c r="E99" s="53">
        <f t="shared" si="35"/>
        <v>2898917</v>
      </c>
      <c r="F99" s="53"/>
      <c r="G99" s="53">
        <v>21980780</v>
      </c>
      <c r="H99" s="53"/>
      <c r="I99" s="53">
        <v>24879697</v>
      </c>
      <c r="J99" s="53"/>
      <c r="K99" s="53">
        <f t="shared" si="33"/>
        <v>1090837</v>
      </c>
      <c r="L99" s="53"/>
      <c r="M99" s="53">
        <v>23428118</v>
      </c>
      <c r="N99" s="53"/>
      <c r="O99" s="53">
        <v>24518955</v>
      </c>
      <c r="P99" s="53"/>
      <c r="Q99" s="53">
        <v>-3734893</v>
      </c>
      <c r="R99" s="53"/>
      <c r="S99" s="53">
        <v>0</v>
      </c>
      <c r="T99" s="53"/>
      <c r="U99" s="53">
        <v>4095635</v>
      </c>
      <c r="V99" s="53"/>
      <c r="W99" s="53">
        <f t="shared" si="29"/>
        <v>360742</v>
      </c>
      <c r="X99" s="53"/>
      <c r="Y99" s="44" t="s">
        <v>123</v>
      </c>
      <c r="AA99" s="35" t="s">
        <v>45</v>
      </c>
      <c r="AB99" s="35"/>
      <c r="AC99" s="53">
        <v>2833348</v>
      </c>
      <c r="AD99" s="53"/>
      <c r="AE99" s="53">
        <f>1818220-721632</f>
        <v>1096588</v>
      </c>
      <c r="AF99" s="53"/>
      <c r="AG99" s="53">
        <v>721632</v>
      </c>
      <c r="AH99" s="53"/>
      <c r="AI99" s="45">
        <f t="shared" si="34"/>
        <v>1015128</v>
      </c>
      <c r="AJ99" s="45"/>
      <c r="AK99" s="53">
        <v>-833273</v>
      </c>
      <c r="AL99" s="45"/>
      <c r="AM99" s="53">
        <v>0</v>
      </c>
      <c r="AN99" s="53"/>
      <c r="AO99" s="53">
        <v>0</v>
      </c>
      <c r="AP99" s="53"/>
      <c r="AQ99" s="53">
        <v>0</v>
      </c>
      <c r="AR99" s="53"/>
      <c r="AS99" s="45">
        <f t="shared" si="36"/>
        <v>181855</v>
      </c>
      <c r="AT99" s="45"/>
      <c r="AU99" s="53">
        <v>0</v>
      </c>
      <c r="AV99" s="53"/>
      <c r="AW99" s="53">
        <v>0</v>
      </c>
      <c r="AX99" s="53"/>
      <c r="AY99" s="53">
        <f t="shared" si="30"/>
        <v>1808080</v>
      </c>
      <c r="AZ99" s="53"/>
      <c r="BA99" s="44" t="s">
        <v>123</v>
      </c>
      <c r="BC99" s="35" t="s">
        <v>45</v>
      </c>
      <c r="BD99" s="53"/>
      <c r="BE99" s="53">
        <f>5851792+165000</f>
        <v>6016792</v>
      </c>
      <c r="BF99" s="53"/>
      <c r="BG99" s="53">
        <f>16057691+570000</f>
        <v>16627691</v>
      </c>
      <c r="BH99" s="53"/>
      <c r="BI99" s="53">
        <f>1476934+92308</f>
        <v>1569242</v>
      </c>
      <c r="BJ99" s="53"/>
      <c r="BK99" s="53">
        <f>41701+4713</f>
        <v>46414</v>
      </c>
      <c r="BL99" s="53"/>
      <c r="BM99" s="53">
        <f t="shared" si="31"/>
        <v>24260139</v>
      </c>
      <c r="BN99" s="54" t="s">
        <v>347</v>
      </c>
      <c r="BR99" s="51"/>
      <c r="BS99" s="53"/>
      <c r="BT99" s="53"/>
      <c r="BU99" s="53"/>
      <c r="BV99" s="53"/>
      <c r="BW99" s="53"/>
      <c r="BX99" s="45"/>
      <c r="BY99" s="45"/>
      <c r="BZ99" s="53"/>
      <c r="CA99" s="53"/>
      <c r="CB99" s="53"/>
      <c r="CC99" s="53"/>
      <c r="CD99" s="53"/>
      <c r="CE99" s="53"/>
      <c r="CF99" s="35"/>
      <c r="CH99" s="35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4"/>
    </row>
    <row r="100" spans="1:104" s="90" customFormat="1">
      <c r="A100" s="35" t="s">
        <v>124</v>
      </c>
      <c r="B100" s="51"/>
      <c r="C100" s="35" t="s">
        <v>125</v>
      </c>
      <c r="D100" s="44"/>
      <c r="E100" s="53">
        <f t="shared" si="35"/>
        <v>3715631</v>
      </c>
      <c r="F100" s="53"/>
      <c r="G100" s="53">
        <v>8599562</v>
      </c>
      <c r="H100" s="53"/>
      <c r="I100" s="53">
        <v>12315193</v>
      </c>
      <c r="J100" s="53"/>
      <c r="K100" s="53">
        <f t="shared" si="33"/>
        <v>732153</v>
      </c>
      <c r="L100" s="53"/>
      <c r="M100" s="53">
        <v>3647612</v>
      </c>
      <c r="N100" s="53"/>
      <c r="O100" s="53">
        <v>4379765</v>
      </c>
      <c r="P100" s="53"/>
      <c r="Q100" s="53">
        <v>4383721</v>
      </c>
      <c r="R100" s="53"/>
      <c r="S100" s="53">
        <v>0</v>
      </c>
      <c r="T100" s="53"/>
      <c r="U100" s="53">
        <v>3551707</v>
      </c>
      <c r="V100" s="53"/>
      <c r="W100" s="53">
        <f t="shared" si="29"/>
        <v>7935428</v>
      </c>
      <c r="X100" s="53"/>
      <c r="Y100" s="35" t="s">
        <v>124</v>
      </c>
      <c r="Z100" s="55"/>
      <c r="AA100" s="35" t="s">
        <v>125</v>
      </c>
      <c r="AB100" s="35"/>
      <c r="AC100" s="53">
        <v>2281012</v>
      </c>
      <c r="AD100" s="53"/>
      <c r="AE100" s="53">
        <f>1792935-433347</f>
        <v>1359588</v>
      </c>
      <c r="AF100" s="53"/>
      <c r="AG100" s="53">
        <v>433347</v>
      </c>
      <c r="AH100" s="53"/>
      <c r="AI100" s="45">
        <f t="shared" si="34"/>
        <v>488077</v>
      </c>
      <c r="AJ100" s="45"/>
      <c r="AK100" s="53">
        <v>-119038</v>
      </c>
      <c r="AL100" s="45"/>
      <c r="AM100" s="53">
        <v>0</v>
      </c>
      <c r="AN100" s="53"/>
      <c r="AO100" s="53">
        <v>0</v>
      </c>
      <c r="AP100" s="53"/>
      <c r="AQ100" s="53">
        <v>0</v>
      </c>
      <c r="AR100" s="53"/>
      <c r="AS100" s="45">
        <f t="shared" si="36"/>
        <v>369039</v>
      </c>
      <c r="AT100" s="45"/>
      <c r="AU100" s="53">
        <v>0</v>
      </c>
      <c r="AV100" s="53"/>
      <c r="AW100" s="53">
        <v>0</v>
      </c>
      <c r="AX100" s="53"/>
      <c r="AY100" s="53">
        <f t="shared" si="30"/>
        <v>2983478</v>
      </c>
      <c r="AZ100" s="53"/>
      <c r="BA100" s="35" t="s">
        <v>124</v>
      </c>
      <c r="BB100" s="55"/>
      <c r="BC100" s="35" t="s">
        <v>125</v>
      </c>
      <c r="BD100" s="53"/>
      <c r="BE100" s="53">
        <v>0</v>
      </c>
      <c r="BF100" s="53"/>
      <c r="BG100" s="53">
        <v>0</v>
      </c>
      <c r="BH100" s="53"/>
      <c r="BI100" s="53">
        <f>3489414+93828+629123+3476</f>
        <v>4215841</v>
      </c>
      <c r="BJ100" s="53"/>
      <c r="BK100" s="53">
        <f>64370+19892</f>
        <v>84262</v>
      </c>
      <c r="BL100" s="53"/>
      <c r="BM100" s="53">
        <f t="shared" si="31"/>
        <v>4300103</v>
      </c>
      <c r="BN100" s="91" t="s">
        <v>347</v>
      </c>
      <c r="BR100" s="66"/>
      <c r="BS100" s="79"/>
      <c r="BT100" s="79"/>
      <c r="BU100" s="79"/>
      <c r="BV100" s="79"/>
      <c r="BW100" s="79"/>
      <c r="BX100" s="94"/>
      <c r="BY100" s="94"/>
      <c r="BZ100" s="79"/>
      <c r="CA100" s="79"/>
      <c r="CB100" s="79"/>
      <c r="CC100" s="79"/>
      <c r="CD100" s="79"/>
      <c r="CE100" s="79"/>
      <c r="CF100" s="64"/>
      <c r="CH100" s="64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91"/>
    </row>
    <row r="101" spans="1:104" s="140" customFormat="1" ht="12.75" hidden="1" customHeight="1">
      <c r="A101" s="126" t="s">
        <v>126</v>
      </c>
      <c r="B101" s="124"/>
      <c r="C101" s="126" t="s">
        <v>27</v>
      </c>
      <c r="D101" s="121"/>
      <c r="E101" s="53">
        <f t="shared" si="35"/>
        <v>0</v>
      </c>
      <c r="F101" s="53"/>
      <c r="G101" s="53">
        <v>0</v>
      </c>
      <c r="H101" s="53"/>
      <c r="I101" s="53">
        <v>0</v>
      </c>
      <c r="J101" s="53"/>
      <c r="K101" s="53">
        <f t="shared" si="33"/>
        <v>0</v>
      </c>
      <c r="L101" s="53"/>
      <c r="M101" s="53">
        <v>0</v>
      </c>
      <c r="N101" s="53"/>
      <c r="O101" s="53">
        <v>0</v>
      </c>
      <c r="P101" s="53"/>
      <c r="Q101" s="53">
        <v>0</v>
      </c>
      <c r="R101" s="53"/>
      <c r="S101" s="53">
        <v>0</v>
      </c>
      <c r="T101" s="53"/>
      <c r="U101" s="53">
        <v>0</v>
      </c>
      <c r="V101" s="53"/>
      <c r="W101" s="53">
        <f t="shared" si="29"/>
        <v>0</v>
      </c>
      <c r="X101" s="137"/>
      <c r="Y101" s="126" t="s">
        <v>126</v>
      </c>
      <c r="AA101" s="126" t="s">
        <v>27</v>
      </c>
      <c r="AB101" s="126"/>
      <c r="AC101" s="53">
        <v>0</v>
      </c>
      <c r="AD101" s="53"/>
      <c r="AE101" s="53">
        <v>0</v>
      </c>
      <c r="AF101" s="53"/>
      <c r="AG101" s="53">
        <v>0</v>
      </c>
      <c r="AH101" s="53"/>
      <c r="AI101" s="45">
        <f t="shared" si="34"/>
        <v>0</v>
      </c>
      <c r="AJ101" s="45"/>
      <c r="AK101" s="53">
        <v>0</v>
      </c>
      <c r="AL101" s="45"/>
      <c r="AM101" s="53">
        <v>0</v>
      </c>
      <c r="AN101" s="53"/>
      <c r="AO101" s="53">
        <v>0</v>
      </c>
      <c r="AP101" s="53"/>
      <c r="AQ101" s="53">
        <v>0</v>
      </c>
      <c r="AR101" s="53"/>
      <c r="AS101" s="45">
        <f t="shared" si="36"/>
        <v>0</v>
      </c>
      <c r="AT101" s="45"/>
      <c r="AU101" s="53">
        <v>0</v>
      </c>
      <c r="AV101" s="53"/>
      <c r="AW101" s="53">
        <v>0</v>
      </c>
      <c r="AX101" s="53"/>
      <c r="AY101" s="53">
        <f t="shared" si="30"/>
        <v>0</v>
      </c>
      <c r="AZ101" s="53"/>
      <c r="BA101" s="126" t="s">
        <v>126</v>
      </c>
      <c r="BC101" s="126" t="s">
        <v>27</v>
      </c>
      <c r="BD101" s="137"/>
      <c r="BE101" s="53">
        <v>0</v>
      </c>
      <c r="BF101" s="53"/>
      <c r="BG101" s="53">
        <v>0</v>
      </c>
      <c r="BH101" s="53"/>
      <c r="BI101" s="53">
        <v>0</v>
      </c>
      <c r="BJ101" s="53"/>
      <c r="BK101" s="53">
        <v>0</v>
      </c>
      <c r="BL101" s="137"/>
      <c r="BM101" s="137">
        <f t="shared" si="31"/>
        <v>0</v>
      </c>
      <c r="BN101" s="139" t="s">
        <v>347</v>
      </c>
      <c r="BR101" s="124"/>
      <c r="BS101" s="137"/>
      <c r="BT101" s="137"/>
      <c r="BU101" s="137"/>
      <c r="BV101" s="137"/>
      <c r="BW101" s="127"/>
      <c r="BX101" s="127"/>
      <c r="BY101" s="137"/>
      <c r="BZ101" s="137"/>
      <c r="CA101" s="137"/>
      <c r="CB101" s="137"/>
      <c r="CC101" s="137"/>
      <c r="CD101" s="137"/>
      <c r="CE101" s="137"/>
      <c r="CF101" s="126"/>
      <c r="CH101" s="126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9"/>
    </row>
    <row r="102" spans="1:104" s="140" customFormat="1" ht="12.75" hidden="1" customHeight="1">
      <c r="A102" s="126" t="s">
        <v>127</v>
      </c>
      <c r="B102" s="124"/>
      <c r="C102" s="126" t="s">
        <v>43</v>
      </c>
      <c r="D102" s="121"/>
      <c r="E102" s="53">
        <f t="shared" si="35"/>
        <v>0</v>
      </c>
      <c r="F102" s="53"/>
      <c r="G102" s="53">
        <v>0</v>
      </c>
      <c r="H102" s="53"/>
      <c r="I102" s="53">
        <v>0</v>
      </c>
      <c r="J102" s="53"/>
      <c r="K102" s="53">
        <f t="shared" si="33"/>
        <v>0</v>
      </c>
      <c r="L102" s="53"/>
      <c r="M102" s="53">
        <v>0</v>
      </c>
      <c r="N102" s="53"/>
      <c r="O102" s="53">
        <v>0</v>
      </c>
      <c r="P102" s="53"/>
      <c r="Q102" s="53">
        <v>0</v>
      </c>
      <c r="R102" s="53"/>
      <c r="S102" s="53">
        <v>0</v>
      </c>
      <c r="T102" s="53"/>
      <c r="U102" s="53">
        <v>0</v>
      </c>
      <c r="V102" s="53"/>
      <c r="W102" s="53">
        <f t="shared" si="29"/>
        <v>0</v>
      </c>
      <c r="X102" s="137"/>
      <c r="Y102" s="126" t="s">
        <v>127</v>
      </c>
      <c r="AA102" s="126" t="s">
        <v>43</v>
      </c>
      <c r="AB102" s="126"/>
      <c r="AC102" s="53">
        <v>0</v>
      </c>
      <c r="AD102" s="53"/>
      <c r="AE102" s="53">
        <v>0</v>
      </c>
      <c r="AF102" s="53"/>
      <c r="AG102" s="53">
        <v>0</v>
      </c>
      <c r="AH102" s="53"/>
      <c r="AI102" s="45">
        <f t="shared" si="34"/>
        <v>0</v>
      </c>
      <c r="AJ102" s="45"/>
      <c r="AK102" s="53">
        <v>0</v>
      </c>
      <c r="AL102" s="45"/>
      <c r="AM102" s="53">
        <v>0</v>
      </c>
      <c r="AN102" s="53"/>
      <c r="AO102" s="53">
        <v>0</v>
      </c>
      <c r="AP102" s="53"/>
      <c r="AQ102" s="53">
        <v>0</v>
      </c>
      <c r="AR102" s="53"/>
      <c r="AS102" s="45">
        <f t="shared" si="36"/>
        <v>0</v>
      </c>
      <c r="AT102" s="45"/>
      <c r="AU102" s="53">
        <v>0</v>
      </c>
      <c r="AV102" s="53"/>
      <c r="AW102" s="53">
        <v>0</v>
      </c>
      <c r="AX102" s="53"/>
      <c r="AY102" s="53">
        <f t="shared" si="30"/>
        <v>0</v>
      </c>
      <c r="AZ102" s="53"/>
      <c r="BA102" s="126" t="s">
        <v>127</v>
      </c>
      <c r="BC102" s="126" t="s">
        <v>43</v>
      </c>
      <c r="BD102" s="137"/>
      <c r="BE102" s="53">
        <v>0</v>
      </c>
      <c r="BF102" s="53"/>
      <c r="BG102" s="53">
        <v>0</v>
      </c>
      <c r="BH102" s="53"/>
      <c r="BI102" s="53">
        <v>0</v>
      </c>
      <c r="BJ102" s="53"/>
      <c r="BK102" s="53">
        <v>0</v>
      </c>
      <c r="BL102" s="137"/>
      <c r="BM102" s="137">
        <f t="shared" si="31"/>
        <v>0</v>
      </c>
      <c r="BN102" s="139" t="s">
        <v>347</v>
      </c>
      <c r="BR102" s="124"/>
      <c r="BS102" s="137"/>
      <c r="BT102" s="137"/>
      <c r="BU102" s="137"/>
      <c r="BV102" s="137"/>
      <c r="BW102" s="127"/>
      <c r="BX102" s="127"/>
      <c r="BY102" s="137"/>
      <c r="BZ102" s="137"/>
      <c r="CA102" s="137"/>
      <c r="CB102" s="137"/>
      <c r="CC102" s="137"/>
      <c r="CD102" s="137"/>
      <c r="CE102" s="137"/>
      <c r="CF102" s="126"/>
      <c r="CH102" s="126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9"/>
    </row>
    <row r="103" spans="1:104" s="55" customFormat="1" ht="12.75" customHeight="1">
      <c r="A103" s="35" t="s">
        <v>128</v>
      </c>
      <c r="B103" s="51"/>
      <c r="C103" s="35" t="s">
        <v>119</v>
      </c>
      <c r="D103" s="44"/>
      <c r="E103" s="53">
        <f t="shared" si="35"/>
        <v>1693840</v>
      </c>
      <c r="F103" s="53"/>
      <c r="G103" s="53">
        <v>17576706</v>
      </c>
      <c r="H103" s="53"/>
      <c r="I103" s="53">
        <v>19270546</v>
      </c>
      <c r="J103" s="53"/>
      <c r="K103" s="53">
        <f t="shared" si="33"/>
        <v>646710</v>
      </c>
      <c r="L103" s="53"/>
      <c r="M103" s="53">
        <v>4183476</v>
      </c>
      <c r="N103" s="53"/>
      <c r="O103" s="53">
        <v>4830186</v>
      </c>
      <c r="P103" s="53"/>
      <c r="Q103" s="53">
        <v>12819699</v>
      </c>
      <c r="R103" s="53"/>
      <c r="S103" s="53">
        <v>0</v>
      </c>
      <c r="T103" s="53"/>
      <c r="U103" s="53">
        <v>1620661</v>
      </c>
      <c r="V103" s="53"/>
      <c r="W103" s="53">
        <f t="shared" si="29"/>
        <v>14440360</v>
      </c>
      <c r="X103" s="53"/>
      <c r="Y103" s="35" t="s">
        <v>128</v>
      </c>
      <c r="AA103" s="35" t="s">
        <v>119</v>
      </c>
      <c r="AB103" s="35"/>
      <c r="AC103" s="53">
        <v>2089446</v>
      </c>
      <c r="AD103" s="53"/>
      <c r="AE103" s="53">
        <f>1537688-286189</f>
        <v>1251499</v>
      </c>
      <c r="AF103" s="53"/>
      <c r="AG103" s="53">
        <v>286189</v>
      </c>
      <c r="AH103" s="53"/>
      <c r="AI103" s="45">
        <f t="shared" si="34"/>
        <v>551758</v>
      </c>
      <c r="AJ103" s="45"/>
      <c r="AK103" s="53">
        <v>-30495</v>
      </c>
      <c r="AL103" s="45"/>
      <c r="AM103" s="53">
        <v>200000</v>
      </c>
      <c r="AN103" s="53"/>
      <c r="AO103" s="53">
        <v>0</v>
      </c>
      <c r="AP103" s="53"/>
      <c r="AQ103" s="53">
        <v>5761987</v>
      </c>
      <c r="AR103" s="53"/>
      <c r="AS103" s="45">
        <f t="shared" si="36"/>
        <v>6483250</v>
      </c>
      <c r="AT103" s="45"/>
      <c r="AU103" s="53">
        <v>0</v>
      </c>
      <c r="AV103" s="53"/>
      <c r="AW103" s="53">
        <v>0</v>
      </c>
      <c r="AX103" s="53"/>
      <c r="AY103" s="53">
        <f t="shared" si="30"/>
        <v>1047130</v>
      </c>
      <c r="AZ103" s="53"/>
      <c r="BA103" s="35" t="s">
        <v>128</v>
      </c>
      <c r="BC103" s="35" t="s">
        <v>119</v>
      </c>
      <c r="BD103" s="53"/>
      <c r="BE103" s="53">
        <v>0</v>
      </c>
      <c r="BF103" s="53"/>
      <c r="BG103" s="53">
        <v>0</v>
      </c>
      <c r="BH103" s="53"/>
      <c r="BI103" s="53">
        <f>3953464+150000+86018+10000</f>
        <v>4199482</v>
      </c>
      <c r="BJ103" s="53"/>
      <c r="BK103" s="53">
        <f>39921+40091+14779</f>
        <v>94791</v>
      </c>
      <c r="BL103" s="53"/>
      <c r="BM103" s="53">
        <f t="shared" si="31"/>
        <v>4294273</v>
      </c>
      <c r="BN103" s="54" t="s">
        <v>347</v>
      </c>
      <c r="BR103" s="65"/>
      <c r="BS103" s="53"/>
      <c r="BT103" s="53"/>
      <c r="BU103" s="53"/>
      <c r="BV103" s="53"/>
      <c r="BW103" s="53"/>
      <c r="BX103" s="45"/>
      <c r="BY103" s="45"/>
      <c r="BZ103" s="53"/>
      <c r="CA103" s="53"/>
      <c r="CB103" s="53"/>
      <c r="CC103" s="53"/>
      <c r="CD103" s="53"/>
      <c r="CE103" s="53"/>
      <c r="CF103" s="35"/>
      <c r="CH103" s="35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4"/>
    </row>
    <row r="104" spans="1:104" s="55" customFormat="1" ht="12.75" customHeight="1">
      <c r="A104" s="35" t="s">
        <v>129</v>
      </c>
      <c r="B104" s="51"/>
      <c r="C104" s="35" t="s">
        <v>80</v>
      </c>
      <c r="D104" s="44"/>
      <c r="E104" s="53">
        <f t="shared" si="35"/>
        <v>677820</v>
      </c>
      <c r="F104" s="53"/>
      <c r="G104" s="53">
        <v>5833912</v>
      </c>
      <c r="H104" s="53"/>
      <c r="I104" s="53">
        <v>6511732</v>
      </c>
      <c r="J104" s="53"/>
      <c r="K104" s="53">
        <f t="shared" si="33"/>
        <v>525961</v>
      </c>
      <c r="L104" s="53"/>
      <c r="M104" s="53">
        <v>1079976</v>
      </c>
      <c r="N104" s="53"/>
      <c r="O104" s="53">
        <v>1605937</v>
      </c>
      <c r="P104" s="53"/>
      <c r="Q104" s="53">
        <v>4304915</v>
      </c>
      <c r="R104" s="53"/>
      <c r="S104" s="53">
        <v>0</v>
      </c>
      <c r="T104" s="53"/>
      <c r="U104" s="53">
        <v>600880</v>
      </c>
      <c r="V104" s="53"/>
      <c r="W104" s="53">
        <f t="shared" si="29"/>
        <v>4905795</v>
      </c>
      <c r="X104" s="53"/>
      <c r="Y104" s="35" t="s">
        <v>129</v>
      </c>
      <c r="AA104" s="35" t="s">
        <v>80</v>
      </c>
      <c r="AB104" s="35"/>
      <c r="AC104" s="53">
        <v>1295955</v>
      </c>
      <c r="AD104" s="53"/>
      <c r="AE104" s="53">
        <f>1155779-247820</f>
        <v>907959</v>
      </c>
      <c r="AF104" s="53"/>
      <c r="AG104" s="53">
        <v>247820</v>
      </c>
      <c r="AH104" s="53"/>
      <c r="AI104" s="45">
        <f t="shared" si="34"/>
        <v>140176</v>
      </c>
      <c r="AJ104" s="45"/>
      <c r="AK104" s="53">
        <v>-104470</v>
      </c>
      <c r="AL104" s="45"/>
      <c r="AM104" s="53">
        <v>0</v>
      </c>
      <c r="AN104" s="53"/>
      <c r="AO104" s="53">
        <v>1320</v>
      </c>
      <c r="AP104" s="53"/>
      <c r="AQ104" s="53">
        <v>7291</v>
      </c>
      <c r="AR104" s="53"/>
      <c r="AS104" s="45">
        <f t="shared" si="36"/>
        <v>41677</v>
      </c>
      <c r="AT104" s="45"/>
      <c r="AU104" s="53">
        <v>0</v>
      </c>
      <c r="AV104" s="53"/>
      <c r="AW104" s="53">
        <v>0</v>
      </c>
      <c r="AX104" s="53"/>
      <c r="AY104" s="53">
        <f t="shared" si="30"/>
        <v>151859</v>
      </c>
      <c r="AZ104" s="53"/>
      <c r="BA104" s="35" t="s">
        <v>129</v>
      </c>
      <c r="BC104" s="35" t="s">
        <v>80</v>
      </c>
      <c r="BD104" s="53"/>
      <c r="BE104" s="53">
        <v>0</v>
      </c>
      <c r="BF104" s="53"/>
      <c r="BG104" s="53">
        <f>894873+435000</f>
        <v>1329873</v>
      </c>
      <c r="BH104" s="53"/>
      <c r="BI104" s="53">
        <f>93968+5873</f>
        <v>99841</v>
      </c>
      <c r="BJ104" s="53"/>
      <c r="BK104" s="53">
        <f>25114+66021+23987+20544</f>
        <v>135666</v>
      </c>
      <c r="BL104" s="53"/>
      <c r="BM104" s="53">
        <f t="shared" si="31"/>
        <v>1565380</v>
      </c>
      <c r="BN104" s="54" t="s">
        <v>347</v>
      </c>
      <c r="BR104" s="51"/>
      <c r="BS104" s="53"/>
      <c r="BT104" s="53"/>
      <c r="BU104" s="53"/>
      <c r="BV104" s="53"/>
      <c r="BW104" s="53"/>
      <c r="BX104" s="45"/>
      <c r="BY104" s="45"/>
      <c r="BZ104" s="53"/>
      <c r="CA104" s="53"/>
      <c r="CB104" s="53"/>
      <c r="CC104" s="53"/>
      <c r="CD104" s="53"/>
      <c r="CE104" s="53"/>
      <c r="CF104" s="35"/>
      <c r="CH104" s="35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4"/>
    </row>
    <row r="105" spans="1:104" s="55" customFormat="1" ht="12.75" customHeight="1">
      <c r="A105" s="35" t="s">
        <v>130</v>
      </c>
      <c r="B105" s="51"/>
      <c r="C105" s="35" t="s">
        <v>66</v>
      </c>
      <c r="D105" s="44"/>
      <c r="E105" s="53">
        <f t="shared" si="35"/>
        <v>7947943</v>
      </c>
      <c r="F105" s="53"/>
      <c r="G105" s="53">
        <v>33101747</v>
      </c>
      <c r="H105" s="53"/>
      <c r="I105" s="53">
        <v>41049690</v>
      </c>
      <c r="J105" s="53"/>
      <c r="K105" s="53">
        <f t="shared" si="33"/>
        <v>673983</v>
      </c>
      <c r="L105" s="53"/>
      <c r="M105" s="53">
        <v>2102145</v>
      </c>
      <c r="N105" s="53"/>
      <c r="O105" s="53">
        <v>2776128</v>
      </c>
      <c r="P105" s="53"/>
      <c r="Q105" s="53">
        <v>14311478</v>
      </c>
      <c r="R105" s="53"/>
      <c r="S105" s="53">
        <v>0</v>
      </c>
      <c r="T105" s="53"/>
      <c r="U105" s="53">
        <v>23962084</v>
      </c>
      <c r="V105" s="53"/>
      <c r="W105" s="53">
        <f t="shared" si="29"/>
        <v>38273562</v>
      </c>
      <c r="X105" s="53"/>
      <c r="Y105" s="35" t="s">
        <v>130</v>
      </c>
      <c r="AA105" s="35" t="s">
        <v>66</v>
      </c>
      <c r="AB105" s="35"/>
      <c r="AC105" s="53">
        <v>3953466</v>
      </c>
      <c r="AD105" s="53"/>
      <c r="AE105" s="53">
        <f>3027940-550011</f>
        <v>2477929</v>
      </c>
      <c r="AF105" s="53"/>
      <c r="AG105" s="53">
        <v>550011</v>
      </c>
      <c r="AH105" s="53"/>
      <c r="AI105" s="45">
        <f t="shared" si="34"/>
        <v>925526</v>
      </c>
      <c r="AJ105" s="45"/>
      <c r="AK105" s="53">
        <v>2061956</v>
      </c>
      <c r="AL105" s="45"/>
      <c r="AM105" s="53">
        <v>0</v>
      </c>
      <c r="AN105" s="53"/>
      <c r="AO105" s="53">
        <v>148792</v>
      </c>
      <c r="AP105" s="53"/>
      <c r="AQ105" s="53">
        <v>1030393</v>
      </c>
      <c r="AR105" s="53"/>
      <c r="AS105" s="45">
        <f t="shared" si="36"/>
        <v>3869083</v>
      </c>
      <c r="AT105" s="45"/>
      <c r="AU105" s="53">
        <v>0</v>
      </c>
      <c r="AV105" s="53"/>
      <c r="AW105" s="53">
        <v>0</v>
      </c>
      <c r="AX105" s="53"/>
      <c r="AY105" s="53">
        <f t="shared" si="30"/>
        <v>7273960</v>
      </c>
      <c r="AZ105" s="53"/>
      <c r="BA105" s="35" t="s">
        <v>131</v>
      </c>
      <c r="BB105" s="65"/>
      <c r="BC105" s="35" t="s">
        <v>13</v>
      </c>
      <c r="BD105" s="53"/>
      <c r="BE105" s="53">
        <v>0</v>
      </c>
      <c r="BF105" s="53"/>
      <c r="BG105" s="53">
        <v>0</v>
      </c>
      <c r="BH105" s="53"/>
      <c r="BI105" s="53">
        <f>2102145+430004</f>
        <v>2532149</v>
      </c>
      <c r="BJ105" s="53"/>
      <c r="BK105" s="53">
        <v>0</v>
      </c>
      <c r="BL105" s="53"/>
      <c r="BM105" s="53">
        <f t="shared" si="31"/>
        <v>2532149</v>
      </c>
      <c r="BN105" s="54" t="s">
        <v>347</v>
      </c>
      <c r="BO105" s="55" t="s">
        <v>404</v>
      </c>
      <c r="BR105" s="51"/>
      <c r="BS105" s="53"/>
      <c r="BT105" s="53"/>
      <c r="BU105" s="53"/>
      <c r="BV105" s="53"/>
      <c r="BW105" s="53"/>
      <c r="BX105" s="45"/>
      <c r="BY105" s="45"/>
      <c r="BZ105" s="53"/>
      <c r="CA105" s="53"/>
      <c r="CB105" s="53"/>
      <c r="CC105" s="53"/>
      <c r="CD105" s="53"/>
      <c r="CE105" s="53"/>
      <c r="CF105" s="35"/>
      <c r="CH105" s="35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4"/>
    </row>
    <row r="106" spans="1:104" s="55" customFormat="1" ht="12.75" customHeight="1">
      <c r="A106" s="35" t="s">
        <v>131</v>
      </c>
      <c r="B106" s="65"/>
      <c r="C106" s="35" t="s">
        <v>13</v>
      </c>
      <c r="D106" s="44"/>
      <c r="E106" s="53">
        <f t="shared" si="35"/>
        <v>1850268</v>
      </c>
      <c r="F106" s="53"/>
      <c r="G106" s="53">
        <v>9375128</v>
      </c>
      <c r="H106" s="53"/>
      <c r="I106" s="53">
        <v>11225396</v>
      </c>
      <c r="J106" s="53"/>
      <c r="K106" s="53">
        <f t="shared" si="33"/>
        <v>1185358</v>
      </c>
      <c r="L106" s="53"/>
      <c r="M106" s="53">
        <v>5654341</v>
      </c>
      <c r="N106" s="53"/>
      <c r="O106" s="53">
        <v>6839699</v>
      </c>
      <c r="P106" s="53"/>
      <c r="Q106" s="53">
        <v>3323022</v>
      </c>
      <c r="R106" s="53"/>
      <c r="S106" s="53">
        <v>0</v>
      </c>
      <c r="T106" s="53"/>
      <c r="U106" s="53">
        <v>1062675</v>
      </c>
      <c r="V106" s="53"/>
      <c r="W106" s="53">
        <f t="shared" si="29"/>
        <v>4385697</v>
      </c>
      <c r="X106" s="53"/>
      <c r="Y106" s="35" t="s">
        <v>131</v>
      </c>
      <c r="Z106" s="65"/>
      <c r="AA106" s="35" t="s">
        <v>13</v>
      </c>
      <c r="AB106" s="35"/>
      <c r="AC106" s="53">
        <v>1811487</v>
      </c>
      <c r="AD106" s="53"/>
      <c r="AE106" s="53">
        <f>3026479-321748</f>
        <v>2704731</v>
      </c>
      <c r="AF106" s="53"/>
      <c r="AG106" s="53">
        <v>321748</v>
      </c>
      <c r="AH106" s="53"/>
      <c r="AI106" s="45">
        <f t="shared" si="34"/>
        <v>-1214992</v>
      </c>
      <c r="AJ106" s="45"/>
      <c r="AK106" s="53">
        <v>-262163</v>
      </c>
      <c r="AL106" s="45"/>
      <c r="AM106" s="53">
        <v>1675000</v>
      </c>
      <c r="AN106" s="53"/>
      <c r="AO106" s="53">
        <v>0</v>
      </c>
      <c r="AP106" s="53"/>
      <c r="AQ106" s="53">
        <v>0</v>
      </c>
      <c r="AR106" s="53"/>
      <c r="AS106" s="45">
        <f t="shared" si="36"/>
        <v>197845</v>
      </c>
      <c r="AT106" s="45"/>
      <c r="AU106" s="53">
        <v>0</v>
      </c>
      <c r="AV106" s="53"/>
      <c r="AW106" s="53">
        <v>0</v>
      </c>
      <c r="AX106" s="53"/>
      <c r="AY106" s="53">
        <f t="shared" si="30"/>
        <v>664910</v>
      </c>
      <c r="AZ106" s="53"/>
      <c r="BA106" s="35" t="s">
        <v>130</v>
      </c>
      <c r="BC106" s="35" t="s">
        <v>66</v>
      </c>
      <c r="BD106" s="53"/>
      <c r="BE106" s="53">
        <f>1845000+45000</f>
        <v>1890000</v>
      </c>
      <c r="BF106" s="53"/>
      <c r="BG106" s="53">
        <v>0</v>
      </c>
      <c r="BH106" s="53"/>
      <c r="BI106" s="53">
        <f>3665961+444855</f>
        <v>4110816</v>
      </c>
      <c r="BJ106" s="53"/>
      <c r="BK106" s="53">
        <f>100000+43380+4879</f>
        <v>148259</v>
      </c>
      <c r="BL106" s="53"/>
      <c r="BM106" s="53">
        <f t="shared" ref="BM106" si="37">SUM(BE106:BK106)</f>
        <v>6149075</v>
      </c>
      <c r="BN106" s="54" t="s">
        <v>347</v>
      </c>
      <c r="BR106" s="65"/>
      <c r="BS106" s="53"/>
      <c r="BT106" s="53"/>
      <c r="BU106" s="53"/>
      <c r="BV106" s="53"/>
      <c r="BW106" s="53"/>
      <c r="BX106" s="45"/>
      <c r="BY106" s="45"/>
      <c r="BZ106" s="53"/>
      <c r="CA106" s="53"/>
      <c r="CB106" s="53"/>
      <c r="CC106" s="53"/>
      <c r="CD106" s="53"/>
      <c r="CE106" s="53"/>
      <c r="CF106" s="35"/>
      <c r="CH106" s="35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4"/>
    </row>
    <row r="107" spans="1:104" s="140" customFormat="1" ht="12.75" hidden="1" customHeight="1">
      <c r="A107" s="126" t="s">
        <v>38</v>
      </c>
      <c r="B107" s="124"/>
      <c r="C107" s="126" t="s">
        <v>132</v>
      </c>
      <c r="D107" s="121"/>
      <c r="E107" s="53">
        <f t="shared" si="35"/>
        <v>0</v>
      </c>
      <c r="F107" s="53"/>
      <c r="G107" s="53">
        <v>0</v>
      </c>
      <c r="H107" s="53"/>
      <c r="I107" s="53">
        <v>0</v>
      </c>
      <c r="J107" s="53"/>
      <c r="K107" s="53">
        <f t="shared" si="33"/>
        <v>0</v>
      </c>
      <c r="L107" s="53"/>
      <c r="M107" s="53">
        <v>0</v>
      </c>
      <c r="N107" s="53"/>
      <c r="O107" s="53">
        <v>0</v>
      </c>
      <c r="P107" s="53"/>
      <c r="Q107" s="53">
        <v>0</v>
      </c>
      <c r="R107" s="53"/>
      <c r="S107" s="53">
        <v>0</v>
      </c>
      <c r="T107" s="53"/>
      <c r="U107" s="53">
        <v>0</v>
      </c>
      <c r="V107" s="53"/>
      <c r="W107" s="53">
        <f t="shared" si="29"/>
        <v>0</v>
      </c>
      <c r="X107" s="137"/>
      <c r="Y107" s="126" t="s">
        <v>38</v>
      </c>
      <c r="AA107" s="126" t="s">
        <v>132</v>
      </c>
      <c r="AB107" s="126"/>
      <c r="AC107" s="53">
        <v>0</v>
      </c>
      <c r="AD107" s="53"/>
      <c r="AE107" s="53">
        <v>0</v>
      </c>
      <c r="AF107" s="53"/>
      <c r="AG107" s="53">
        <v>0</v>
      </c>
      <c r="AH107" s="53"/>
      <c r="AI107" s="45">
        <f t="shared" si="34"/>
        <v>0</v>
      </c>
      <c r="AJ107" s="45"/>
      <c r="AK107" s="53">
        <v>0</v>
      </c>
      <c r="AL107" s="45"/>
      <c r="AM107" s="53">
        <v>0</v>
      </c>
      <c r="AN107" s="53"/>
      <c r="AO107" s="53">
        <v>0</v>
      </c>
      <c r="AP107" s="53"/>
      <c r="AQ107" s="53">
        <v>0</v>
      </c>
      <c r="AR107" s="53"/>
      <c r="AS107" s="45">
        <f t="shared" si="36"/>
        <v>0</v>
      </c>
      <c r="AT107" s="45"/>
      <c r="AU107" s="53">
        <v>0</v>
      </c>
      <c r="AV107" s="53"/>
      <c r="AW107" s="53">
        <v>0</v>
      </c>
      <c r="AX107" s="53"/>
      <c r="AY107" s="53">
        <f t="shared" si="30"/>
        <v>0</v>
      </c>
      <c r="AZ107" s="53"/>
      <c r="BA107" s="126" t="s">
        <v>38</v>
      </c>
      <c r="BC107" s="126" t="s">
        <v>132</v>
      </c>
      <c r="BD107" s="137"/>
      <c r="BE107" s="53">
        <v>0</v>
      </c>
      <c r="BF107" s="53"/>
      <c r="BG107" s="53">
        <v>0</v>
      </c>
      <c r="BH107" s="53"/>
      <c r="BI107" s="53">
        <v>0</v>
      </c>
      <c r="BJ107" s="53"/>
      <c r="BK107" s="53">
        <v>0</v>
      </c>
      <c r="BL107" s="137"/>
      <c r="BM107" s="137">
        <f t="shared" si="31"/>
        <v>0</v>
      </c>
      <c r="BN107" s="139"/>
      <c r="BR107" s="124"/>
      <c r="BS107" s="137"/>
      <c r="BT107" s="137"/>
      <c r="BU107" s="137"/>
      <c r="BV107" s="137"/>
      <c r="BW107" s="137"/>
      <c r="BX107" s="127"/>
      <c r="BY107" s="127"/>
      <c r="BZ107" s="137"/>
      <c r="CA107" s="137"/>
      <c r="CB107" s="137"/>
      <c r="CC107" s="137"/>
      <c r="CD107" s="137"/>
      <c r="CE107" s="137"/>
      <c r="CF107" s="126"/>
      <c r="CH107" s="126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9"/>
    </row>
    <row r="108" spans="1:104" s="140" customFormat="1" ht="12.75" hidden="1" customHeight="1">
      <c r="A108" s="126" t="s">
        <v>133</v>
      </c>
      <c r="B108" s="124"/>
      <c r="C108" s="126" t="s">
        <v>27</v>
      </c>
      <c r="D108" s="121"/>
      <c r="E108" s="53">
        <f t="shared" si="35"/>
        <v>0</v>
      </c>
      <c r="F108" s="53"/>
      <c r="G108" s="53">
        <v>0</v>
      </c>
      <c r="H108" s="53"/>
      <c r="I108" s="53">
        <v>0</v>
      </c>
      <c r="J108" s="53"/>
      <c r="K108" s="53">
        <f t="shared" si="33"/>
        <v>0</v>
      </c>
      <c r="L108" s="53"/>
      <c r="M108" s="53">
        <v>0</v>
      </c>
      <c r="N108" s="53"/>
      <c r="O108" s="53">
        <v>0</v>
      </c>
      <c r="P108" s="53"/>
      <c r="Q108" s="53">
        <v>0</v>
      </c>
      <c r="R108" s="53"/>
      <c r="S108" s="53">
        <v>0</v>
      </c>
      <c r="T108" s="53"/>
      <c r="U108" s="53">
        <v>0</v>
      </c>
      <c r="V108" s="53"/>
      <c r="W108" s="53">
        <f t="shared" si="29"/>
        <v>0</v>
      </c>
      <c r="X108" s="137"/>
      <c r="Y108" s="126" t="s">
        <v>133</v>
      </c>
      <c r="AA108" s="126" t="s">
        <v>27</v>
      </c>
      <c r="AB108" s="126"/>
      <c r="AC108" s="53">
        <v>0</v>
      </c>
      <c r="AD108" s="53"/>
      <c r="AE108" s="53">
        <v>0</v>
      </c>
      <c r="AF108" s="53"/>
      <c r="AG108" s="53">
        <v>0</v>
      </c>
      <c r="AH108" s="53"/>
      <c r="AI108" s="45">
        <f t="shared" si="34"/>
        <v>0</v>
      </c>
      <c r="AJ108" s="45"/>
      <c r="AK108" s="53">
        <v>0</v>
      </c>
      <c r="AL108" s="45"/>
      <c r="AM108" s="53">
        <v>0</v>
      </c>
      <c r="AN108" s="53"/>
      <c r="AO108" s="53">
        <v>0</v>
      </c>
      <c r="AP108" s="53"/>
      <c r="AQ108" s="53">
        <v>0</v>
      </c>
      <c r="AR108" s="53"/>
      <c r="AS108" s="45">
        <f t="shared" si="36"/>
        <v>0</v>
      </c>
      <c r="AT108" s="45"/>
      <c r="AU108" s="53">
        <v>0</v>
      </c>
      <c r="AV108" s="53"/>
      <c r="AW108" s="53">
        <v>0</v>
      </c>
      <c r="AX108" s="53"/>
      <c r="AY108" s="53">
        <f t="shared" si="30"/>
        <v>0</v>
      </c>
      <c r="AZ108" s="53"/>
      <c r="BA108" s="126" t="s">
        <v>133</v>
      </c>
      <c r="BC108" s="126" t="s">
        <v>27</v>
      </c>
      <c r="BD108" s="137"/>
      <c r="BE108" s="53">
        <v>0</v>
      </c>
      <c r="BF108" s="53"/>
      <c r="BG108" s="53">
        <v>0</v>
      </c>
      <c r="BH108" s="53"/>
      <c r="BI108" s="53">
        <v>0</v>
      </c>
      <c r="BJ108" s="53"/>
      <c r="BK108" s="53">
        <v>0</v>
      </c>
      <c r="BL108" s="137"/>
      <c r="BM108" s="137">
        <f t="shared" si="31"/>
        <v>0</v>
      </c>
      <c r="BN108" s="139" t="s">
        <v>347</v>
      </c>
      <c r="BR108" s="124"/>
      <c r="BS108" s="137"/>
      <c r="BT108" s="137"/>
      <c r="BU108" s="137"/>
      <c r="BV108" s="137"/>
      <c r="BW108" s="137"/>
      <c r="BX108" s="127"/>
      <c r="BY108" s="127"/>
      <c r="BZ108" s="137"/>
      <c r="CA108" s="137"/>
      <c r="CB108" s="137"/>
      <c r="CC108" s="137"/>
      <c r="CD108" s="137"/>
      <c r="CE108" s="137"/>
      <c r="CF108" s="126"/>
      <c r="CH108" s="126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9"/>
    </row>
    <row r="109" spans="1:104" s="55" customFormat="1" ht="12.75" customHeight="1">
      <c r="A109" s="35" t="s">
        <v>136</v>
      </c>
      <c r="B109" s="51"/>
      <c r="C109" s="35" t="s">
        <v>136</v>
      </c>
      <c r="D109" s="44"/>
      <c r="E109" s="53">
        <f t="shared" si="35"/>
        <v>3206383</v>
      </c>
      <c r="F109" s="53"/>
      <c r="G109" s="53">
        <v>15905613</v>
      </c>
      <c r="H109" s="53"/>
      <c r="I109" s="53">
        <v>19111996</v>
      </c>
      <c r="J109" s="53"/>
      <c r="K109" s="53">
        <f t="shared" si="33"/>
        <v>699860</v>
      </c>
      <c r="L109" s="53"/>
      <c r="M109" s="53">
        <v>7179681</v>
      </c>
      <c r="N109" s="53"/>
      <c r="O109" s="53">
        <v>7879541</v>
      </c>
      <c r="P109" s="53"/>
      <c r="Q109" s="53">
        <v>8457219</v>
      </c>
      <c r="R109" s="53"/>
      <c r="S109" s="53">
        <v>0</v>
      </c>
      <c r="T109" s="53"/>
      <c r="U109" s="53">
        <v>2775236</v>
      </c>
      <c r="V109" s="53"/>
      <c r="W109" s="53">
        <f t="shared" si="29"/>
        <v>11232455</v>
      </c>
      <c r="X109" s="53"/>
      <c r="Y109" s="35" t="s">
        <v>136</v>
      </c>
      <c r="AA109" s="35" t="s">
        <v>136</v>
      </c>
      <c r="AB109" s="35"/>
      <c r="AC109" s="53">
        <v>2355692</v>
      </c>
      <c r="AD109" s="53"/>
      <c r="AE109" s="53">
        <f>2511430-219860</f>
        <v>2291570</v>
      </c>
      <c r="AF109" s="53"/>
      <c r="AG109" s="53">
        <v>219860</v>
      </c>
      <c r="AH109" s="53"/>
      <c r="AI109" s="45">
        <f t="shared" si="34"/>
        <v>-155738</v>
      </c>
      <c r="AJ109" s="45"/>
      <c r="AK109" s="53">
        <v>2224838</v>
      </c>
      <c r="AL109" s="45"/>
      <c r="AM109" s="53">
        <v>0</v>
      </c>
      <c r="AN109" s="53"/>
      <c r="AO109" s="53">
        <v>0</v>
      </c>
      <c r="AP109" s="53"/>
      <c r="AQ109" s="53">
        <v>0</v>
      </c>
      <c r="AR109" s="53"/>
      <c r="AS109" s="45">
        <f t="shared" si="36"/>
        <v>2069100</v>
      </c>
      <c r="AT109" s="45"/>
      <c r="AU109" s="53">
        <v>0</v>
      </c>
      <c r="AV109" s="53"/>
      <c r="AW109" s="53">
        <v>0</v>
      </c>
      <c r="AX109" s="53"/>
      <c r="AY109" s="53">
        <f t="shared" si="30"/>
        <v>2506523</v>
      </c>
      <c r="AZ109" s="53"/>
      <c r="BA109" s="35" t="s">
        <v>136</v>
      </c>
      <c r="BC109" s="35" t="s">
        <v>136</v>
      </c>
      <c r="BD109" s="53"/>
      <c r="BE109" s="53">
        <v>0</v>
      </c>
      <c r="BF109" s="53"/>
      <c r="BG109" s="53">
        <v>0</v>
      </c>
      <c r="BH109" s="53"/>
      <c r="BI109" s="53">
        <f>6737212+380220</f>
        <v>7117432</v>
      </c>
      <c r="BJ109" s="53"/>
      <c r="BK109" s="53">
        <f>304470+137999+26492+55943</f>
        <v>524904</v>
      </c>
      <c r="BL109" s="53"/>
      <c r="BM109" s="53">
        <f t="shared" si="31"/>
        <v>7642336</v>
      </c>
      <c r="BN109" s="54" t="s">
        <v>347</v>
      </c>
      <c r="BR109" s="51"/>
      <c r="BS109" s="53"/>
      <c r="BT109" s="53"/>
      <c r="BU109" s="53"/>
      <c r="BV109" s="53"/>
      <c r="BW109" s="53"/>
      <c r="BX109" s="45"/>
      <c r="BY109" s="45"/>
      <c r="BZ109" s="53"/>
      <c r="CA109" s="53"/>
      <c r="CB109" s="53"/>
      <c r="CC109" s="53"/>
      <c r="CD109" s="53"/>
      <c r="CE109" s="53"/>
      <c r="CF109" s="35"/>
      <c r="CH109" s="35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4"/>
    </row>
    <row r="110" spans="1:104" s="55" customFormat="1" ht="11.25" customHeight="1">
      <c r="A110" s="35" t="s">
        <v>137</v>
      </c>
      <c r="C110" s="35" t="s">
        <v>22</v>
      </c>
      <c r="D110" s="44"/>
      <c r="E110" s="53">
        <f t="shared" si="35"/>
        <v>3106988</v>
      </c>
      <c r="F110" s="53"/>
      <c r="G110" s="53">
        <v>26812296</v>
      </c>
      <c r="H110" s="53"/>
      <c r="I110" s="53">
        <v>29919284</v>
      </c>
      <c r="J110" s="53"/>
      <c r="K110" s="53">
        <f t="shared" si="33"/>
        <v>1695676</v>
      </c>
      <c r="L110" s="53"/>
      <c r="M110" s="53">
        <v>3290583</v>
      </c>
      <c r="N110" s="53"/>
      <c r="O110" s="53">
        <v>4986259</v>
      </c>
      <c r="P110" s="53"/>
      <c r="Q110" s="53">
        <v>22550743</v>
      </c>
      <c r="R110" s="53"/>
      <c r="S110" s="53">
        <v>0</v>
      </c>
      <c r="T110" s="53"/>
      <c r="U110" s="53">
        <v>2382282</v>
      </c>
      <c r="V110" s="53"/>
      <c r="W110" s="53">
        <f t="shared" si="29"/>
        <v>24933025</v>
      </c>
      <c r="X110" s="53"/>
      <c r="Y110" s="35" t="s">
        <v>137</v>
      </c>
      <c r="AA110" s="35" t="s">
        <v>22</v>
      </c>
      <c r="AB110" s="35"/>
      <c r="AC110" s="53">
        <v>3511946</v>
      </c>
      <c r="AD110" s="53"/>
      <c r="AE110" s="53">
        <f>3829143-871621</f>
        <v>2957522</v>
      </c>
      <c r="AF110" s="53"/>
      <c r="AG110" s="53">
        <v>871621</v>
      </c>
      <c r="AH110" s="53"/>
      <c r="AI110" s="45">
        <f t="shared" si="34"/>
        <v>-317197</v>
      </c>
      <c r="AJ110" s="45"/>
      <c r="AK110" s="53">
        <f>-121294+5373</f>
        <v>-115921</v>
      </c>
      <c r="AL110" s="45"/>
      <c r="AM110" s="53">
        <v>0</v>
      </c>
      <c r="AN110" s="53"/>
      <c r="AO110" s="53">
        <v>0</v>
      </c>
      <c r="AP110" s="53"/>
      <c r="AQ110" s="53">
        <v>10553</v>
      </c>
      <c r="AR110" s="53"/>
      <c r="AS110" s="45">
        <f t="shared" si="36"/>
        <v>-422565</v>
      </c>
      <c r="AT110" s="45"/>
      <c r="AU110" s="53">
        <v>0</v>
      </c>
      <c r="AV110" s="53"/>
      <c r="AW110" s="53">
        <v>0</v>
      </c>
      <c r="AX110" s="53"/>
      <c r="AY110" s="53">
        <f t="shared" si="30"/>
        <v>1411312</v>
      </c>
      <c r="AZ110" s="53"/>
      <c r="BA110" s="35" t="s">
        <v>137</v>
      </c>
      <c r="BC110" s="35" t="s">
        <v>22</v>
      </c>
      <c r="BD110" s="53"/>
      <c r="BE110" s="53">
        <v>0</v>
      </c>
      <c r="BF110" s="53"/>
      <c r="BG110" s="53">
        <v>0</v>
      </c>
      <c r="BH110" s="53"/>
      <c r="BI110" s="53">
        <f>3281525+185028</f>
        <v>3466553</v>
      </c>
      <c r="BJ110" s="53"/>
      <c r="BK110" s="53">
        <f>9058+116097</f>
        <v>125155</v>
      </c>
      <c r="BL110" s="53"/>
      <c r="BM110" s="53">
        <f t="shared" si="31"/>
        <v>3591708</v>
      </c>
      <c r="BN110" s="54" t="s">
        <v>347</v>
      </c>
      <c r="BR110" s="51"/>
      <c r="BS110" s="53"/>
      <c r="BT110" s="53"/>
      <c r="BU110" s="53"/>
      <c r="BV110" s="53"/>
      <c r="BW110" s="53"/>
      <c r="BX110" s="45"/>
      <c r="BY110" s="45"/>
      <c r="BZ110" s="53"/>
      <c r="CA110" s="53"/>
      <c r="CB110" s="53"/>
      <c r="CC110" s="53"/>
      <c r="CD110" s="53"/>
      <c r="CE110" s="53"/>
      <c r="CF110" s="35"/>
      <c r="CH110" s="35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4"/>
    </row>
    <row r="111" spans="1:104" s="140" customFormat="1" ht="12.75" hidden="1" customHeight="1">
      <c r="A111" s="126" t="s">
        <v>138</v>
      </c>
      <c r="B111" s="124"/>
      <c r="C111" s="126" t="s">
        <v>139</v>
      </c>
      <c r="D111" s="121"/>
      <c r="E111" s="53">
        <f t="shared" si="35"/>
        <v>0</v>
      </c>
      <c r="F111" s="53"/>
      <c r="G111" s="53">
        <v>0</v>
      </c>
      <c r="H111" s="53"/>
      <c r="I111" s="53">
        <v>0</v>
      </c>
      <c r="J111" s="53"/>
      <c r="K111" s="53">
        <f t="shared" si="33"/>
        <v>0</v>
      </c>
      <c r="L111" s="53"/>
      <c r="M111" s="53">
        <v>0</v>
      </c>
      <c r="N111" s="53"/>
      <c r="O111" s="53">
        <v>0</v>
      </c>
      <c r="P111" s="53"/>
      <c r="Q111" s="53">
        <v>0</v>
      </c>
      <c r="R111" s="53"/>
      <c r="S111" s="53">
        <v>0</v>
      </c>
      <c r="T111" s="53"/>
      <c r="U111" s="53">
        <v>0</v>
      </c>
      <c r="V111" s="53"/>
      <c r="W111" s="53">
        <f t="shared" si="29"/>
        <v>0</v>
      </c>
      <c r="X111" s="137"/>
      <c r="Y111" s="126" t="s">
        <v>138</v>
      </c>
      <c r="AA111" s="126" t="s">
        <v>139</v>
      </c>
      <c r="AB111" s="126"/>
      <c r="AC111" s="53">
        <v>0</v>
      </c>
      <c r="AD111" s="53"/>
      <c r="AE111" s="53">
        <v>0</v>
      </c>
      <c r="AF111" s="53"/>
      <c r="AG111" s="53">
        <v>0</v>
      </c>
      <c r="AH111" s="53"/>
      <c r="AI111" s="45">
        <f t="shared" si="34"/>
        <v>0</v>
      </c>
      <c r="AJ111" s="45"/>
      <c r="AK111" s="53">
        <v>0</v>
      </c>
      <c r="AL111" s="45"/>
      <c r="AM111" s="53">
        <v>0</v>
      </c>
      <c r="AN111" s="53"/>
      <c r="AO111" s="53">
        <v>0</v>
      </c>
      <c r="AP111" s="53"/>
      <c r="AQ111" s="53">
        <v>0</v>
      </c>
      <c r="AR111" s="53"/>
      <c r="AS111" s="45">
        <f t="shared" si="36"/>
        <v>0</v>
      </c>
      <c r="AT111" s="45"/>
      <c r="AU111" s="53">
        <v>0</v>
      </c>
      <c r="AV111" s="53"/>
      <c r="AW111" s="53">
        <v>0</v>
      </c>
      <c r="AX111" s="53"/>
      <c r="AY111" s="53">
        <f t="shared" si="30"/>
        <v>0</v>
      </c>
      <c r="AZ111" s="53"/>
      <c r="BA111" s="126" t="s">
        <v>138</v>
      </c>
      <c r="BC111" s="126" t="s">
        <v>139</v>
      </c>
      <c r="BD111" s="137"/>
      <c r="BE111" s="53">
        <v>0</v>
      </c>
      <c r="BF111" s="53"/>
      <c r="BG111" s="53">
        <v>0</v>
      </c>
      <c r="BH111" s="53"/>
      <c r="BI111" s="53">
        <v>0</v>
      </c>
      <c r="BJ111" s="53"/>
      <c r="BK111" s="53">
        <v>0</v>
      </c>
      <c r="BL111" s="137"/>
      <c r="BM111" s="137">
        <f t="shared" si="31"/>
        <v>0</v>
      </c>
      <c r="BN111" s="139" t="s">
        <v>347</v>
      </c>
      <c r="BO111" s="126"/>
      <c r="BP111" s="126"/>
      <c r="BQ111" s="126"/>
      <c r="BR111" s="124"/>
      <c r="BS111" s="137"/>
      <c r="BT111" s="137"/>
      <c r="BU111" s="137"/>
      <c r="BV111" s="137"/>
      <c r="BW111" s="127"/>
      <c r="BX111" s="127"/>
      <c r="BY111" s="137"/>
      <c r="BZ111" s="137"/>
      <c r="CA111" s="137"/>
      <c r="CB111" s="137"/>
      <c r="CC111" s="137"/>
      <c r="CD111" s="137"/>
      <c r="CE111" s="137"/>
      <c r="CF111" s="126"/>
      <c r="CH111" s="126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9"/>
      <c r="CT111" s="126"/>
      <c r="CU111" s="126"/>
      <c r="CV111" s="126"/>
    </row>
    <row r="112" spans="1:104" s="140" customFormat="1" ht="12.75" hidden="1" customHeight="1">
      <c r="A112" s="126" t="s">
        <v>140</v>
      </c>
      <c r="B112" s="124"/>
      <c r="C112" s="126" t="s">
        <v>66</v>
      </c>
      <c r="D112" s="121"/>
      <c r="E112" s="53">
        <f t="shared" si="35"/>
        <v>0</v>
      </c>
      <c r="F112" s="53"/>
      <c r="G112" s="53">
        <v>0</v>
      </c>
      <c r="H112" s="53"/>
      <c r="I112" s="53">
        <v>0</v>
      </c>
      <c r="J112" s="53"/>
      <c r="K112" s="53">
        <f t="shared" si="33"/>
        <v>0</v>
      </c>
      <c r="L112" s="53"/>
      <c r="M112" s="53">
        <v>0</v>
      </c>
      <c r="N112" s="53"/>
      <c r="O112" s="53">
        <v>0</v>
      </c>
      <c r="P112" s="53"/>
      <c r="Q112" s="53">
        <v>0</v>
      </c>
      <c r="R112" s="53"/>
      <c r="S112" s="53">
        <v>0</v>
      </c>
      <c r="T112" s="53"/>
      <c r="U112" s="53">
        <v>0</v>
      </c>
      <c r="V112" s="53"/>
      <c r="W112" s="53">
        <f t="shared" si="29"/>
        <v>0</v>
      </c>
      <c r="X112" s="137"/>
      <c r="Y112" s="126" t="s">
        <v>140</v>
      </c>
      <c r="AA112" s="126" t="s">
        <v>66</v>
      </c>
      <c r="AB112" s="126"/>
      <c r="AC112" s="53">
        <v>0</v>
      </c>
      <c r="AD112" s="53"/>
      <c r="AE112" s="53">
        <v>0</v>
      </c>
      <c r="AF112" s="53"/>
      <c r="AG112" s="53">
        <v>0</v>
      </c>
      <c r="AH112" s="53"/>
      <c r="AI112" s="45">
        <f t="shared" si="34"/>
        <v>0</v>
      </c>
      <c r="AJ112" s="45"/>
      <c r="AK112" s="53">
        <v>0</v>
      </c>
      <c r="AL112" s="45"/>
      <c r="AM112" s="53">
        <v>0</v>
      </c>
      <c r="AN112" s="53"/>
      <c r="AO112" s="53">
        <v>0</v>
      </c>
      <c r="AP112" s="53"/>
      <c r="AQ112" s="53">
        <v>0</v>
      </c>
      <c r="AR112" s="53"/>
      <c r="AS112" s="45">
        <f t="shared" si="36"/>
        <v>0</v>
      </c>
      <c r="AT112" s="45"/>
      <c r="AU112" s="53">
        <v>0</v>
      </c>
      <c r="AV112" s="53"/>
      <c r="AW112" s="53">
        <v>0</v>
      </c>
      <c r="AX112" s="53"/>
      <c r="AY112" s="53">
        <f t="shared" si="30"/>
        <v>0</v>
      </c>
      <c r="AZ112" s="53"/>
      <c r="BA112" s="126" t="s">
        <v>140</v>
      </c>
      <c r="BC112" s="126" t="s">
        <v>66</v>
      </c>
      <c r="BD112" s="137"/>
      <c r="BE112" s="53">
        <v>0</v>
      </c>
      <c r="BF112" s="53"/>
      <c r="BG112" s="53">
        <v>0</v>
      </c>
      <c r="BH112" s="53"/>
      <c r="BI112" s="53">
        <v>0</v>
      </c>
      <c r="BJ112" s="53"/>
      <c r="BK112" s="53">
        <v>0</v>
      </c>
      <c r="BL112" s="137"/>
      <c r="BM112" s="137">
        <f t="shared" si="31"/>
        <v>0</v>
      </c>
      <c r="BN112" s="139" t="s">
        <v>347</v>
      </c>
      <c r="BO112" s="126"/>
      <c r="BP112" s="126"/>
      <c r="BQ112" s="126"/>
      <c r="BR112" s="124"/>
      <c r="BS112" s="137"/>
      <c r="BT112" s="137"/>
      <c r="BU112" s="137"/>
      <c r="BV112" s="137"/>
      <c r="BW112" s="127"/>
      <c r="BX112" s="127"/>
      <c r="BY112" s="137"/>
      <c r="BZ112" s="137"/>
      <c r="CA112" s="137"/>
      <c r="CB112" s="137"/>
      <c r="CC112" s="137"/>
      <c r="CD112" s="137"/>
      <c r="CE112" s="137"/>
      <c r="CF112" s="126"/>
      <c r="CH112" s="126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9"/>
      <c r="CT112" s="126"/>
      <c r="CU112" s="126"/>
      <c r="CV112" s="126"/>
      <c r="CW112" s="126"/>
      <c r="CX112" s="126"/>
      <c r="CY112" s="126"/>
      <c r="CZ112" s="126"/>
    </row>
    <row r="113" spans="1:104" s="55" customFormat="1" ht="12.75" customHeight="1">
      <c r="A113" s="35" t="s">
        <v>478</v>
      </c>
      <c r="B113" s="51"/>
      <c r="C113" s="35" t="s">
        <v>92</v>
      </c>
      <c r="D113" s="44"/>
      <c r="E113" s="53">
        <f t="shared" si="35"/>
        <v>545908</v>
      </c>
      <c r="F113" s="53"/>
      <c r="G113" s="53">
        <v>1624948</v>
      </c>
      <c r="H113" s="53"/>
      <c r="I113" s="53">
        <v>2170856</v>
      </c>
      <c r="J113" s="53"/>
      <c r="K113" s="53">
        <f t="shared" si="33"/>
        <v>56815</v>
      </c>
      <c r="L113" s="53"/>
      <c r="M113" s="53">
        <v>1297982</v>
      </c>
      <c r="N113" s="53"/>
      <c r="O113" s="53">
        <v>1354797</v>
      </c>
      <c r="P113" s="53"/>
      <c r="Q113" s="53">
        <v>294350</v>
      </c>
      <c r="R113" s="53"/>
      <c r="S113" s="53">
        <v>0</v>
      </c>
      <c r="T113" s="53"/>
      <c r="U113" s="53">
        <v>521709</v>
      </c>
      <c r="V113" s="53"/>
      <c r="W113" s="53">
        <f t="shared" ref="W113" si="38">SUM(Q113:U113)</f>
        <v>816059</v>
      </c>
      <c r="X113" s="53"/>
      <c r="Y113" s="35" t="s">
        <v>478</v>
      </c>
      <c r="Z113" s="51"/>
      <c r="AA113" s="35" t="s">
        <v>92</v>
      </c>
      <c r="AB113" s="35"/>
      <c r="AC113" s="53">
        <v>48779</v>
      </c>
      <c r="AD113" s="53"/>
      <c r="AE113" s="53">
        <f>93430-14645</f>
        <v>78785</v>
      </c>
      <c r="AF113" s="53"/>
      <c r="AG113" s="53">
        <v>14645</v>
      </c>
      <c r="AH113" s="53"/>
      <c r="AI113" s="45">
        <f t="shared" si="34"/>
        <v>-44651</v>
      </c>
      <c r="AJ113" s="45"/>
      <c r="AK113" s="53">
        <v>229270</v>
      </c>
      <c r="AL113" s="45"/>
      <c r="AM113" s="53">
        <v>63034</v>
      </c>
      <c r="AN113" s="53"/>
      <c r="AO113" s="53">
        <v>0</v>
      </c>
      <c r="AP113" s="53"/>
      <c r="AQ113" s="53">
        <v>0</v>
      </c>
      <c r="AR113" s="53"/>
      <c r="AS113" s="45">
        <f t="shared" ref="AS113" si="39">+AI113+AK113+AM113-AO113+AQ113</f>
        <v>247653</v>
      </c>
      <c r="AT113" s="45"/>
      <c r="AU113" s="53">
        <v>0</v>
      </c>
      <c r="AV113" s="53"/>
      <c r="AW113" s="53">
        <v>0</v>
      </c>
      <c r="AX113" s="53"/>
      <c r="AY113" s="53">
        <f t="shared" ref="AY113" si="40">+E113-K113</f>
        <v>489093</v>
      </c>
      <c r="AZ113" s="53"/>
      <c r="BA113" s="35" t="s">
        <v>478</v>
      </c>
      <c r="BB113" s="51"/>
      <c r="BC113" s="35" t="s">
        <v>92</v>
      </c>
      <c r="BD113" s="53"/>
      <c r="BE113" s="53">
        <f>350046+13420</f>
        <v>363466</v>
      </c>
      <c r="BF113" s="53"/>
      <c r="BG113" s="53">
        <v>0</v>
      </c>
      <c r="BH113" s="53"/>
      <c r="BI113" s="53">
        <f>212936+14196</f>
        <v>227132</v>
      </c>
      <c r="BJ113" s="53"/>
      <c r="BK113" s="53">
        <f>735000+5000</f>
        <v>740000</v>
      </c>
      <c r="BL113" s="53"/>
      <c r="BM113" s="53">
        <f t="shared" ref="BM113" si="41">SUM(BE113:BK113)</f>
        <v>1330598</v>
      </c>
      <c r="BN113" s="54" t="s">
        <v>347</v>
      </c>
      <c r="BO113" s="35"/>
      <c r="BP113" s="35"/>
      <c r="BR113" s="51"/>
      <c r="BS113" s="53"/>
      <c r="BT113" s="53"/>
      <c r="BU113" s="53"/>
      <c r="BV113" s="53"/>
      <c r="BW113" s="45"/>
      <c r="BX113" s="45"/>
      <c r="BY113" s="53"/>
      <c r="BZ113" s="53"/>
      <c r="CA113" s="53"/>
      <c r="CB113" s="53"/>
      <c r="CC113" s="53"/>
      <c r="CD113" s="53"/>
      <c r="CE113" s="53"/>
      <c r="CF113" s="35"/>
      <c r="CH113" s="35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4"/>
      <c r="CT113" s="35"/>
      <c r="CU113" s="35"/>
    </row>
    <row r="114" spans="1:104" s="55" customFormat="1" ht="12.75" customHeight="1">
      <c r="A114" s="35" t="s">
        <v>141</v>
      </c>
      <c r="C114" s="35" t="s">
        <v>27</v>
      </c>
      <c r="D114" s="44"/>
      <c r="E114" s="53">
        <f t="shared" si="35"/>
        <v>5617868</v>
      </c>
      <c r="F114" s="53"/>
      <c r="G114" s="53">
        <v>37602177</v>
      </c>
      <c r="H114" s="53"/>
      <c r="I114" s="53">
        <v>43220045</v>
      </c>
      <c r="J114" s="53"/>
      <c r="K114" s="53">
        <f t="shared" si="33"/>
        <v>3756592</v>
      </c>
      <c r="L114" s="53"/>
      <c r="M114" s="53">
        <v>19876740</v>
      </c>
      <c r="N114" s="53"/>
      <c r="O114" s="53">
        <v>23633332</v>
      </c>
      <c r="P114" s="53"/>
      <c r="Q114" s="53">
        <v>20690289</v>
      </c>
      <c r="R114" s="53"/>
      <c r="S114" s="53">
        <v>192026</v>
      </c>
      <c r="T114" s="53"/>
      <c r="U114" s="53">
        <v>-1295602</v>
      </c>
      <c r="V114" s="53"/>
      <c r="W114" s="53">
        <f t="shared" si="29"/>
        <v>19586713</v>
      </c>
      <c r="X114" s="53"/>
      <c r="Y114" s="35" t="s">
        <v>141</v>
      </c>
      <c r="AA114" s="35" t="s">
        <v>27</v>
      </c>
      <c r="AB114" s="35"/>
      <c r="AC114" s="53">
        <v>6157686</v>
      </c>
      <c r="AD114" s="53"/>
      <c r="AE114" s="53">
        <f>4997494-789960</f>
        <v>4207534</v>
      </c>
      <c r="AF114" s="53"/>
      <c r="AG114" s="53">
        <v>789960</v>
      </c>
      <c r="AH114" s="53"/>
      <c r="AI114" s="45">
        <f t="shared" si="34"/>
        <v>1160192</v>
      </c>
      <c r="AJ114" s="45"/>
      <c r="AK114" s="53">
        <v>860965</v>
      </c>
      <c r="AL114" s="45"/>
      <c r="AM114" s="53">
        <v>0</v>
      </c>
      <c r="AN114" s="53"/>
      <c r="AO114" s="53">
        <v>1294562</v>
      </c>
      <c r="AP114" s="53"/>
      <c r="AQ114" s="53">
        <v>0</v>
      </c>
      <c r="AR114" s="53"/>
      <c r="AS114" s="45">
        <f t="shared" si="36"/>
        <v>726595</v>
      </c>
      <c r="AT114" s="45"/>
      <c r="AU114" s="53">
        <v>0</v>
      </c>
      <c r="AV114" s="53"/>
      <c r="AW114" s="53">
        <v>0</v>
      </c>
      <c r="AX114" s="53"/>
      <c r="AY114" s="53">
        <f t="shared" si="30"/>
        <v>1861276</v>
      </c>
      <c r="AZ114" s="53"/>
      <c r="BA114" s="35" t="s">
        <v>141</v>
      </c>
      <c r="BC114" s="35" t="s">
        <v>27</v>
      </c>
      <c r="BD114" s="53"/>
      <c r="BE114" s="53">
        <f>19113109+1423527</f>
        <v>20536636</v>
      </c>
      <c r="BF114" s="53"/>
      <c r="BG114" s="53">
        <v>0</v>
      </c>
      <c r="BH114" s="53"/>
      <c r="BI114" s="53">
        <f>336310+48108+34485+30405</f>
        <v>449308</v>
      </c>
      <c r="BJ114" s="53"/>
      <c r="BK114" s="53">
        <f>207323+171890+55310</f>
        <v>434523</v>
      </c>
      <c r="BL114" s="53"/>
      <c r="BM114" s="53">
        <f t="shared" si="31"/>
        <v>21420467</v>
      </c>
      <c r="BN114" s="54" t="s">
        <v>347</v>
      </c>
      <c r="BO114" s="35"/>
      <c r="BP114" s="35"/>
      <c r="BR114" s="51"/>
      <c r="BS114" s="53"/>
      <c r="BT114" s="53"/>
      <c r="BU114" s="53"/>
      <c r="BV114" s="53"/>
      <c r="BW114" s="45"/>
      <c r="BX114" s="45"/>
      <c r="BY114" s="53"/>
      <c r="BZ114" s="53"/>
      <c r="CA114" s="53"/>
      <c r="CB114" s="53"/>
      <c r="CC114" s="53"/>
      <c r="CD114" s="53"/>
      <c r="CE114" s="53"/>
      <c r="CF114" s="35"/>
      <c r="CH114" s="35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4"/>
      <c r="CT114" s="35"/>
      <c r="CU114" s="35"/>
    </row>
    <row r="115" spans="1:104" s="140" customFormat="1" ht="12.75" hidden="1" customHeight="1">
      <c r="A115" s="126" t="s">
        <v>142</v>
      </c>
      <c r="B115" s="124"/>
      <c r="C115" s="126" t="s">
        <v>102</v>
      </c>
      <c r="D115" s="121"/>
      <c r="E115" s="137">
        <f t="shared" si="35"/>
        <v>0</v>
      </c>
      <c r="F115" s="137"/>
      <c r="G115" s="137">
        <v>0</v>
      </c>
      <c r="H115" s="137"/>
      <c r="I115" s="137">
        <v>0</v>
      </c>
      <c r="J115" s="137"/>
      <c r="K115" s="137">
        <f t="shared" si="33"/>
        <v>0</v>
      </c>
      <c r="L115" s="137"/>
      <c r="M115" s="137">
        <v>0</v>
      </c>
      <c r="N115" s="137"/>
      <c r="O115" s="137">
        <v>0</v>
      </c>
      <c r="P115" s="137"/>
      <c r="Q115" s="137">
        <v>0</v>
      </c>
      <c r="R115" s="137"/>
      <c r="S115" s="137">
        <v>0</v>
      </c>
      <c r="T115" s="137"/>
      <c r="U115" s="137">
        <v>0</v>
      </c>
      <c r="V115" s="137"/>
      <c r="W115" s="137">
        <f t="shared" si="29"/>
        <v>0</v>
      </c>
      <c r="X115" s="137"/>
      <c r="Y115" s="126" t="s">
        <v>142</v>
      </c>
      <c r="AA115" s="126" t="s">
        <v>102</v>
      </c>
      <c r="AB115" s="126"/>
      <c r="AC115" s="137">
        <v>0</v>
      </c>
      <c r="AD115" s="137"/>
      <c r="AE115" s="137">
        <v>0</v>
      </c>
      <c r="AF115" s="137"/>
      <c r="AG115" s="137">
        <v>0</v>
      </c>
      <c r="AH115" s="137"/>
      <c r="AI115" s="127">
        <f t="shared" si="34"/>
        <v>0</v>
      </c>
      <c r="AJ115" s="127"/>
      <c r="AK115" s="137">
        <v>0</v>
      </c>
      <c r="AL115" s="127"/>
      <c r="AM115" s="137">
        <v>0</v>
      </c>
      <c r="AN115" s="137"/>
      <c r="AO115" s="137">
        <v>0</v>
      </c>
      <c r="AP115" s="137"/>
      <c r="AQ115" s="137">
        <v>0</v>
      </c>
      <c r="AR115" s="137"/>
      <c r="AS115" s="127">
        <f t="shared" si="36"/>
        <v>0</v>
      </c>
      <c r="AT115" s="127"/>
      <c r="AU115" s="137">
        <v>0</v>
      </c>
      <c r="AV115" s="137"/>
      <c r="AW115" s="137">
        <v>0</v>
      </c>
      <c r="AX115" s="137"/>
      <c r="AY115" s="137">
        <f t="shared" si="30"/>
        <v>0</v>
      </c>
      <c r="AZ115" s="137"/>
      <c r="BA115" s="126" t="s">
        <v>142</v>
      </c>
      <c r="BC115" s="126" t="s">
        <v>102</v>
      </c>
      <c r="BD115" s="137"/>
      <c r="BE115" s="137">
        <v>0</v>
      </c>
      <c r="BF115" s="137"/>
      <c r="BG115" s="137">
        <v>0</v>
      </c>
      <c r="BH115" s="137"/>
      <c r="BI115" s="137">
        <v>0</v>
      </c>
      <c r="BJ115" s="137"/>
      <c r="BK115" s="137">
        <v>0</v>
      </c>
      <c r="BL115" s="137"/>
      <c r="BM115" s="137">
        <f t="shared" si="31"/>
        <v>0</v>
      </c>
      <c r="BN115" s="139" t="s">
        <v>347</v>
      </c>
      <c r="BO115" s="140" t="s">
        <v>405</v>
      </c>
      <c r="BR115" s="124"/>
      <c r="BS115" s="137"/>
      <c r="BT115" s="137"/>
      <c r="BU115" s="137"/>
      <c r="BV115" s="137"/>
      <c r="BW115" s="137"/>
      <c r="BX115" s="127"/>
      <c r="BY115" s="127"/>
      <c r="BZ115" s="137"/>
      <c r="CA115" s="137"/>
      <c r="CB115" s="137"/>
      <c r="CC115" s="137"/>
      <c r="CD115" s="137"/>
      <c r="CE115" s="137"/>
      <c r="CF115" s="126"/>
      <c r="CH115" s="126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9"/>
    </row>
    <row r="116" spans="1:104" s="55" customFormat="1" ht="12.75" customHeight="1">
      <c r="A116" s="35" t="s">
        <v>143</v>
      </c>
      <c r="B116" s="51"/>
      <c r="C116" s="35" t="s">
        <v>111</v>
      </c>
      <c r="D116" s="44"/>
      <c r="E116" s="53">
        <f t="shared" si="35"/>
        <v>4507210</v>
      </c>
      <c r="F116" s="53"/>
      <c r="G116" s="53">
        <v>26589432</v>
      </c>
      <c r="H116" s="53"/>
      <c r="I116" s="53">
        <v>31096642</v>
      </c>
      <c r="J116" s="53"/>
      <c r="K116" s="53">
        <f t="shared" si="33"/>
        <v>628119</v>
      </c>
      <c r="L116" s="53"/>
      <c r="M116" s="53">
        <v>9008858</v>
      </c>
      <c r="N116" s="53"/>
      <c r="O116" s="53">
        <v>9636977</v>
      </c>
      <c r="P116" s="53"/>
      <c r="Q116" s="53">
        <v>16491001</v>
      </c>
      <c r="R116" s="53"/>
      <c r="S116" s="53">
        <f>240000+872724</f>
        <v>1112724</v>
      </c>
      <c r="T116" s="53"/>
      <c r="U116" s="53">
        <v>3855940</v>
      </c>
      <c r="V116" s="53"/>
      <c r="W116" s="53">
        <f t="shared" si="29"/>
        <v>21459665</v>
      </c>
      <c r="X116" s="53"/>
      <c r="Y116" s="35" t="s">
        <v>143</v>
      </c>
      <c r="AA116" s="35" t="s">
        <v>111</v>
      </c>
      <c r="AB116" s="35"/>
      <c r="AC116" s="53">
        <v>3408986</v>
      </c>
      <c r="AD116" s="53"/>
      <c r="AE116" s="53">
        <f>2890425-983263</f>
        <v>1907162</v>
      </c>
      <c r="AF116" s="53"/>
      <c r="AG116" s="53">
        <v>983263</v>
      </c>
      <c r="AH116" s="53"/>
      <c r="AI116" s="45">
        <f t="shared" si="34"/>
        <v>518561</v>
      </c>
      <c r="AJ116" s="45"/>
      <c r="AK116" s="53">
        <v>-471851</v>
      </c>
      <c r="AL116" s="45"/>
      <c r="AM116" s="53">
        <v>0</v>
      </c>
      <c r="AN116" s="53"/>
      <c r="AO116" s="53">
        <v>0</v>
      </c>
      <c r="AP116" s="53"/>
      <c r="AQ116" s="53">
        <v>0</v>
      </c>
      <c r="AR116" s="53"/>
      <c r="AS116" s="45">
        <f t="shared" si="36"/>
        <v>46710</v>
      </c>
      <c r="AT116" s="45"/>
      <c r="AU116" s="53">
        <v>0</v>
      </c>
      <c r="AV116" s="53"/>
      <c r="AW116" s="53">
        <v>0</v>
      </c>
      <c r="AX116" s="53"/>
      <c r="AY116" s="53">
        <f t="shared" si="30"/>
        <v>3879091</v>
      </c>
      <c r="AZ116" s="53"/>
      <c r="BA116" s="35" t="s">
        <v>143</v>
      </c>
      <c r="BC116" s="35" t="s">
        <v>111</v>
      </c>
      <c r="BD116" s="53"/>
      <c r="BE116" s="53">
        <v>0</v>
      </c>
      <c r="BF116" s="53"/>
      <c r="BG116" s="53">
        <f>8985707+4900000</f>
        <v>13885707</v>
      </c>
      <c r="BH116" s="53"/>
      <c r="BI116" s="53">
        <v>0</v>
      </c>
      <c r="BJ116" s="53"/>
      <c r="BK116" s="53">
        <f>23151+7366</f>
        <v>30517</v>
      </c>
      <c r="BL116" s="53"/>
      <c r="BM116" s="53">
        <f t="shared" si="31"/>
        <v>13916224</v>
      </c>
      <c r="BN116" s="54" t="s">
        <v>347</v>
      </c>
      <c r="BO116" s="35"/>
      <c r="BR116" s="51"/>
      <c r="BS116" s="53"/>
      <c r="BT116" s="53"/>
      <c r="BU116" s="53"/>
      <c r="BV116" s="53"/>
      <c r="BW116" s="45"/>
      <c r="BX116" s="45"/>
      <c r="BY116" s="53"/>
      <c r="BZ116" s="53"/>
      <c r="CA116" s="53"/>
      <c r="CB116" s="53"/>
      <c r="CC116" s="53"/>
      <c r="CD116" s="53"/>
      <c r="CE116" s="53"/>
      <c r="CF116" s="35"/>
      <c r="CH116" s="35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4"/>
      <c r="CT116" s="35"/>
    </row>
    <row r="117" spans="1:104" s="55" customFormat="1" ht="12.75" customHeight="1">
      <c r="A117" s="35" t="s">
        <v>144</v>
      </c>
      <c r="B117" s="51"/>
      <c r="C117" s="35" t="s">
        <v>88</v>
      </c>
      <c r="D117" s="44"/>
      <c r="E117" s="53">
        <f t="shared" si="35"/>
        <v>9739707</v>
      </c>
      <c r="F117" s="53"/>
      <c r="G117" s="53">
        <v>44791886</v>
      </c>
      <c r="H117" s="53"/>
      <c r="I117" s="53">
        <v>54531593</v>
      </c>
      <c r="J117" s="53"/>
      <c r="K117" s="53">
        <f t="shared" si="33"/>
        <v>-62640184</v>
      </c>
      <c r="L117" s="53"/>
      <c r="M117" s="53">
        <v>29736831</v>
      </c>
      <c r="N117" s="53"/>
      <c r="O117" s="53">
        <v>-32903353</v>
      </c>
      <c r="P117" s="53"/>
      <c r="Q117" s="53">
        <v>11131919</v>
      </c>
      <c r="R117" s="53"/>
      <c r="S117" s="53">
        <v>0</v>
      </c>
      <c r="T117" s="53"/>
      <c r="U117" s="53">
        <v>10496321</v>
      </c>
      <c r="V117" s="53"/>
      <c r="W117" s="53">
        <f t="shared" si="29"/>
        <v>21628240</v>
      </c>
      <c r="X117" s="53"/>
      <c r="Y117" s="35" t="s">
        <v>144</v>
      </c>
      <c r="AA117" s="35" t="s">
        <v>88</v>
      </c>
      <c r="AB117" s="35"/>
      <c r="AC117" s="53">
        <v>8973291</v>
      </c>
      <c r="AD117" s="53"/>
      <c r="AE117" s="53">
        <f>8109760-1680961</f>
        <v>6428799</v>
      </c>
      <c r="AF117" s="53"/>
      <c r="AG117" s="53">
        <v>1680961</v>
      </c>
      <c r="AH117" s="53"/>
      <c r="AI117" s="45">
        <f t="shared" si="34"/>
        <v>863531</v>
      </c>
      <c r="AJ117" s="45"/>
      <c r="AK117" s="53">
        <v>-1406748</v>
      </c>
      <c r="AL117" s="45"/>
      <c r="AM117" s="53">
        <v>0</v>
      </c>
      <c r="AN117" s="53"/>
      <c r="AO117" s="53">
        <v>0</v>
      </c>
      <c r="AP117" s="53"/>
      <c r="AQ117" s="53">
        <v>0</v>
      </c>
      <c r="AR117" s="53"/>
      <c r="AS117" s="45">
        <f t="shared" si="36"/>
        <v>-543217</v>
      </c>
      <c r="AT117" s="45"/>
      <c r="AU117" s="53">
        <v>0</v>
      </c>
      <c r="AV117" s="53"/>
      <c r="AW117" s="53">
        <v>0</v>
      </c>
      <c r="AX117" s="53"/>
      <c r="AY117" s="53">
        <f t="shared" si="30"/>
        <v>72379891</v>
      </c>
      <c r="AZ117" s="53"/>
      <c r="BA117" s="35" t="s">
        <v>144</v>
      </c>
      <c r="BC117" s="35" t="s">
        <v>88</v>
      </c>
      <c r="BD117" s="53"/>
      <c r="BE117" s="53">
        <f>3991091+781521</f>
        <v>4772612</v>
      </c>
      <c r="BF117" s="53"/>
      <c r="BG117" s="53">
        <f>21205148+893897</f>
        <v>22099045</v>
      </c>
      <c r="BH117" s="53"/>
      <c r="BI117" s="53">
        <f>4119544+354966</f>
        <v>4474510</v>
      </c>
      <c r="BJ117" s="53"/>
      <c r="BK117" s="53">
        <f>366390+54658+24402</f>
        <v>445450</v>
      </c>
      <c r="BL117" s="53"/>
      <c r="BM117" s="53">
        <f t="shared" si="31"/>
        <v>31791617</v>
      </c>
      <c r="BN117" s="54" t="s">
        <v>347</v>
      </c>
      <c r="BR117" s="51"/>
      <c r="BS117" s="53"/>
      <c r="BT117" s="53"/>
      <c r="BU117" s="53"/>
      <c r="BV117" s="53"/>
      <c r="BW117" s="53"/>
      <c r="BX117" s="45"/>
      <c r="BY117" s="45"/>
      <c r="BZ117" s="53"/>
      <c r="CA117" s="53"/>
      <c r="CB117" s="53"/>
      <c r="CC117" s="53"/>
      <c r="CD117" s="53"/>
      <c r="CE117" s="53"/>
      <c r="CF117" s="44"/>
      <c r="CH117" s="35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4"/>
    </row>
    <row r="118" spans="1:104" s="55" customFormat="1" ht="12.75" customHeight="1">
      <c r="A118" s="35" t="s">
        <v>36</v>
      </c>
      <c r="B118" s="51"/>
      <c r="C118" s="35" t="s">
        <v>145</v>
      </c>
      <c r="D118" s="44"/>
      <c r="E118" s="53">
        <f t="shared" si="35"/>
        <v>712482</v>
      </c>
      <c r="F118" s="53"/>
      <c r="G118" s="53">
        <v>8227192</v>
      </c>
      <c r="H118" s="53"/>
      <c r="I118" s="53">
        <v>8939674</v>
      </c>
      <c r="J118" s="53"/>
      <c r="K118" s="53">
        <f t="shared" si="33"/>
        <v>132148</v>
      </c>
      <c r="L118" s="53"/>
      <c r="M118" s="53">
        <v>997508</v>
      </c>
      <c r="N118" s="53"/>
      <c r="O118" s="53">
        <v>1129656</v>
      </c>
      <c r="P118" s="53"/>
      <c r="Q118" s="53">
        <v>7214311</v>
      </c>
      <c r="R118" s="53"/>
      <c r="S118" s="53">
        <v>0</v>
      </c>
      <c r="T118" s="53"/>
      <c r="U118" s="53">
        <v>595707</v>
      </c>
      <c r="V118" s="53"/>
      <c r="W118" s="53">
        <f t="shared" si="29"/>
        <v>7810018</v>
      </c>
      <c r="X118" s="53"/>
      <c r="Y118" s="35" t="s">
        <v>36</v>
      </c>
      <c r="AA118" s="35" t="s">
        <v>145</v>
      </c>
      <c r="AB118" s="35"/>
      <c r="AC118" s="53">
        <v>1343170</v>
      </c>
      <c r="AD118" s="53"/>
      <c r="AE118" s="53">
        <f>1065427-237518</f>
        <v>827909</v>
      </c>
      <c r="AF118" s="53"/>
      <c r="AG118" s="53">
        <v>237518</v>
      </c>
      <c r="AH118" s="53"/>
      <c r="AI118" s="45">
        <f t="shared" si="34"/>
        <v>277743</v>
      </c>
      <c r="AJ118" s="45"/>
      <c r="AK118" s="53">
        <v>-32054</v>
      </c>
      <c r="AL118" s="45"/>
      <c r="AM118" s="53">
        <v>0</v>
      </c>
      <c r="AN118" s="53"/>
      <c r="AO118" s="53">
        <v>0</v>
      </c>
      <c r="AP118" s="53"/>
      <c r="AQ118" s="53">
        <v>0</v>
      </c>
      <c r="AR118" s="53"/>
      <c r="AS118" s="45">
        <f t="shared" si="36"/>
        <v>245689</v>
      </c>
      <c r="AT118" s="45"/>
      <c r="AU118" s="53">
        <v>0</v>
      </c>
      <c r="AV118" s="53"/>
      <c r="AW118" s="53">
        <v>0</v>
      </c>
      <c r="AX118" s="53"/>
      <c r="AY118" s="53">
        <f t="shared" si="30"/>
        <v>580334</v>
      </c>
      <c r="AZ118" s="53"/>
      <c r="BA118" s="35" t="s">
        <v>36</v>
      </c>
      <c r="BC118" s="35" t="s">
        <v>145</v>
      </c>
      <c r="BD118" s="53"/>
      <c r="BE118" s="53">
        <v>362810</v>
      </c>
      <c r="BF118" s="53"/>
      <c r="BG118" s="53">
        <f>164840+30000</f>
        <v>194840</v>
      </c>
      <c r="BH118" s="53"/>
      <c r="BI118" s="53">
        <f>413500+12000</f>
        <v>425500</v>
      </c>
      <c r="BJ118" s="53"/>
      <c r="BK118" s="53">
        <f>56358+21745</f>
        <v>78103</v>
      </c>
      <c r="BL118" s="53"/>
      <c r="BM118" s="53">
        <f t="shared" si="31"/>
        <v>1061253</v>
      </c>
      <c r="BN118" s="54" t="s">
        <v>347</v>
      </c>
      <c r="BR118" s="51"/>
      <c r="BS118" s="53"/>
      <c r="BT118" s="53"/>
      <c r="BU118" s="53"/>
      <c r="BV118" s="53"/>
      <c r="BW118" s="53"/>
      <c r="BX118" s="45"/>
      <c r="BY118" s="45"/>
      <c r="BZ118" s="53"/>
      <c r="CA118" s="53"/>
      <c r="CB118" s="53"/>
      <c r="CC118" s="53"/>
      <c r="CD118" s="53"/>
      <c r="CE118" s="53"/>
      <c r="CF118" s="35"/>
      <c r="CH118" s="35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4"/>
    </row>
    <row r="119" spans="1:104" s="55" customFormat="1" ht="12.75" customHeight="1">
      <c r="A119" s="35" t="s">
        <v>146</v>
      </c>
      <c r="C119" s="35" t="s">
        <v>147</v>
      </c>
      <c r="D119" s="44"/>
      <c r="E119" s="53">
        <f t="shared" si="35"/>
        <v>3154199</v>
      </c>
      <c r="F119" s="53"/>
      <c r="G119" s="53">
        <v>33580730</v>
      </c>
      <c r="H119" s="53"/>
      <c r="I119" s="53">
        <v>36734929</v>
      </c>
      <c r="J119" s="53"/>
      <c r="K119" s="53">
        <f t="shared" si="33"/>
        <v>2067184</v>
      </c>
      <c r="L119" s="53"/>
      <c r="M119" s="53">
        <v>28581616</v>
      </c>
      <c r="N119" s="53"/>
      <c r="O119" s="53">
        <v>30648800</v>
      </c>
      <c r="P119" s="53"/>
      <c r="Q119" s="53">
        <v>3049902</v>
      </c>
      <c r="R119" s="53"/>
      <c r="S119" s="53">
        <v>0</v>
      </c>
      <c r="T119" s="53"/>
      <c r="U119" s="53">
        <v>3036227</v>
      </c>
      <c r="V119" s="53"/>
      <c r="W119" s="53">
        <f t="shared" si="29"/>
        <v>6086129</v>
      </c>
      <c r="X119" s="53"/>
      <c r="Y119" s="35" t="s">
        <v>146</v>
      </c>
      <c r="AA119" s="35" t="s">
        <v>147</v>
      </c>
      <c r="AB119" s="35"/>
      <c r="AC119" s="53">
        <v>2476912</v>
      </c>
      <c r="AD119" s="53"/>
      <c r="AE119" s="53">
        <f>2431898-1577448</f>
        <v>854450</v>
      </c>
      <c r="AF119" s="53"/>
      <c r="AG119" s="53">
        <v>1577448</v>
      </c>
      <c r="AH119" s="53"/>
      <c r="AI119" s="45">
        <f t="shared" si="34"/>
        <v>45014</v>
      </c>
      <c r="AJ119" s="45"/>
      <c r="AK119" s="53">
        <v>-313390</v>
      </c>
      <c r="AL119" s="45"/>
      <c r="AM119" s="53">
        <v>0</v>
      </c>
      <c r="AN119" s="53"/>
      <c r="AO119" s="53">
        <v>0</v>
      </c>
      <c r="AP119" s="53"/>
      <c r="AQ119" s="53">
        <v>0</v>
      </c>
      <c r="AR119" s="53"/>
      <c r="AS119" s="45">
        <f t="shared" si="36"/>
        <v>-268376</v>
      </c>
      <c r="AT119" s="45"/>
      <c r="AU119" s="53">
        <v>0</v>
      </c>
      <c r="AV119" s="53"/>
      <c r="AW119" s="53">
        <v>0</v>
      </c>
      <c r="AX119" s="53"/>
      <c r="AY119" s="53">
        <f t="shared" si="30"/>
        <v>1087015</v>
      </c>
      <c r="AZ119" s="53"/>
      <c r="BA119" s="35" t="s">
        <v>146</v>
      </c>
      <c r="BC119" s="35" t="s">
        <v>147</v>
      </c>
      <c r="BD119" s="53"/>
      <c r="BE119" s="53">
        <v>0</v>
      </c>
      <c r="BF119" s="53"/>
      <c r="BG119" s="53">
        <v>0</v>
      </c>
      <c r="BH119" s="53"/>
      <c r="BI119" s="53">
        <f>28515733+2015095</f>
        <v>30530828</v>
      </c>
      <c r="BJ119" s="53"/>
      <c r="BK119" s="53">
        <f>40000+25883+13198</f>
        <v>79081</v>
      </c>
      <c r="BL119" s="53"/>
      <c r="BM119" s="53">
        <f t="shared" si="31"/>
        <v>30609909</v>
      </c>
      <c r="BN119" s="54" t="s">
        <v>347</v>
      </c>
      <c r="BR119" s="51"/>
      <c r="BS119" s="53"/>
      <c r="BT119" s="53"/>
      <c r="BU119" s="53"/>
      <c r="BV119" s="53"/>
      <c r="BW119" s="53"/>
      <c r="BX119" s="45"/>
      <c r="BY119" s="45"/>
      <c r="BZ119" s="53"/>
      <c r="CA119" s="53"/>
      <c r="CB119" s="53"/>
      <c r="CC119" s="53"/>
      <c r="CD119" s="53"/>
      <c r="CE119" s="53"/>
      <c r="CF119" s="35"/>
      <c r="CH119" s="35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4"/>
    </row>
    <row r="120" spans="1:104" s="55" customFormat="1" ht="12.75" customHeight="1">
      <c r="A120" s="35" t="s">
        <v>17</v>
      </c>
      <c r="B120" s="51"/>
      <c r="C120" s="35" t="s">
        <v>17</v>
      </c>
      <c r="D120" s="44"/>
      <c r="E120" s="53">
        <f t="shared" si="35"/>
        <v>6685124</v>
      </c>
      <c r="F120" s="53"/>
      <c r="G120" s="53">
        <v>85278450</v>
      </c>
      <c r="H120" s="53"/>
      <c r="I120" s="53">
        <v>91963574</v>
      </c>
      <c r="J120" s="53"/>
      <c r="K120" s="53">
        <f t="shared" si="33"/>
        <v>4561374</v>
      </c>
      <c r="L120" s="53"/>
      <c r="M120" s="53">
        <v>35781837</v>
      </c>
      <c r="N120" s="53"/>
      <c r="O120" s="53">
        <v>40343211</v>
      </c>
      <c r="P120" s="53"/>
      <c r="Q120" s="53">
        <v>44605187</v>
      </c>
      <c r="R120" s="53"/>
      <c r="S120" s="53">
        <f>1515668+150000+1033562</f>
        <v>2699230</v>
      </c>
      <c r="T120" s="53"/>
      <c r="U120" s="53">
        <v>4315946</v>
      </c>
      <c r="V120" s="53"/>
      <c r="W120" s="53">
        <f t="shared" si="29"/>
        <v>51620363</v>
      </c>
      <c r="X120" s="53"/>
      <c r="Y120" s="35" t="s">
        <v>17</v>
      </c>
      <c r="AA120" s="35" t="s">
        <v>17</v>
      </c>
      <c r="AB120" s="35"/>
      <c r="AC120" s="53">
        <v>12582991</v>
      </c>
      <c r="AD120" s="53"/>
      <c r="AE120" s="53">
        <f>7847577-1887095</f>
        <v>5960482</v>
      </c>
      <c r="AF120" s="53"/>
      <c r="AG120" s="53">
        <v>1887095</v>
      </c>
      <c r="AH120" s="53"/>
      <c r="AI120" s="45">
        <f t="shared" si="34"/>
        <v>4735414</v>
      </c>
      <c r="AJ120" s="45"/>
      <c r="AK120" s="53">
        <f>-1535411+513574</f>
        <v>-1021837</v>
      </c>
      <c r="AL120" s="45"/>
      <c r="AM120" s="53">
        <v>0</v>
      </c>
      <c r="AN120" s="53"/>
      <c r="AO120" s="53">
        <v>50000</v>
      </c>
      <c r="AP120" s="53"/>
      <c r="AQ120" s="53">
        <v>4623916</v>
      </c>
      <c r="AR120" s="53"/>
      <c r="AS120" s="45">
        <f t="shared" si="36"/>
        <v>8287493</v>
      </c>
      <c r="AT120" s="45"/>
      <c r="AU120" s="53">
        <v>0</v>
      </c>
      <c r="AV120" s="53"/>
      <c r="AW120" s="53">
        <v>0</v>
      </c>
      <c r="AX120" s="53"/>
      <c r="AY120" s="53">
        <f t="shared" si="30"/>
        <v>2123750</v>
      </c>
      <c r="AZ120" s="53"/>
      <c r="BA120" s="35" t="s">
        <v>17</v>
      </c>
      <c r="BC120" s="35" t="s">
        <v>17</v>
      </c>
      <c r="BD120" s="53"/>
      <c r="BE120" s="53">
        <f>89274+743101</f>
        <v>832375</v>
      </c>
      <c r="BF120" s="53"/>
      <c r="BG120" s="53">
        <v>0</v>
      </c>
      <c r="BH120" s="53"/>
      <c r="BI120" s="53">
        <f>35157303+2706282</f>
        <v>37863585</v>
      </c>
      <c r="BJ120" s="53"/>
      <c r="BK120" s="53">
        <f>60330+474930+61569</f>
        <v>596829</v>
      </c>
      <c r="BL120" s="53"/>
      <c r="BM120" s="53">
        <f t="shared" si="31"/>
        <v>39292789</v>
      </c>
      <c r="BN120" s="54" t="s">
        <v>347</v>
      </c>
      <c r="BR120" s="51"/>
      <c r="BS120" s="53"/>
      <c r="BT120" s="53"/>
      <c r="BU120" s="53"/>
      <c r="BV120" s="53"/>
      <c r="BW120" s="53"/>
      <c r="BX120" s="45"/>
      <c r="BY120" s="45"/>
      <c r="BZ120" s="53"/>
      <c r="CA120" s="53"/>
      <c r="CB120" s="53"/>
      <c r="CC120" s="53"/>
      <c r="CD120" s="53"/>
      <c r="CE120" s="53"/>
      <c r="CF120" s="35"/>
      <c r="CH120" s="35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4"/>
    </row>
    <row r="121" spans="1:104" s="55" customFormat="1" ht="12.75" customHeight="1">
      <c r="A121" s="35" t="s">
        <v>148</v>
      </c>
      <c r="B121" s="51"/>
      <c r="C121" s="35" t="s">
        <v>15</v>
      </c>
      <c r="D121" s="44"/>
      <c r="E121" s="53">
        <f t="shared" si="35"/>
        <v>55515600</v>
      </c>
      <c r="F121" s="53"/>
      <c r="G121" s="53">
        <v>5133445</v>
      </c>
      <c r="H121" s="53"/>
      <c r="I121" s="53">
        <v>60649045</v>
      </c>
      <c r="J121" s="53"/>
      <c r="K121" s="53">
        <f t="shared" si="33"/>
        <v>456659</v>
      </c>
      <c r="L121" s="53"/>
      <c r="M121" s="53">
        <f>17571+48536+732761</f>
        <v>798868</v>
      </c>
      <c r="N121" s="53"/>
      <c r="O121" s="53">
        <v>1255527</v>
      </c>
      <c r="P121" s="53"/>
      <c r="Q121" s="53">
        <v>3984508</v>
      </c>
      <c r="R121" s="53"/>
      <c r="S121" s="53">
        <v>0</v>
      </c>
      <c r="T121" s="53"/>
      <c r="U121" s="53">
        <v>809010</v>
      </c>
      <c r="V121" s="53"/>
      <c r="W121" s="53">
        <f t="shared" si="29"/>
        <v>4793518</v>
      </c>
      <c r="X121" s="53"/>
      <c r="Y121" s="35" t="s">
        <v>148</v>
      </c>
      <c r="AA121" s="35" t="s">
        <v>15</v>
      </c>
      <c r="AB121" s="35"/>
      <c r="AC121" s="53">
        <v>884058</v>
      </c>
      <c r="AD121" s="53"/>
      <c r="AE121" s="53">
        <f>983001-188629</f>
        <v>794372</v>
      </c>
      <c r="AF121" s="53"/>
      <c r="AG121" s="53">
        <v>188629</v>
      </c>
      <c r="AH121" s="53"/>
      <c r="AI121" s="45">
        <f t="shared" si="34"/>
        <v>-98943</v>
      </c>
      <c r="AJ121" s="45"/>
      <c r="AK121" s="53">
        <v>845840</v>
      </c>
      <c r="AL121" s="45"/>
      <c r="AM121" s="53">
        <v>0</v>
      </c>
      <c r="AN121" s="53"/>
      <c r="AO121" s="53">
        <v>0</v>
      </c>
      <c r="AP121" s="53"/>
      <c r="AQ121" s="53">
        <v>15813</v>
      </c>
      <c r="AR121" s="53"/>
      <c r="AS121" s="45">
        <f t="shared" si="36"/>
        <v>762710</v>
      </c>
      <c r="AT121" s="45"/>
      <c r="AU121" s="53">
        <v>0</v>
      </c>
      <c r="AV121" s="53"/>
      <c r="AW121" s="53">
        <v>0</v>
      </c>
      <c r="AX121" s="53"/>
      <c r="AY121" s="53">
        <f t="shared" si="30"/>
        <v>55058941</v>
      </c>
      <c r="AZ121" s="53"/>
      <c r="BA121" s="35" t="s">
        <v>148</v>
      </c>
      <c r="BC121" s="35" t="s">
        <v>15</v>
      </c>
      <c r="BD121" s="53"/>
      <c r="BE121" s="53">
        <f>732761+285800</f>
        <v>1018561</v>
      </c>
      <c r="BF121" s="53"/>
      <c r="BG121" s="53">
        <v>0</v>
      </c>
      <c r="BH121" s="53"/>
      <c r="BI121" s="53">
        <v>0</v>
      </c>
      <c r="BJ121" s="53"/>
      <c r="BK121" s="53">
        <f>17571+48536+81840+22617</f>
        <v>170564</v>
      </c>
      <c r="BL121" s="53"/>
      <c r="BM121" s="53">
        <f t="shared" si="31"/>
        <v>1189125</v>
      </c>
      <c r="BN121" s="54" t="s">
        <v>347</v>
      </c>
      <c r="BR121" s="51"/>
      <c r="BS121" s="53"/>
      <c r="BT121" s="53"/>
      <c r="BU121" s="53"/>
      <c r="BV121" s="53"/>
      <c r="BW121" s="53"/>
      <c r="BX121" s="45"/>
      <c r="BY121" s="45"/>
      <c r="BZ121" s="53"/>
      <c r="CA121" s="53"/>
      <c r="CB121" s="53"/>
      <c r="CC121" s="53"/>
      <c r="CD121" s="53"/>
      <c r="CE121" s="53"/>
      <c r="CF121" s="35"/>
      <c r="CH121" s="35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4"/>
    </row>
    <row r="122" spans="1:104" s="55" customFormat="1" ht="12.75" customHeight="1">
      <c r="A122" s="35" t="s">
        <v>149</v>
      </c>
      <c r="B122" s="51"/>
      <c r="C122" s="35" t="s">
        <v>45</v>
      </c>
      <c r="D122" s="44"/>
      <c r="E122" s="53">
        <f t="shared" si="35"/>
        <v>754261</v>
      </c>
      <c r="F122" s="53"/>
      <c r="G122" s="53">
        <f>59490+1304145</f>
        <v>1363635</v>
      </c>
      <c r="H122" s="53"/>
      <c r="I122" s="53">
        <v>2117896</v>
      </c>
      <c r="J122" s="53"/>
      <c r="K122" s="53">
        <f t="shared" si="33"/>
        <v>524126</v>
      </c>
      <c r="L122" s="53"/>
      <c r="M122" s="53">
        <f>6339+11200</f>
        <v>17539</v>
      </c>
      <c r="N122" s="53"/>
      <c r="O122" s="53">
        <v>541665</v>
      </c>
      <c r="P122" s="53"/>
      <c r="Q122" s="53">
        <v>1348435</v>
      </c>
      <c r="R122" s="53"/>
      <c r="S122" s="53">
        <v>0</v>
      </c>
      <c r="T122" s="53"/>
      <c r="U122" s="53">
        <v>227796</v>
      </c>
      <c r="V122" s="53"/>
      <c r="W122" s="53">
        <f t="shared" si="29"/>
        <v>1576231</v>
      </c>
      <c r="X122" s="53"/>
      <c r="Y122" s="35" t="s">
        <v>149</v>
      </c>
      <c r="AA122" s="35" t="s">
        <v>45</v>
      </c>
      <c r="AB122" s="35"/>
      <c r="AC122" s="53">
        <v>2882618</v>
      </c>
      <c r="AD122" s="53"/>
      <c r="AE122" s="53">
        <f>3065541-63333</f>
        <v>3002208</v>
      </c>
      <c r="AF122" s="53"/>
      <c r="AG122" s="53">
        <v>63333</v>
      </c>
      <c r="AH122" s="53"/>
      <c r="AI122" s="45">
        <f t="shared" si="34"/>
        <v>-182923</v>
      </c>
      <c r="AJ122" s="45"/>
      <c r="AK122" s="53">
        <v>-352</v>
      </c>
      <c r="AL122" s="45"/>
      <c r="AM122" s="53">
        <v>0</v>
      </c>
      <c r="AN122" s="53"/>
      <c r="AO122" s="53">
        <v>0</v>
      </c>
      <c r="AP122" s="53"/>
      <c r="AQ122" s="53">
        <v>0</v>
      </c>
      <c r="AR122" s="53"/>
      <c r="AS122" s="45">
        <f t="shared" si="36"/>
        <v>-183275</v>
      </c>
      <c r="AT122" s="45"/>
      <c r="AU122" s="53">
        <v>0</v>
      </c>
      <c r="AV122" s="53"/>
      <c r="AW122" s="53">
        <v>0</v>
      </c>
      <c r="AX122" s="53"/>
      <c r="AY122" s="53">
        <f t="shared" si="30"/>
        <v>230135</v>
      </c>
      <c r="AZ122" s="53"/>
      <c r="BA122" s="35" t="s">
        <v>149</v>
      </c>
      <c r="BC122" s="35" t="s">
        <v>45</v>
      </c>
      <c r="BD122" s="53"/>
      <c r="BE122" s="53">
        <f>11200+4000</f>
        <v>15200</v>
      </c>
      <c r="BF122" s="53"/>
      <c r="BG122" s="53">
        <v>0</v>
      </c>
      <c r="BH122" s="53"/>
      <c r="BI122" s="53">
        <v>0</v>
      </c>
      <c r="BJ122" s="53"/>
      <c r="BK122" s="53">
        <f>6339+3021</f>
        <v>9360</v>
      </c>
      <c r="BL122" s="53"/>
      <c r="BM122" s="53">
        <f t="shared" si="31"/>
        <v>24560</v>
      </c>
      <c r="BN122" s="54" t="s">
        <v>347</v>
      </c>
      <c r="BR122" s="51"/>
      <c r="BS122" s="53"/>
      <c r="BT122" s="53"/>
      <c r="BU122" s="53"/>
      <c r="BV122" s="53"/>
      <c r="BW122" s="45"/>
      <c r="BX122" s="45"/>
      <c r="BY122" s="53"/>
      <c r="BZ122" s="53"/>
      <c r="CA122" s="53"/>
      <c r="CB122" s="53"/>
      <c r="CC122" s="53"/>
      <c r="CD122" s="53"/>
      <c r="CE122" s="53"/>
      <c r="CF122" s="35"/>
      <c r="CH122" s="35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4"/>
    </row>
    <row r="123" spans="1:104" s="140" customFormat="1" ht="12.75" hidden="1" customHeight="1">
      <c r="A123" s="126" t="s">
        <v>150</v>
      </c>
      <c r="B123" s="124"/>
      <c r="C123" s="126" t="s">
        <v>27</v>
      </c>
      <c r="D123" s="121"/>
      <c r="E123" s="53">
        <f t="shared" si="35"/>
        <v>0</v>
      </c>
      <c r="F123" s="53"/>
      <c r="G123" s="53">
        <v>0</v>
      </c>
      <c r="H123" s="53"/>
      <c r="I123" s="53">
        <v>0</v>
      </c>
      <c r="J123" s="53"/>
      <c r="K123" s="53">
        <f t="shared" si="33"/>
        <v>0</v>
      </c>
      <c r="L123" s="53"/>
      <c r="M123" s="53">
        <v>0</v>
      </c>
      <c r="N123" s="53"/>
      <c r="O123" s="53">
        <v>0</v>
      </c>
      <c r="P123" s="53"/>
      <c r="Q123" s="53">
        <v>0</v>
      </c>
      <c r="R123" s="53"/>
      <c r="S123" s="53">
        <v>0</v>
      </c>
      <c r="T123" s="53"/>
      <c r="U123" s="53">
        <v>0</v>
      </c>
      <c r="V123" s="53"/>
      <c r="W123" s="53">
        <f t="shared" si="29"/>
        <v>0</v>
      </c>
      <c r="X123" s="137"/>
      <c r="Y123" s="126" t="s">
        <v>150</v>
      </c>
      <c r="AA123" s="126" t="s">
        <v>27</v>
      </c>
      <c r="AB123" s="126"/>
      <c r="AC123" s="53">
        <v>0</v>
      </c>
      <c r="AD123" s="53"/>
      <c r="AE123" s="53">
        <v>0</v>
      </c>
      <c r="AF123" s="53"/>
      <c r="AG123" s="53">
        <v>0</v>
      </c>
      <c r="AH123" s="53"/>
      <c r="AI123" s="45">
        <f t="shared" si="34"/>
        <v>0</v>
      </c>
      <c r="AJ123" s="45"/>
      <c r="AK123" s="53">
        <v>0</v>
      </c>
      <c r="AL123" s="45"/>
      <c r="AM123" s="53">
        <v>0</v>
      </c>
      <c r="AN123" s="53"/>
      <c r="AO123" s="53">
        <v>0</v>
      </c>
      <c r="AP123" s="53"/>
      <c r="AQ123" s="53">
        <v>0</v>
      </c>
      <c r="AR123" s="53"/>
      <c r="AS123" s="45">
        <f t="shared" si="36"/>
        <v>0</v>
      </c>
      <c r="AT123" s="45"/>
      <c r="AU123" s="53">
        <v>0</v>
      </c>
      <c r="AV123" s="53"/>
      <c r="AW123" s="53">
        <v>0</v>
      </c>
      <c r="AX123" s="53"/>
      <c r="AY123" s="53">
        <f t="shared" si="30"/>
        <v>0</v>
      </c>
      <c r="AZ123" s="53"/>
      <c r="BA123" s="126" t="s">
        <v>150</v>
      </c>
      <c r="BC123" s="126" t="s">
        <v>27</v>
      </c>
      <c r="BD123" s="137"/>
      <c r="BE123" s="53">
        <v>0</v>
      </c>
      <c r="BF123" s="53"/>
      <c r="BG123" s="53">
        <v>0</v>
      </c>
      <c r="BH123" s="53"/>
      <c r="BI123" s="53">
        <v>0</v>
      </c>
      <c r="BJ123" s="53"/>
      <c r="BK123" s="53">
        <v>0</v>
      </c>
      <c r="BL123" s="137"/>
      <c r="BM123" s="137">
        <f t="shared" si="31"/>
        <v>0</v>
      </c>
      <c r="BN123" s="139" t="s">
        <v>347</v>
      </c>
      <c r="BO123" s="126"/>
      <c r="BR123" s="124"/>
      <c r="BS123" s="137"/>
      <c r="BT123" s="137"/>
      <c r="BU123" s="137"/>
      <c r="BV123" s="137"/>
      <c r="BW123" s="127"/>
      <c r="BX123" s="127"/>
      <c r="BY123" s="137"/>
      <c r="BZ123" s="137"/>
      <c r="CA123" s="137"/>
      <c r="CB123" s="137"/>
      <c r="CC123" s="137"/>
      <c r="CD123" s="137"/>
      <c r="CE123" s="137"/>
      <c r="CF123" s="126"/>
      <c r="CH123" s="126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9"/>
      <c r="CT123" s="126"/>
    </row>
    <row r="124" spans="1:104" s="140" customFormat="1" ht="12.75" hidden="1" customHeight="1">
      <c r="A124" s="126" t="s">
        <v>151</v>
      </c>
      <c r="B124" s="124"/>
      <c r="C124" s="126" t="s">
        <v>13</v>
      </c>
      <c r="D124" s="121"/>
      <c r="E124" s="53">
        <f t="shared" si="35"/>
        <v>0</v>
      </c>
      <c r="F124" s="53"/>
      <c r="G124" s="53">
        <v>0</v>
      </c>
      <c r="H124" s="53"/>
      <c r="I124" s="53">
        <v>0</v>
      </c>
      <c r="J124" s="53"/>
      <c r="K124" s="53">
        <f t="shared" si="33"/>
        <v>0</v>
      </c>
      <c r="L124" s="53"/>
      <c r="M124" s="53">
        <v>0</v>
      </c>
      <c r="N124" s="53"/>
      <c r="O124" s="53">
        <v>0</v>
      </c>
      <c r="P124" s="53"/>
      <c r="Q124" s="53">
        <v>0</v>
      </c>
      <c r="R124" s="53"/>
      <c r="S124" s="53">
        <v>0</v>
      </c>
      <c r="T124" s="53"/>
      <c r="U124" s="53">
        <v>0</v>
      </c>
      <c r="V124" s="53"/>
      <c r="W124" s="53">
        <f t="shared" si="29"/>
        <v>0</v>
      </c>
      <c r="X124" s="137"/>
      <c r="Y124" s="126" t="s">
        <v>151</v>
      </c>
      <c r="AA124" s="126" t="s">
        <v>13</v>
      </c>
      <c r="AB124" s="126"/>
      <c r="AC124" s="53">
        <v>0</v>
      </c>
      <c r="AD124" s="53"/>
      <c r="AE124" s="53">
        <v>0</v>
      </c>
      <c r="AF124" s="53"/>
      <c r="AG124" s="53">
        <v>0</v>
      </c>
      <c r="AH124" s="53"/>
      <c r="AI124" s="45">
        <f t="shared" si="34"/>
        <v>0</v>
      </c>
      <c r="AJ124" s="45"/>
      <c r="AK124" s="53">
        <v>0</v>
      </c>
      <c r="AL124" s="45"/>
      <c r="AM124" s="53">
        <v>0</v>
      </c>
      <c r="AN124" s="53"/>
      <c r="AO124" s="53">
        <v>0</v>
      </c>
      <c r="AP124" s="53"/>
      <c r="AQ124" s="53">
        <v>0</v>
      </c>
      <c r="AR124" s="53"/>
      <c r="AS124" s="45">
        <f t="shared" si="36"/>
        <v>0</v>
      </c>
      <c r="AT124" s="45"/>
      <c r="AU124" s="53">
        <v>0</v>
      </c>
      <c r="AV124" s="53"/>
      <c r="AW124" s="53">
        <v>0</v>
      </c>
      <c r="AX124" s="53"/>
      <c r="AY124" s="53">
        <f t="shared" si="30"/>
        <v>0</v>
      </c>
      <c r="AZ124" s="53"/>
      <c r="BA124" s="126" t="s">
        <v>151</v>
      </c>
      <c r="BC124" s="126" t="s">
        <v>13</v>
      </c>
      <c r="BD124" s="137"/>
      <c r="BE124" s="53">
        <v>0</v>
      </c>
      <c r="BF124" s="53"/>
      <c r="BG124" s="53">
        <v>0</v>
      </c>
      <c r="BH124" s="53"/>
      <c r="BI124" s="53">
        <v>0</v>
      </c>
      <c r="BJ124" s="53"/>
      <c r="BK124" s="53">
        <v>0</v>
      </c>
      <c r="BL124" s="137"/>
      <c r="BM124" s="137">
        <f t="shared" si="31"/>
        <v>0</v>
      </c>
      <c r="BN124" s="139" t="s">
        <v>347</v>
      </c>
      <c r="BR124" s="124"/>
      <c r="BS124" s="137"/>
      <c r="BT124" s="137"/>
      <c r="BU124" s="137"/>
      <c r="BV124" s="137"/>
      <c r="BW124" s="137"/>
      <c r="BX124" s="127"/>
      <c r="BY124" s="127"/>
      <c r="BZ124" s="137"/>
      <c r="CA124" s="137"/>
      <c r="CB124" s="137"/>
      <c r="CC124" s="137"/>
      <c r="CD124" s="137"/>
      <c r="CE124" s="137"/>
      <c r="CF124" s="126"/>
      <c r="CH124" s="126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9"/>
    </row>
    <row r="125" spans="1:104" s="55" customFormat="1" ht="12.75" customHeight="1">
      <c r="A125" s="35" t="s">
        <v>152</v>
      </c>
      <c r="B125" s="51"/>
      <c r="C125" s="35" t="s">
        <v>153</v>
      </c>
      <c r="D125" s="44"/>
      <c r="E125" s="53">
        <f t="shared" si="35"/>
        <v>9336122</v>
      </c>
      <c r="F125" s="53"/>
      <c r="G125" s="53">
        <v>29157915</v>
      </c>
      <c r="H125" s="53"/>
      <c r="I125" s="53">
        <v>38494037</v>
      </c>
      <c r="J125" s="53"/>
      <c r="K125" s="53">
        <f t="shared" si="33"/>
        <v>292797</v>
      </c>
      <c r="L125" s="53"/>
      <c r="M125" s="53">
        <v>2363975</v>
      </c>
      <c r="N125" s="53"/>
      <c r="O125" s="53">
        <v>2656772</v>
      </c>
      <c r="P125" s="53"/>
      <c r="Q125" s="53">
        <v>27245163</v>
      </c>
      <c r="R125" s="53"/>
      <c r="S125" s="53">
        <v>3231968</v>
      </c>
      <c r="T125" s="53"/>
      <c r="U125" s="53">
        <v>5360134</v>
      </c>
      <c r="V125" s="53"/>
      <c r="W125" s="53">
        <f t="shared" si="29"/>
        <v>35837265</v>
      </c>
      <c r="X125" s="53"/>
      <c r="Y125" s="35" t="s">
        <v>152</v>
      </c>
      <c r="AA125" s="35" t="s">
        <v>153</v>
      </c>
      <c r="AB125" s="35"/>
      <c r="AC125" s="53">
        <v>7301003</v>
      </c>
      <c r="AD125" s="53"/>
      <c r="AE125" s="53">
        <f>6453597-1585868</f>
        <v>4867729</v>
      </c>
      <c r="AF125" s="53"/>
      <c r="AG125" s="53">
        <v>1585868</v>
      </c>
      <c r="AH125" s="53"/>
      <c r="AI125" s="45">
        <f t="shared" si="34"/>
        <v>847406</v>
      </c>
      <c r="AJ125" s="45"/>
      <c r="AK125" s="53">
        <v>-44702</v>
      </c>
      <c r="AL125" s="45"/>
      <c r="AM125" s="53">
        <v>235408</v>
      </c>
      <c r="AN125" s="53"/>
      <c r="AO125" s="53">
        <v>0</v>
      </c>
      <c r="AP125" s="53"/>
      <c r="AQ125" s="53">
        <v>1420077</v>
      </c>
      <c r="AR125" s="53"/>
      <c r="AS125" s="45">
        <f t="shared" si="36"/>
        <v>2458189</v>
      </c>
      <c r="AT125" s="45"/>
      <c r="AU125" s="53">
        <v>0</v>
      </c>
      <c r="AV125" s="53"/>
      <c r="AW125" s="53">
        <v>0</v>
      </c>
      <c r="AX125" s="53"/>
      <c r="AY125" s="53">
        <f t="shared" si="30"/>
        <v>9043325</v>
      </c>
      <c r="AZ125" s="53"/>
      <c r="BA125" s="35" t="s">
        <v>152</v>
      </c>
      <c r="BC125" s="35" t="s">
        <v>153</v>
      </c>
      <c r="BD125" s="53"/>
      <c r="BE125" s="53">
        <f>1010000+35000</f>
        <v>1045000</v>
      </c>
      <c r="BF125" s="53"/>
      <c r="BG125" s="53">
        <v>0</v>
      </c>
      <c r="BH125" s="53"/>
      <c r="BI125" s="53">
        <v>0</v>
      </c>
      <c r="BJ125" s="53"/>
      <c r="BK125" s="53">
        <f>867752+486223+4486</f>
        <v>1358461</v>
      </c>
      <c r="BL125" s="53"/>
      <c r="BM125" s="53">
        <f t="shared" si="31"/>
        <v>2403461</v>
      </c>
      <c r="BN125" s="54" t="s">
        <v>347</v>
      </c>
      <c r="BO125" s="55" t="s">
        <v>405</v>
      </c>
      <c r="BP125" s="35"/>
      <c r="BQ125" s="35"/>
      <c r="BR125" s="51"/>
      <c r="BS125" s="53"/>
      <c r="BT125" s="53"/>
      <c r="BU125" s="53"/>
      <c r="BV125" s="53"/>
      <c r="BW125" s="45"/>
      <c r="BX125" s="45"/>
      <c r="BY125" s="53"/>
      <c r="BZ125" s="53"/>
      <c r="CA125" s="53"/>
      <c r="CB125" s="53"/>
      <c r="CC125" s="53"/>
      <c r="CD125" s="53"/>
      <c r="CE125" s="53"/>
      <c r="CF125" s="35"/>
      <c r="CH125" s="35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4"/>
      <c r="CU125" s="35"/>
      <c r="CV125" s="35"/>
      <c r="CW125" s="35"/>
      <c r="CX125" s="35"/>
      <c r="CY125" s="35"/>
      <c r="CZ125" s="35"/>
    </row>
    <row r="126" spans="1:104" s="140" customFormat="1" ht="12.75" hidden="1" customHeight="1">
      <c r="A126" s="126" t="s">
        <v>154</v>
      </c>
      <c r="B126" s="124"/>
      <c r="C126" s="126" t="s">
        <v>27</v>
      </c>
      <c r="D126" s="121"/>
      <c r="E126" s="53">
        <f t="shared" si="35"/>
        <v>0</v>
      </c>
      <c r="F126" s="53"/>
      <c r="G126" s="53">
        <v>0</v>
      </c>
      <c r="H126" s="53"/>
      <c r="I126" s="53">
        <v>0</v>
      </c>
      <c r="J126" s="53"/>
      <c r="K126" s="53">
        <f t="shared" si="33"/>
        <v>0</v>
      </c>
      <c r="L126" s="53"/>
      <c r="M126" s="53">
        <v>0</v>
      </c>
      <c r="N126" s="53"/>
      <c r="O126" s="53">
        <v>0</v>
      </c>
      <c r="P126" s="53"/>
      <c r="Q126" s="53">
        <v>0</v>
      </c>
      <c r="R126" s="53"/>
      <c r="S126" s="53">
        <v>0</v>
      </c>
      <c r="T126" s="53"/>
      <c r="U126" s="53">
        <v>0</v>
      </c>
      <c r="V126" s="53"/>
      <c r="W126" s="53">
        <f t="shared" si="29"/>
        <v>0</v>
      </c>
      <c r="X126" s="137"/>
      <c r="Y126" s="126" t="s">
        <v>154</v>
      </c>
      <c r="AA126" s="126" t="s">
        <v>27</v>
      </c>
      <c r="AB126" s="126"/>
      <c r="AC126" s="53">
        <v>0</v>
      </c>
      <c r="AD126" s="53"/>
      <c r="AE126" s="53">
        <v>0</v>
      </c>
      <c r="AF126" s="53"/>
      <c r="AG126" s="53">
        <v>0</v>
      </c>
      <c r="AH126" s="53"/>
      <c r="AI126" s="45">
        <f t="shared" si="34"/>
        <v>0</v>
      </c>
      <c r="AJ126" s="45"/>
      <c r="AK126" s="53">
        <v>0</v>
      </c>
      <c r="AL126" s="45"/>
      <c r="AM126" s="53">
        <v>0</v>
      </c>
      <c r="AN126" s="53"/>
      <c r="AO126" s="53">
        <v>0</v>
      </c>
      <c r="AP126" s="53"/>
      <c r="AQ126" s="53">
        <v>0</v>
      </c>
      <c r="AR126" s="53"/>
      <c r="AS126" s="45">
        <f t="shared" si="36"/>
        <v>0</v>
      </c>
      <c r="AT126" s="45"/>
      <c r="AU126" s="53">
        <v>0</v>
      </c>
      <c r="AV126" s="53"/>
      <c r="AW126" s="53">
        <v>0</v>
      </c>
      <c r="AX126" s="53"/>
      <c r="AY126" s="53">
        <f t="shared" si="30"/>
        <v>0</v>
      </c>
      <c r="AZ126" s="53"/>
      <c r="BA126" s="126" t="s">
        <v>154</v>
      </c>
      <c r="BC126" s="126" t="s">
        <v>27</v>
      </c>
      <c r="BD126" s="137"/>
      <c r="BE126" s="53">
        <v>0</v>
      </c>
      <c r="BF126" s="53"/>
      <c r="BG126" s="53">
        <v>0</v>
      </c>
      <c r="BH126" s="53"/>
      <c r="BI126" s="53">
        <v>0</v>
      </c>
      <c r="BJ126" s="53"/>
      <c r="BK126" s="53">
        <v>0</v>
      </c>
      <c r="BL126" s="137"/>
      <c r="BM126" s="137">
        <f t="shared" si="31"/>
        <v>0</v>
      </c>
      <c r="BN126" s="139" t="s">
        <v>347</v>
      </c>
      <c r="BR126" s="124"/>
      <c r="BS126" s="137"/>
      <c r="BT126" s="137"/>
      <c r="BU126" s="137"/>
      <c r="BV126" s="137"/>
      <c r="BW126" s="127"/>
      <c r="BX126" s="127"/>
      <c r="BY126" s="137"/>
      <c r="BZ126" s="137"/>
      <c r="CA126" s="137"/>
      <c r="CB126" s="137"/>
      <c r="CC126" s="137"/>
      <c r="CD126" s="137"/>
      <c r="CE126" s="137"/>
      <c r="CF126" s="126"/>
      <c r="CH126" s="126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9"/>
    </row>
    <row r="127" spans="1:104" s="55" customFormat="1" ht="12.75" customHeight="1">
      <c r="A127" s="35" t="s">
        <v>155</v>
      </c>
      <c r="C127" s="35" t="s">
        <v>40</v>
      </c>
      <c r="D127" s="44"/>
      <c r="E127" s="53">
        <f t="shared" si="35"/>
        <v>3384843</v>
      </c>
      <c r="F127" s="53"/>
      <c r="G127" s="53">
        <v>6967499</v>
      </c>
      <c r="H127" s="53"/>
      <c r="I127" s="53">
        <v>10352342</v>
      </c>
      <c r="J127" s="53"/>
      <c r="K127" s="53">
        <f t="shared" si="33"/>
        <v>439774</v>
      </c>
      <c r="L127" s="53"/>
      <c r="M127" s="53">
        <v>979460</v>
      </c>
      <c r="N127" s="53"/>
      <c r="O127" s="53">
        <v>1419234</v>
      </c>
      <c r="P127" s="53"/>
      <c r="Q127" s="53">
        <v>5925627</v>
      </c>
      <c r="R127" s="53"/>
      <c r="S127" s="53">
        <v>0</v>
      </c>
      <c r="T127" s="53"/>
      <c r="U127" s="53">
        <v>3007481</v>
      </c>
      <c r="V127" s="53"/>
      <c r="W127" s="53">
        <f t="shared" si="29"/>
        <v>8933108</v>
      </c>
      <c r="X127" s="53"/>
      <c r="Y127" s="35" t="s">
        <v>155</v>
      </c>
      <c r="AA127" s="35" t="s">
        <v>40</v>
      </c>
      <c r="AB127" s="35"/>
      <c r="AC127" s="53">
        <v>2894221</v>
      </c>
      <c r="AD127" s="53"/>
      <c r="AE127" s="53">
        <f>2731550-478129</f>
        <v>2253421</v>
      </c>
      <c r="AF127" s="53"/>
      <c r="AG127" s="53">
        <v>478129</v>
      </c>
      <c r="AH127" s="53"/>
      <c r="AI127" s="45">
        <f t="shared" si="34"/>
        <v>162671</v>
      </c>
      <c r="AJ127" s="45"/>
      <c r="AK127" s="53">
        <v>-47462</v>
      </c>
      <c r="AL127" s="45"/>
      <c r="AM127" s="53">
        <v>0</v>
      </c>
      <c r="AN127" s="53"/>
      <c r="AO127" s="53">
        <v>0</v>
      </c>
      <c r="AP127" s="53"/>
      <c r="AQ127" s="53">
        <v>0</v>
      </c>
      <c r="AR127" s="53"/>
      <c r="AS127" s="45">
        <f t="shared" si="36"/>
        <v>115209</v>
      </c>
      <c r="AT127" s="45"/>
      <c r="AU127" s="53">
        <v>0</v>
      </c>
      <c r="AV127" s="53"/>
      <c r="AW127" s="53">
        <v>0</v>
      </c>
      <c r="AX127" s="53"/>
      <c r="AY127" s="53">
        <f t="shared" si="30"/>
        <v>2945069</v>
      </c>
      <c r="AZ127" s="53"/>
      <c r="BA127" s="35" t="s">
        <v>155</v>
      </c>
      <c r="BC127" s="35" t="s">
        <v>40</v>
      </c>
      <c r="BD127" s="53"/>
      <c r="BE127" s="53">
        <v>0</v>
      </c>
      <c r="BF127" s="53"/>
      <c r="BG127" s="53">
        <v>0</v>
      </c>
      <c r="BH127" s="53"/>
      <c r="BI127" s="53">
        <f>264766+488711+11280+118115</f>
        <v>882872</v>
      </c>
      <c r="BJ127" s="53"/>
      <c r="BK127" s="53">
        <f>96624+18359+111000+48000+30591</f>
        <v>304574</v>
      </c>
      <c r="BL127" s="53"/>
      <c r="BM127" s="53">
        <f t="shared" si="31"/>
        <v>1187446</v>
      </c>
      <c r="BN127" s="54" t="s">
        <v>347</v>
      </c>
      <c r="BO127" s="55" t="s">
        <v>406</v>
      </c>
      <c r="BR127" s="51"/>
      <c r="BS127" s="53"/>
      <c r="BT127" s="53"/>
      <c r="BU127" s="53"/>
      <c r="BV127" s="53"/>
      <c r="BW127" s="53"/>
      <c r="BX127" s="45"/>
      <c r="BY127" s="45"/>
      <c r="BZ127" s="53"/>
      <c r="CA127" s="53"/>
      <c r="CB127" s="53"/>
      <c r="CC127" s="53"/>
      <c r="CD127" s="53"/>
      <c r="CE127" s="53"/>
      <c r="CF127" s="35"/>
      <c r="CH127" s="35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4"/>
    </row>
    <row r="128" spans="1:104" s="140" customFormat="1" ht="12.75" hidden="1" customHeight="1">
      <c r="A128" s="126" t="s">
        <v>156</v>
      </c>
      <c r="B128" s="124"/>
      <c r="C128" s="126" t="s">
        <v>156</v>
      </c>
      <c r="D128" s="121"/>
      <c r="E128" s="137">
        <f t="shared" si="35"/>
        <v>0</v>
      </c>
      <c r="F128" s="137"/>
      <c r="G128" s="137">
        <v>0</v>
      </c>
      <c r="H128" s="137"/>
      <c r="I128" s="137">
        <v>0</v>
      </c>
      <c r="J128" s="137"/>
      <c r="K128" s="137">
        <f t="shared" si="33"/>
        <v>0</v>
      </c>
      <c r="L128" s="137"/>
      <c r="M128" s="137">
        <v>0</v>
      </c>
      <c r="N128" s="137"/>
      <c r="O128" s="137">
        <v>0</v>
      </c>
      <c r="P128" s="137"/>
      <c r="Q128" s="137">
        <v>0</v>
      </c>
      <c r="R128" s="137"/>
      <c r="S128" s="137">
        <v>0</v>
      </c>
      <c r="T128" s="137"/>
      <c r="U128" s="137">
        <v>0</v>
      </c>
      <c r="V128" s="137"/>
      <c r="W128" s="137">
        <f t="shared" si="29"/>
        <v>0</v>
      </c>
      <c r="X128" s="137"/>
      <c r="Y128" s="126" t="s">
        <v>156</v>
      </c>
      <c r="AA128" s="126" t="s">
        <v>156</v>
      </c>
      <c r="AB128" s="126"/>
      <c r="AC128" s="137">
        <v>0</v>
      </c>
      <c r="AD128" s="137"/>
      <c r="AE128" s="137">
        <v>0</v>
      </c>
      <c r="AF128" s="137"/>
      <c r="AG128" s="137">
        <v>0</v>
      </c>
      <c r="AH128" s="137"/>
      <c r="AI128" s="127">
        <f t="shared" si="34"/>
        <v>0</v>
      </c>
      <c r="AJ128" s="127"/>
      <c r="AK128" s="137">
        <v>0</v>
      </c>
      <c r="AL128" s="127"/>
      <c r="AM128" s="137">
        <v>0</v>
      </c>
      <c r="AN128" s="137"/>
      <c r="AO128" s="137">
        <v>0</v>
      </c>
      <c r="AP128" s="137"/>
      <c r="AQ128" s="137">
        <v>0</v>
      </c>
      <c r="AR128" s="137"/>
      <c r="AS128" s="127">
        <f t="shared" si="36"/>
        <v>0</v>
      </c>
      <c r="AT128" s="127"/>
      <c r="AU128" s="137">
        <v>0</v>
      </c>
      <c r="AV128" s="137"/>
      <c r="AW128" s="137">
        <v>0</v>
      </c>
      <c r="AX128" s="137"/>
      <c r="AY128" s="137">
        <f t="shared" si="30"/>
        <v>0</v>
      </c>
      <c r="AZ128" s="137"/>
      <c r="BA128" s="126" t="s">
        <v>156</v>
      </c>
      <c r="BC128" s="126" t="s">
        <v>156</v>
      </c>
      <c r="BD128" s="137"/>
      <c r="BE128" s="137">
        <v>0</v>
      </c>
      <c r="BF128" s="137"/>
      <c r="BG128" s="137">
        <v>0</v>
      </c>
      <c r="BH128" s="137"/>
      <c r="BI128" s="137">
        <v>0</v>
      </c>
      <c r="BJ128" s="137"/>
      <c r="BK128" s="137">
        <v>0</v>
      </c>
      <c r="BL128" s="137"/>
      <c r="BM128" s="137">
        <f t="shared" si="31"/>
        <v>0</v>
      </c>
      <c r="BN128" s="139" t="s">
        <v>347</v>
      </c>
      <c r="BO128" s="126"/>
      <c r="BR128" s="124"/>
      <c r="BS128" s="137"/>
      <c r="BT128" s="137"/>
      <c r="BU128" s="137"/>
      <c r="BV128" s="137"/>
      <c r="BW128" s="127"/>
      <c r="BX128" s="127"/>
      <c r="BY128" s="137"/>
      <c r="BZ128" s="137"/>
      <c r="CA128" s="137"/>
      <c r="CB128" s="137"/>
      <c r="CC128" s="137"/>
      <c r="CD128" s="137"/>
      <c r="CE128" s="137"/>
      <c r="CF128" s="126"/>
      <c r="CH128" s="126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9"/>
      <c r="CT128" s="126"/>
    </row>
    <row r="129" spans="1:98" s="55" customFormat="1" ht="12.75" hidden="1" customHeight="1">
      <c r="A129" s="35" t="s">
        <v>157</v>
      </c>
      <c r="B129" s="51"/>
      <c r="C129" s="35" t="s">
        <v>33</v>
      </c>
      <c r="D129" s="44"/>
      <c r="E129" s="53">
        <f t="shared" si="35"/>
        <v>0</v>
      </c>
      <c r="F129" s="53"/>
      <c r="G129" s="53">
        <v>0</v>
      </c>
      <c r="H129" s="53"/>
      <c r="I129" s="53">
        <v>0</v>
      </c>
      <c r="J129" s="53"/>
      <c r="K129" s="53">
        <f t="shared" si="33"/>
        <v>0</v>
      </c>
      <c r="L129" s="53"/>
      <c r="M129" s="53">
        <v>0</v>
      </c>
      <c r="N129" s="53"/>
      <c r="O129" s="53">
        <v>0</v>
      </c>
      <c r="P129" s="53"/>
      <c r="Q129" s="53">
        <v>0</v>
      </c>
      <c r="R129" s="53"/>
      <c r="S129" s="53">
        <v>0</v>
      </c>
      <c r="T129" s="53"/>
      <c r="U129" s="53">
        <v>0</v>
      </c>
      <c r="V129" s="53"/>
      <c r="W129" s="53">
        <f t="shared" si="29"/>
        <v>0</v>
      </c>
      <c r="X129" s="53"/>
      <c r="Y129" s="35" t="s">
        <v>157</v>
      </c>
      <c r="AA129" s="35" t="s">
        <v>33</v>
      </c>
      <c r="AB129" s="35"/>
      <c r="AC129" s="53">
        <v>0</v>
      </c>
      <c r="AD129" s="53"/>
      <c r="AE129" s="53">
        <v>0</v>
      </c>
      <c r="AF129" s="53"/>
      <c r="AG129" s="53">
        <v>0</v>
      </c>
      <c r="AH129" s="53"/>
      <c r="AI129" s="45">
        <f t="shared" si="34"/>
        <v>0</v>
      </c>
      <c r="AJ129" s="45"/>
      <c r="AK129" s="53">
        <v>0</v>
      </c>
      <c r="AL129" s="45"/>
      <c r="AM129" s="53">
        <v>0</v>
      </c>
      <c r="AN129" s="53"/>
      <c r="AO129" s="53">
        <v>0</v>
      </c>
      <c r="AP129" s="53"/>
      <c r="AQ129" s="53">
        <v>0</v>
      </c>
      <c r="AR129" s="53"/>
      <c r="AS129" s="45">
        <f t="shared" si="36"/>
        <v>0</v>
      </c>
      <c r="AT129" s="45"/>
      <c r="AU129" s="53">
        <v>0</v>
      </c>
      <c r="AV129" s="53"/>
      <c r="AW129" s="53">
        <v>0</v>
      </c>
      <c r="AX129" s="53"/>
      <c r="AY129" s="53">
        <f t="shared" si="30"/>
        <v>0</v>
      </c>
      <c r="AZ129" s="53"/>
      <c r="BA129" s="35" t="s">
        <v>157</v>
      </c>
      <c r="BC129" s="35" t="s">
        <v>33</v>
      </c>
      <c r="BD129" s="53"/>
      <c r="BE129" s="53">
        <v>0</v>
      </c>
      <c r="BF129" s="53"/>
      <c r="BG129" s="53">
        <v>0</v>
      </c>
      <c r="BH129" s="53"/>
      <c r="BI129" s="53">
        <v>0</v>
      </c>
      <c r="BJ129" s="53"/>
      <c r="BK129" s="53">
        <v>0</v>
      </c>
      <c r="BL129" s="53"/>
      <c r="BM129" s="53">
        <f t="shared" si="31"/>
        <v>0</v>
      </c>
      <c r="BN129" s="54" t="s">
        <v>347</v>
      </c>
      <c r="BR129" s="51"/>
      <c r="BS129" s="53"/>
      <c r="BT129" s="53"/>
      <c r="BU129" s="53"/>
      <c r="BV129" s="53"/>
      <c r="BW129" s="53"/>
      <c r="BX129" s="45"/>
      <c r="BY129" s="45"/>
      <c r="BZ129" s="53"/>
      <c r="CA129" s="53"/>
      <c r="CB129" s="53"/>
      <c r="CC129" s="53"/>
      <c r="CD129" s="53"/>
      <c r="CE129" s="53"/>
      <c r="CF129" s="35"/>
      <c r="CH129" s="35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4"/>
    </row>
    <row r="130" spans="1:98" s="55" customFormat="1" ht="12.75" customHeight="1">
      <c r="A130" s="35" t="s">
        <v>158</v>
      </c>
      <c r="B130" s="51"/>
      <c r="C130" s="35" t="s">
        <v>159</v>
      </c>
      <c r="D130" s="44"/>
      <c r="E130" s="53">
        <f t="shared" si="35"/>
        <v>15124972</v>
      </c>
      <c r="F130" s="53"/>
      <c r="G130" s="53">
        <v>160106798</v>
      </c>
      <c r="H130" s="53"/>
      <c r="I130" s="53">
        <v>175231770</v>
      </c>
      <c r="J130" s="53"/>
      <c r="K130" s="53">
        <f t="shared" si="33"/>
        <v>28497882</v>
      </c>
      <c r="L130" s="53"/>
      <c r="M130" s="53">
        <v>118116614</v>
      </c>
      <c r="N130" s="53"/>
      <c r="O130" s="53">
        <v>146614496</v>
      </c>
      <c r="P130" s="53"/>
      <c r="Q130" s="53">
        <v>14545892</v>
      </c>
      <c r="R130" s="53"/>
      <c r="S130" s="53">
        <v>0</v>
      </c>
      <c r="T130" s="53"/>
      <c r="U130" s="53">
        <v>14071382</v>
      </c>
      <c r="V130" s="53"/>
      <c r="W130" s="53">
        <f t="shared" si="29"/>
        <v>28617274</v>
      </c>
      <c r="X130" s="53"/>
      <c r="Y130" s="35" t="s">
        <v>158</v>
      </c>
      <c r="AA130" s="35" t="s">
        <v>159</v>
      </c>
      <c r="AB130" s="35"/>
      <c r="AC130" s="53">
        <v>7752084</v>
      </c>
      <c r="AD130" s="53"/>
      <c r="AE130" s="53">
        <f>5860153-2546247</f>
        <v>3313906</v>
      </c>
      <c r="AF130" s="53"/>
      <c r="AG130" s="53">
        <v>2546247</v>
      </c>
      <c r="AH130" s="53"/>
      <c r="AI130" s="45">
        <f t="shared" si="34"/>
        <v>1891931</v>
      </c>
      <c r="AJ130" s="45"/>
      <c r="AK130" s="53">
        <v>-3878472</v>
      </c>
      <c r="AL130" s="45"/>
      <c r="AM130" s="53">
        <v>0</v>
      </c>
      <c r="AN130" s="53"/>
      <c r="AO130" s="53">
        <v>0</v>
      </c>
      <c r="AP130" s="53"/>
      <c r="AQ130" s="53">
        <v>0</v>
      </c>
      <c r="AR130" s="53"/>
      <c r="AS130" s="45">
        <f t="shared" si="36"/>
        <v>-1986541</v>
      </c>
      <c r="AT130" s="45"/>
      <c r="AU130" s="53">
        <v>0</v>
      </c>
      <c r="AV130" s="53"/>
      <c r="AW130" s="53">
        <v>0</v>
      </c>
      <c r="AX130" s="53"/>
      <c r="AY130" s="53">
        <f t="shared" si="30"/>
        <v>-13372910</v>
      </c>
      <c r="AZ130" s="53"/>
      <c r="BA130" s="35" t="s">
        <v>158</v>
      </c>
      <c r="BC130" s="35" t="s">
        <v>159</v>
      </c>
      <c r="BD130" s="53"/>
      <c r="BE130" s="53">
        <f>301582+197170</f>
        <v>498752</v>
      </c>
      <c r="BF130" s="53"/>
      <c r="BG130" s="53">
        <f>779489+117731803</f>
        <v>118511292</v>
      </c>
      <c r="BH130" s="53"/>
      <c r="BI130" s="53">
        <f>25785+7927</f>
        <v>33712</v>
      </c>
      <c r="BJ130" s="53"/>
      <c r="BK130" s="53">
        <f>57444+86776</f>
        <v>144220</v>
      </c>
      <c r="BL130" s="53"/>
      <c r="BM130" s="53">
        <f t="shared" si="31"/>
        <v>119187976</v>
      </c>
      <c r="BN130" s="54" t="s">
        <v>347</v>
      </c>
      <c r="BR130" s="51"/>
      <c r="BS130" s="53"/>
      <c r="BT130" s="53"/>
      <c r="BU130" s="53"/>
      <c r="BV130" s="53"/>
      <c r="BW130" s="53"/>
      <c r="BX130" s="45"/>
      <c r="BY130" s="45"/>
      <c r="BZ130" s="53"/>
      <c r="CA130" s="53"/>
      <c r="CB130" s="53"/>
      <c r="CC130" s="53"/>
      <c r="CD130" s="53"/>
      <c r="CE130" s="53"/>
      <c r="CF130" s="35"/>
      <c r="CH130" s="35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4"/>
    </row>
    <row r="131" spans="1:98" s="55" customFormat="1" ht="12.75" customHeight="1">
      <c r="A131" s="35" t="s">
        <v>160</v>
      </c>
      <c r="B131" s="51"/>
      <c r="C131" s="35" t="s">
        <v>111</v>
      </c>
      <c r="D131" s="44"/>
      <c r="E131" s="53">
        <f t="shared" si="35"/>
        <v>14745235</v>
      </c>
      <c r="F131" s="53"/>
      <c r="G131" s="53">
        <v>70661037</v>
      </c>
      <c r="H131" s="53"/>
      <c r="I131" s="53">
        <v>85406272</v>
      </c>
      <c r="J131" s="53"/>
      <c r="K131" s="53">
        <f t="shared" si="33"/>
        <v>1540966</v>
      </c>
      <c r="L131" s="53"/>
      <c r="M131" s="53">
        <v>29486862</v>
      </c>
      <c r="N131" s="53"/>
      <c r="O131" s="53">
        <v>31027828</v>
      </c>
      <c r="P131" s="53"/>
      <c r="Q131" s="53">
        <v>40097037</v>
      </c>
      <c r="R131" s="53"/>
      <c r="S131" s="53">
        <v>3332326</v>
      </c>
      <c r="T131" s="53"/>
      <c r="U131" s="53">
        <v>10949081</v>
      </c>
      <c r="V131" s="53"/>
      <c r="W131" s="53">
        <f t="shared" si="29"/>
        <v>54378444</v>
      </c>
      <c r="X131" s="53"/>
      <c r="Y131" s="35" t="s">
        <v>160</v>
      </c>
      <c r="AA131" s="35" t="s">
        <v>111</v>
      </c>
      <c r="AB131" s="35"/>
      <c r="AC131" s="53">
        <v>5371348</v>
      </c>
      <c r="AD131" s="53"/>
      <c r="AE131" s="53">
        <f>4878118-2264577</f>
        <v>2613541</v>
      </c>
      <c r="AF131" s="53"/>
      <c r="AG131" s="53">
        <v>2264577</v>
      </c>
      <c r="AH131" s="53"/>
      <c r="AI131" s="45">
        <f t="shared" si="34"/>
        <v>493230</v>
      </c>
      <c r="AJ131" s="45"/>
      <c r="AK131" s="53">
        <v>-1402811</v>
      </c>
      <c r="AL131" s="45"/>
      <c r="AM131" s="53">
        <v>5000</v>
      </c>
      <c r="AN131" s="53"/>
      <c r="AO131" s="53">
        <v>0</v>
      </c>
      <c r="AP131" s="53"/>
      <c r="AQ131" s="53">
        <v>1264695</v>
      </c>
      <c r="AR131" s="53"/>
      <c r="AS131" s="45">
        <f t="shared" si="36"/>
        <v>360114</v>
      </c>
      <c r="AT131" s="45"/>
      <c r="AU131" s="53">
        <v>0</v>
      </c>
      <c r="AV131" s="53"/>
      <c r="AW131" s="53">
        <v>0</v>
      </c>
      <c r="AX131" s="53"/>
      <c r="AY131" s="53">
        <f t="shared" si="30"/>
        <v>13204269</v>
      </c>
      <c r="AZ131" s="53"/>
      <c r="BA131" s="35" t="s">
        <v>160</v>
      </c>
      <c r="BC131" s="35" t="s">
        <v>111</v>
      </c>
      <c r="BD131" s="53"/>
      <c r="BE131" s="53">
        <f>29413000+1151000</f>
        <v>30564000</v>
      </c>
      <c r="BF131" s="53"/>
      <c r="BG131" s="53">
        <v>0</v>
      </c>
      <c r="BH131" s="53"/>
      <c r="BI131" s="53">
        <v>0</v>
      </c>
      <c r="BJ131" s="53"/>
      <c r="BK131" s="53">
        <f>73862+82311</f>
        <v>156173</v>
      </c>
      <c r="BL131" s="53"/>
      <c r="BM131" s="53">
        <f t="shared" si="31"/>
        <v>30720173</v>
      </c>
      <c r="BN131" s="54" t="s">
        <v>347</v>
      </c>
      <c r="BR131" s="51"/>
      <c r="BS131" s="53"/>
      <c r="BT131" s="53"/>
      <c r="BU131" s="53"/>
      <c r="BV131" s="53"/>
      <c r="BW131" s="53"/>
      <c r="BX131" s="45"/>
      <c r="BY131" s="45"/>
      <c r="BZ131" s="53"/>
      <c r="CA131" s="53"/>
      <c r="CB131" s="53"/>
      <c r="CC131" s="53"/>
      <c r="CD131" s="53"/>
      <c r="CE131" s="53"/>
      <c r="CF131" s="35"/>
      <c r="CH131" s="35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4"/>
    </row>
    <row r="132" spans="1:98" s="55" customFormat="1" ht="12.75" customHeight="1">
      <c r="A132" s="35" t="s">
        <v>161</v>
      </c>
      <c r="C132" s="35" t="s">
        <v>15</v>
      </c>
      <c r="D132" s="44"/>
      <c r="E132" s="53">
        <f t="shared" si="35"/>
        <v>6009578</v>
      </c>
      <c r="F132" s="53"/>
      <c r="G132" s="53">
        <v>44372977</v>
      </c>
      <c r="H132" s="53"/>
      <c r="I132" s="53">
        <v>50382555</v>
      </c>
      <c r="J132" s="53"/>
      <c r="K132" s="53">
        <f t="shared" si="33"/>
        <v>493070</v>
      </c>
      <c r="L132" s="53"/>
      <c r="M132" s="53">
        <v>30559404</v>
      </c>
      <c r="N132" s="53"/>
      <c r="O132" s="53">
        <v>31052474</v>
      </c>
      <c r="P132" s="53"/>
      <c r="Q132" s="53">
        <v>114118971</v>
      </c>
      <c r="R132" s="53"/>
      <c r="S132" s="53">
        <v>0</v>
      </c>
      <c r="T132" s="53"/>
      <c r="U132" s="53">
        <v>521110</v>
      </c>
      <c r="V132" s="53"/>
      <c r="W132" s="53">
        <f t="shared" si="29"/>
        <v>114640081</v>
      </c>
      <c r="X132" s="53"/>
      <c r="Y132" s="35" t="s">
        <v>161</v>
      </c>
      <c r="AA132" s="35" t="s">
        <v>15</v>
      </c>
      <c r="AB132" s="35"/>
      <c r="AC132" s="53">
        <v>8325275</v>
      </c>
      <c r="AD132" s="53"/>
      <c r="AE132" s="53">
        <f>6814689-1509296</f>
        <v>5305393</v>
      </c>
      <c r="AF132" s="53"/>
      <c r="AG132" s="53">
        <v>1509296</v>
      </c>
      <c r="AH132" s="53"/>
      <c r="AI132" s="45">
        <f t="shared" si="34"/>
        <v>1510586</v>
      </c>
      <c r="AJ132" s="45"/>
      <c r="AK132" s="53">
        <v>-442988</v>
      </c>
      <c r="AL132" s="45"/>
      <c r="AM132" s="53">
        <v>0</v>
      </c>
      <c r="AN132" s="53"/>
      <c r="AO132" s="53">
        <v>0</v>
      </c>
      <c r="AP132" s="53"/>
      <c r="AQ132" s="53">
        <v>0</v>
      </c>
      <c r="AR132" s="53"/>
      <c r="AS132" s="45">
        <f t="shared" si="36"/>
        <v>1067598</v>
      </c>
      <c r="AT132" s="45"/>
      <c r="AU132" s="53">
        <v>0</v>
      </c>
      <c r="AV132" s="53"/>
      <c r="AW132" s="53">
        <v>0</v>
      </c>
      <c r="AX132" s="53"/>
      <c r="AY132" s="53">
        <f t="shared" si="30"/>
        <v>5516508</v>
      </c>
      <c r="AZ132" s="53"/>
      <c r="BA132" s="35" t="s">
        <v>161</v>
      </c>
      <c r="BC132" s="35" t="s">
        <v>15</v>
      </c>
      <c r="BD132" s="53"/>
      <c r="BE132" s="53">
        <v>0</v>
      </c>
      <c r="BF132" s="53"/>
      <c r="BG132" s="53">
        <v>0</v>
      </c>
      <c r="BH132" s="53"/>
      <c r="BI132" s="53">
        <f>30182614+71392</f>
        <v>30254006</v>
      </c>
      <c r="BJ132" s="53"/>
      <c r="BK132" s="53">
        <f>376790+27679</f>
        <v>404469</v>
      </c>
      <c r="BL132" s="53"/>
      <c r="BM132" s="53">
        <f t="shared" si="31"/>
        <v>30658475</v>
      </c>
      <c r="BN132" s="54" t="s">
        <v>347</v>
      </c>
      <c r="BR132" s="51"/>
      <c r="BS132" s="53"/>
      <c r="BT132" s="53"/>
      <c r="BU132" s="53"/>
      <c r="BV132" s="53"/>
      <c r="BW132" s="53"/>
      <c r="BX132" s="45"/>
      <c r="BY132" s="45"/>
      <c r="BZ132" s="53"/>
      <c r="CA132" s="53"/>
      <c r="CB132" s="53"/>
      <c r="CC132" s="53"/>
      <c r="CD132" s="53"/>
      <c r="CE132" s="53"/>
      <c r="CF132" s="35"/>
      <c r="CH132" s="35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4"/>
    </row>
    <row r="133" spans="1:98" s="55" customFormat="1" ht="12.75" customHeight="1">
      <c r="A133" s="35" t="s">
        <v>162</v>
      </c>
      <c r="B133" s="51"/>
      <c r="C133" s="35" t="s">
        <v>163</v>
      </c>
      <c r="D133" s="44"/>
      <c r="E133" s="53">
        <f t="shared" si="35"/>
        <v>52130219</v>
      </c>
      <c r="F133" s="53"/>
      <c r="G133" s="53">
        <v>3871953</v>
      </c>
      <c r="H133" s="53"/>
      <c r="I133" s="53">
        <v>56002172</v>
      </c>
      <c r="J133" s="53"/>
      <c r="K133" s="53">
        <f t="shared" si="33"/>
        <v>130495</v>
      </c>
      <c r="L133" s="53"/>
      <c r="M133" s="53">
        <v>103946</v>
      </c>
      <c r="N133" s="53"/>
      <c r="O133" s="53">
        <v>234441</v>
      </c>
      <c r="P133" s="53"/>
      <c r="Q133" s="53">
        <v>3871953</v>
      </c>
      <c r="R133" s="53"/>
      <c r="S133" s="53">
        <v>0</v>
      </c>
      <c r="T133" s="53"/>
      <c r="U133" s="53">
        <v>1495778</v>
      </c>
      <c r="V133" s="53"/>
      <c r="W133" s="53">
        <f t="shared" si="29"/>
        <v>5367731</v>
      </c>
      <c r="X133" s="53"/>
      <c r="Y133" s="35" t="s">
        <v>162</v>
      </c>
      <c r="AA133" s="35" t="s">
        <v>163</v>
      </c>
      <c r="AB133" s="35"/>
      <c r="AC133" s="53">
        <v>2817549</v>
      </c>
      <c r="AD133" s="53"/>
      <c r="AE133" s="53">
        <f>1947187-292439</f>
        <v>1654748</v>
      </c>
      <c r="AF133" s="53"/>
      <c r="AG133" s="53">
        <v>292439</v>
      </c>
      <c r="AH133" s="53"/>
      <c r="AI133" s="45">
        <f t="shared" si="34"/>
        <v>870362</v>
      </c>
      <c r="AJ133" s="45"/>
      <c r="AK133" s="53">
        <v>0</v>
      </c>
      <c r="AL133" s="45"/>
      <c r="AM133" s="53">
        <v>0</v>
      </c>
      <c r="AN133" s="53"/>
      <c r="AO133" s="53">
        <v>24100</v>
      </c>
      <c r="AP133" s="53"/>
      <c r="AQ133" s="53">
        <v>0</v>
      </c>
      <c r="AR133" s="53"/>
      <c r="AS133" s="45">
        <f t="shared" si="36"/>
        <v>846262</v>
      </c>
      <c r="AT133" s="45"/>
      <c r="AU133" s="53">
        <v>0</v>
      </c>
      <c r="AV133" s="53"/>
      <c r="AW133" s="53">
        <v>0</v>
      </c>
      <c r="AX133" s="53"/>
      <c r="AY133" s="53">
        <f t="shared" si="30"/>
        <v>51999724</v>
      </c>
      <c r="AZ133" s="53"/>
      <c r="BA133" s="35" t="s">
        <v>162</v>
      </c>
      <c r="BC133" s="35" t="s">
        <v>163</v>
      </c>
      <c r="BD133" s="53"/>
      <c r="BE133" s="53">
        <v>0</v>
      </c>
      <c r="BF133" s="53"/>
      <c r="BG133" s="53">
        <v>0</v>
      </c>
      <c r="BH133" s="53"/>
      <c r="BI133" s="53">
        <v>0</v>
      </c>
      <c r="BJ133" s="53"/>
      <c r="BK133" s="53">
        <v>103946</v>
      </c>
      <c r="BL133" s="53"/>
      <c r="BM133" s="53">
        <f t="shared" si="31"/>
        <v>103946</v>
      </c>
      <c r="BN133" s="54" t="s">
        <v>347</v>
      </c>
      <c r="BO133" s="55" t="s">
        <v>407</v>
      </c>
      <c r="BR133" s="51"/>
      <c r="BS133" s="53"/>
      <c r="BT133" s="53"/>
      <c r="BU133" s="53"/>
      <c r="BV133" s="53"/>
      <c r="BW133" s="53"/>
      <c r="BX133" s="45"/>
      <c r="BY133" s="45"/>
      <c r="BZ133" s="53"/>
      <c r="CA133" s="53"/>
      <c r="CB133" s="53"/>
      <c r="CC133" s="53"/>
      <c r="CD133" s="53"/>
      <c r="CE133" s="53"/>
      <c r="CF133" s="35"/>
      <c r="CH133" s="35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4"/>
    </row>
    <row r="134" spans="1:98" s="140" customFormat="1" ht="12.75" hidden="1" customHeight="1">
      <c r="A134" s="126" t="s">
        <v>164</v>
      </c>
      <c r="B134" s="124"/>
      <c r="C134" s="126" t="s">
        <v>27</v>
      </c>
      <c r="D134" s="121"/>
      <c r="E134" s="53">
        <f t="shared" si="35"/>
        <v>0</v>
      </c>
      <c r="F134" s="53"/>
      <c r="G134" s="53">
        <v>0</v>
      </c>
      <c r="H134" s="53"/>
      <c r="I134" s="53">
        <v>0</v>
      </c>
      <c r="J134" s="53"/>
      <c r="K134" s="53">
        <f t="shared" si="33"/>
        <v>0</v>
      </c>
      <c r="L134" s="53"/>
      <c r="M134" s="53">
        <v>0</v>
      </c>
      <c r="N134" s="53"/>
      <c r="O134" s="53">
        <v>0</v>
      </c>
      <c r="P134" s="53"/>
      <c r="Q134" s="53">
        <v>0</v>
      </c>
      <c r="R134" s="53"/>
      <c r="S134" s="53">
        <v>0</v>
      </c>
      <c r="T134" s="53"/>
      <c r="U134" s="53">
        <v>0</v>
      </c>
      <c r="V134" s="53"/>
      <c r="W134" s="53">
        <f t="shared" si="29"/>
        <v>0</v>
      </c>
      <c r="X134" s="137"/>
      <c r="Y134" s="126" t="s">
        <v>164</v>
      </c>
      <c r="AA134" s="126" t="s">
        <v>27</v>
      </c>
      <c r="AB134" s="126"/>
      <c r="AC134" s="53">
        <v>0</v>
      </c>
      <c r="AD134" s="53"/>
      <c r="AE134" s="53">
        <v>0</v>
      </c>
      <c r="AF134" s="53"/>
      <c r="AG134" s="53">
        <v>0</v>
      </c>
      <c r="AH134" s="53"/>
      <c r="AI134" s="45">
        <f t="shared" si="34"/>
        <v>0</v>
      </c>
      <c r="AJ134" s="45"/>
      <c r="AK134" s="53">
        <v>0</v>
      </c>
      <c r="AL134" s="45"/>
      <c r="AM134" s="53">
        <v>0</v>
      </c>
      <c r="AN134" s="53"/>
      <c r="AO134" s="53">
        <v>0</v>
      </c>
      <c r="AP134" s="53"/>
      <c r="AQ134" s="53">
        <v>0</v>
      </c>
      <c r="AR134" s="53"/>
      <c r="AS134" s="45">
        <f t="shared" si="36"/>
        <v>0</v>
      </c>
      <c r="AT134" s="45"/>
      <c r="AU134" s="53">
        <v>0</v>
      </c>
      <c r="AV134" s="53"/>
      <c r="AW134" s="53">
        <v>0</v>
      </c>
      <c r="AX134" s="53"/>
      <c r="AY134" s="53">
        <f t="shared" si="30"/>
        <v>0</v>
      </c>
      <c r="AZ134" s="53"/>
      <c r="BA134" s="126" t="s">
        <v>164</v>
      </c>
      <c r="BC134" s="126" t="s">
        <v>27</v>
      </c>
      <c r="BD134" s="137"/>
      <c r="BE134" s="53">
        <v>0</v>
      </c>
      <c r="BF134" s="53"/>
      <c r="BG134" s="53">
        <v>0</v>
      </c>
      <c r="BH134" s="53"/>
      <c r="BI134" s="53">
        <v>0</v>
      </c>
      <c r="BJ134" s="53"/>
      <c r="BK134" s="53">
        <v>0</v>
      </c>
      <c r="BL134" s="137"/>
      <c r="BM134" s="137">
        <f t="shared" si="31"/>
        <v>0</v>
      </c>
      <c r="BN134" s="139" t="s">
        <v>347</v>
      </c>
      <c r="BO134" s="126" t="s">
        <v>366</v>
      </c>
      <c r="BR134" s="124"/>
      <c r="BS134" s="137"/>
      <c r="BT134" s="137"/>
      <c r="BU134" s="137"/>
      <c r="BV134" s="137"/>
      <c r="BW134" s="137"/>
      <c r="BX134" s="127"/>
      <c r="BY134" s="127"/>
      <c r="BZ134" s="137"/>
      <c r="CA134" s="137"/>
      <c r="CB134" s="137"/>
      <c r="CC134" s="137"/>
      <c r="CD134" s="137"/>
      <c r="CE134" s="137"/>
      <c r="CF134" s="126"/>
      <c r="CH134" s="126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9"/>
      <c r="CT134" s="126"/>
    </row>
    <row r="135" spans="1:98" s="55" customFormat="1" ht="12.75" hidden="1" customHeight="1">
      <c r="A135" s="35" t="s">
        <v>53</v>
      </c>
      <c r="B135" s="51"/>
      <c r="C135" s="35" t="s">
        <v>53</v>
      </c>
      <c r="D135" s="44"/>
      <c r="E135" s="53">
        <f t="shared" si="35"/>
        <v>0</v>
      </c>
      <c r="F135" s="53"/>
      <c r="G135" s="53">
        <v>0</v>
      </c>
      <c r="H135" s="53"/>
      <c r="I135" s="53">
        <v>0</v>
      </c>
      <c r="J135" s="53"/>
      <c r="K135" s="53">
        <f t="shared" si="33"/>
        <v>0</v>
      </c>
      <c r="L135" s="53"/>
      <c r="M135" s="53">
        <v>0</v>
      </c>
      <c r="N135" s="53"/>
      <c r="O135" s="53">
        <v>0</v>
      </c>
      <c r="P135" s="53"/>
      <c r="Q135" s="53">
        <v>0</v>
      </c>
      <c r="R135" s="53"/>
      <c r="S135" s="53">
        <v>0</v>
      </c>
      <c r="T135" s="53"/>
      <c r="U135" s="53">
        <v>0</v>
      </c>
      <c r="V135" s="53"/>
      <c r="W135" s="53">
        <f t="shared" si="29"/>
        <v>0</v>
      </c>
      <c r="X135" s="53"/>
      <c r="Y135" s="35" t="s">
        <v>53</v>
      </c>
      <c r="AA135" s="35" t="s">
        <v>53</v>
      </c>
      <c r="AB135" s="35"/>
      <c r="AC135" s="53">
        <v>0</v>
      </c>
      <c r="AD135" s="53"/>
      <c r="AE135" s="53">
        <v>0</v>
      </c>
      <c r="AF135" s="53"/>
      <c r="AG135" s="53">
        <v>0</v>
      </c>
      <c r="AH135" s="53"/>
      <c r="AI135" s="45">
        <f t="shared" si="34"/>
        <v>0</v>
      </c>
      <c r="AJ135" s="45"/>
      <c r="AK135" s="53">
        <v>0</v>
      </c>
      <c r="AL135" s="45"/>
      <c r="AM135" s="53">
        <v>0</v>
      </c>
      <c r="AN135" s="53"/>
      <c r="AO135" s="53">
        <v>0</v>
      </c>
      <c r="AP135" s="53"/>
      <c r="AQ135" s="53">
        <v>0</v>
      </c>
      <c r="AR135" s="53"/>
      <c r="AS135" s="45">
        <f t="shared" si="36"/>
        <v>0</v>
      </c>
      <c r="AT135" s="45"/>
      <c r="AU135" s="53">
        <v>0</v>
      </c>
      <c r="AV135" s="53"/>
      <c r="AW135" s="53">
        <v>0</v>
      </c>
      <c r="AX135" s="53"/>
      <c r="AY135" s="53">
        <f t="shared" si="30"/>
        <v>0</v>
      </c>
      <c r="AZ135" s="53"/>
      <c r="BA135" s="35" t="s">
        <v>53</v>
      </c>
      <c r="BC135" s="35" t="s">
        <v>53</v>
      </c>
      <c r="BD135" s="53"/>
      <c r="BE135" s="53">
        <v>0</v>
      </c>
      <c r="BF135" s="53"/>
      <c r="BG135" s="53">
        <v>0</v>
      </c>
      <c r="BH135" s="53"/>
      <c r="BI135" s="53">
        <v>0</v>
      </c>
      <c r="BJ135" s="53"/>
      <c r="BK135" s="53">
        <v>0</v>
      </c>
      <c r="BL135" s="53"/>
      <c r="BM135" s="53">
        <f t="shared" si="31"/>
        <v>0</v>
      </c>
      <c r="BN135" s="54" t="s">
        <v>347</v>
      </c>
      <c r="BR135" s="51"/>
      <c r="BS135" s="53"/>
      <c r="BT135" s="53"/>
      <c r="BU135" s="53"/>
      <c r="BV135" s="53"/>
      <c r="BW135" s="53"/>
      <c r="BX135" s="45"/>
      <c r="BY135" s="45"/>
      <c r="BZ135" s="53"/>
      <c r="CA135" s="53"/>
      <c r="CB135" s="53"/>
      <c r="CC135" s="53"/>
      <c r="CD135" s="53"/>
      <c r="CE135" s="53"/>
      <c r="CF135" s="35"/>
      <c r="CH135" s="35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4"/>
    </row>
    <row r="136" spans="1:98" s="140" customFormat="1" ht="12.75" hidden="1" customHeight="1">
      <c r="A136" s="126" t="s">
        <v>165</v>
      </c>
      <c r="B136" s="124"/>
      <c r="C136" s="126" t="s">
        <v>92</v>
      </c>
      <c r="D136" s="121"/>
      <c r="E136" s="53">
        <f t="shared" si="35"/>
        <v>0</v>
      </c>
      <c r="F136" s="53"/>
      <c r="G136" s="53">
        <v>0</v>
      </c>
      <c r="H136" s="53"/>
      <c r="I136" s="53">
        <v>0</v>
      </c>
      <c r="J136" s="53"/>
      <c r="K136" s="53">
        <f t="shared" si="33"/>
        <v>0</v>
      </c>
      <c r="L136" s="53"/>
      <c r="M136" s="53">
        <v>0</v>
      </c>
      <c r="N136" s="53"/>
      <c r="O136" s="53">
        <v>0</v>
      </c>
      <c r="P136" s="53"/>
      <c r="Q136" s="53">
        <v>0</v>
      </c>
      <c r="R136" s="53"/>
      <c r="S136" s="53">
        <v>0</v>
      </c>
      <c r="T136" s="53"/>
      <c r="U136" s="53">
        <v>0</v>
      </c>
      <c r="V136" s="53"/>
      <c r="W136" s="53">
        <f t="shared" si="29"/>
        <v>0</v>
      </c>
      <c r="X136" s="137"/>
      <c r="Y136" s="126" t="s">
        <v>165</v>
      </c>
      <c r="AA136" s="126" t="s">
        <v>92</v>
      </c>
      <c r="AB136" s="126"/>
      <c r="AC136" s="53">
        <v>0</v>
      </c>
      <c r="AD136" s="53"/>
      <c r="AE136" s="53">
        <v>0</v>
      </c>
      <c r="AF136" s="53"/>
      <c r="AG136" s="53">
        <v>0</v>
      </c>
      <c r="AH136" s="53"/>
      <c r="AI136" s="45">
        <f t="shared" si="34"/>
        <v>0</v>
      </c>
      <c r="AJ136" s="45"/>
      <c r="AK136" s="53">
        <v>0</v>
      </c>
      <c r="AL136" s="45"/>
      <c r="AM136" s="53">
        <v>0</v>
      </c>
      <c r="AN136" s="53"/>
      <c r="AO136" s="53">
        <v>0</v>
      </c>
      <c r="AP136" s="53"/>
      <c r="AQ136" s="53">
        <v>0</v>
      </c>
      <c r="AR136" s="53"/>
      <c r="AS136" s="45">
        <f t="shared" si="36"/>
        <v>0</v>
      </c>
      <c r="AT136" s="45"/>
      <c r="AU136" s="53">
        <v>0</v>
      </c>
      <c r="AV136" s="53"/>
      <c r="AW136" s="53">
        <v>0</v>
      </c>
      <c r="AX136" s="53"/>
      <c r="AY136" s="53">
        <f t="shared" si="30"/>
        <v>0</v>
      </c>
      <c r="AZ136" s="53"/>
      <c r="BA136" s="126" t="s">
        <v>165</v>
      </c>
      <c r="BC136" s="126" t="s">
        <v>92</v>
      </c>
      <c r="BD136" s="137"/>
      <c r="BE136" s="53">
        <v>0</v>
      </c>
      <c r="BF136" s="53"/>
      <c r="BG136" s="53">
        <v>0</v>
      </c>
      <c r="BH136" s="53"/>
      <c r="BI136" s="53">
        <v>0</v>
      </c>
      <c r="BJ136" s="53"/>
      <c r="BK136" s="53">
        <v>0</v>
      </c>
      <c r="BL136" s="137"/>
      <c r="BM136" s="137">
        <f t="shared" si="31"/>
        <v>0</v>
      </c>
      <c r="BN136" s="139" t="s">
        <v>347</v>
      </c>
      <c r="BR136" s="124"/>
      <c r="BS136" s="137"/>
      <c r="BT136" s="137"/>
      <c r="BU136" s="137"/>
      <c r="BV136" s="137"/>
      <c r="BW136" s="137"/>
      <c r="BX136" s="127"/>
      <c r="BY136" s="127"/>
      <c r="BZ136" s="137"/>
      <c r="CA136" s="137"/>
      <c r="CB136" s="137"/>
      <c r="CC136" s="137"/>
      <c r="CD136" s="137"/>
      <c r="CE136" s="137"/>
      <c r="CF136" s="126"/>
      <c r="CH136" s="126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9"/>
    </row>
    <row r="137" spans="1:98" s="140" customFormat="1" ht="12.75" hidden="1" customHeight="1">
      <c r="A137" s="126" t="s">
        <v>166</v>
      </c>
      <c r="B137" s="124"/>
      <c r="C137" s="126" t="s">
        <v>92</v>
      </c>
      <c r="D137" s="121"/>
      <c r="E137" s="53">
        <f t="shared" si="35"/>
        <v>0</v>
      </c>
      <c r="F137" s="53"/>
      <c r="G137" s="53">
        <v>0</v>
      </c>
      <c r="H137" s="53"/>
      <c r="I137" s="53">
        <v>0</v>
      </c>
      <c r="J137" s="53"/>
      <c r="K137" s="53">
        <f t="shared" si="33"/>
        <v>0</v>
      </c>
      <c r="L137" s="53"/>
      <c r="M137" s="53">
        <v>0</v>
      </c>
      <c r="N137" s="53"/>
      <c r="O137" s="53">
        <v>0</v>
      </c>
      <c r="P137" s="53"/>
      <c r="Q137" s="53">
        <v>0</v>
      </c>
      <c r="R137" s="53"/>
      <c r="S137" s="53">
        <v>0</v>
      </c>
      <c r="T137" s="53"/>
      <c r="U137" s="53">
        <v>0</v>
      </c>
      <c r="V137" s="53"/>
      <c r="W137" s="53">
        <f t="shared" si="29"/>
        <v>0</v>
      </c>
      <c r="X137" s="137"/>
      <c r="Y137" s="126" t="s">
        <v>166</v>
      </c>
      <c r="AA137" s="126" t="s">
        <v>92</v>
      </c>
      <c r="AB137" s="126"/>
      <c r="AC137" s="53">
        <v>0</v>
      </c>
      <c r="AD137" s="53"/>
      <c r="AE137" s="53">
        <v>0</v>
      </c>
      <c r="AF137" s="53"/>
      <c r="AG137" s="53">
        <v>0</v>
      </c>
      <c r="AH137" s="53"/>
      <c r="AI137" s="45">
        <f t="shared" si="34"/>
        <v>0</v>
      </c>
      <c r="AJ137" s="45"/>
      <c r="AK137" s="53">
        <v>0</v>
      </c>
      <c r="AL137" s="45"/>
      <c r="AM137" s="53">
        <v>0</v>
      </c>
      <c r="AN137" s="53"/>
      <c r="AO137" s="53">
        <v>0</v>
      </c>
      <c r="AP137" s="53"/>
      <c r="AQ137" s="53">
        <v>0</v>
      </c>
      <c r="AR137" s="53"/>
      <c r="AS137" s="45">
        <f t="shared" si="36"/>
        <v>0</v>
      </c>
      <c r="AT137" s="45"/>
      <c r="AU137" s="53">
        <v>0</v>
      </c>
      <c r="AV137" s="53"/>
      <c r="AW137" s="53">
        <v>0</v>
      </c>
      <c r="AX137" s="53"/>
      <c r="AY137" s="53">
        <f t="shared" si="30"/>
        <v>0</v>
      </c>
      <c r="AZ137" s="53"/>
      <c r="BA137" s="126" t="s">
        <v>166</v>
      </c>
      <c r="BC137" s="126" t="s">
        <v>92</v>
      </c>
      <c r="BD137" s="137"/>
      <c r="BE137" s="53">
        <v>0</v>
      </c>
      <c r="BF137" s="53"/>
      <c r="BG137" s="53">
        <v>0</v>
      </c>
      <c r="BH137" s="53"/>
      <c r="BI137" s="53">
        <v>0</v>
      </c>
      <c r="BJ137" s="53"/>
      <c r="BK137" s="53">
        <v>0</v>
      </c>
      <c r="BL137" s="137"/>
      <c r="BM137" s="137">
        <f t="shared" si="31"/>
        <v>0</v>
      </c>
      <c r="BN137" s="139"/>
      <c r="BR137" s="124"/>
      <c r="BS137" s="137"/>
      <c r="BT137" s="137"/>
      <c r="BU137" s="137"/>
      <c r="BV137" s="137"/>
      <c r="BW137" s="137"/>
      <c r="BX137" s="127"/>
      <c r="BY137" s="127"/>
      <c r="BZ137" s="137"/>
      <c r="CA137" s="137"/>
      <c r="CB137" s="137"/>
      <c r="CC137" s="137"/>
      <c r="CD137" s="137"/>
      <c r="CE137" s="137"/>
      <c r="CF137" s="126"/>
      <c r="CH137" s="126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9"/>
    </row>
    <row r="138" spans="1:98" s="55" customFormat="1" ht="12.75" customHeight="1">
      <c r="A138" s="35" t="s">
        <v>167</v>
      </c>
      <c r="B138" s="51"/>
      <c r="C138" s="35" t="s">
        <v>66</v>
      </c>
      <c r="D138" s="44"/>
      <c r="E138" s="53">
        <f t="shared" si="35"/>
        <v>2649462</v>
      </c>
      <c r="F138" s="53"/>
      <c r="G138" s="53">
        <v>14006990</v>
      </c>
      <c r="H138" s="53"/>
      <c r="I138" s="53">
        <v>16656452</v>
      </c>
      <c r="J138" s="53"/>
      <c r="K138" s="53">
        <f t="shared" si="33"/>
        <v>496034</v>
      </c>
      <c r="L138" s="53"/>
      <c r="M138" s="53">
        <v>4638962</v>
      </c>
      <c r="N138" s="53"/>
      <c r="O138" s="53">
        <v>5134996</v>
      </c>
      <c r="P138" s="53"/>
      <c r="Q138" s="53">
        <v>8992464</v>
      </c>
      <c r="R138" s="53"/>
      <c r="S138" s="53">
        <v>550415</v>
      </c>
      <c r="T138" s="53"/>
      <c r="U138" s="53">
        <v>1978577</v>
      </c>
      <c r="V138" s="53"/>
      <c r="W138" s="53">
        <f t="shared" si="29"/>
        <v>11521456</v>
      </c>
      <c r="X138" s="53"/>
      <c r="Y138" s="35" t="s">
        <v>167</v>
      </c>
      <c r="AA138" s="35" t="s">
        <v>66</v>
      </c>
      <c r="AB138" s="35"/>
      <c r="AC138" s="53">
        <v>1710111</v>
      </c>
      <c r="AD138" s="53"/>
      <c r="AE138" s="53">
        <f>2327106-469213</f>
        <v>1857893</v>
      </c>
      <c r="AF138" s="53"/>
      <c r="AG138" s="53">
        <v>469213</v>
      </c>
      <c r="AH138" s="53"/>
      <c r="AI138" s="45">
        <f t="shared" si="34"/>
        <v>-616995</v>
      </c>
      <c r="AJ138" s="45"/>
      <c r="AK138" s="53">
        <v>299758</v>
      </c>
      <c r="AL138" s="45"/>
      <c r="AM138" s="53">
        <v>0</v>
      </c>
      <c r="AN138" s="53"/>
      <c r="AO138" s="53">
        <v>0</v>
      </c>
      <c r="AP138" s="53"/>
      <c r="AQ138" s="53">
        <v>0</v>
      </c>
      <c r="AR138" s="53"/>
      <c r="AS138" s="45">
        <f t="shared" si="36"/>
        <v>-317237</v>
      </c>
      <c r="AT138" s="45"/>
      <c r="AU138" s="53">
        <v>0</v>
      </c>
      <c r="AV138" s="53"/>
      <c r="AW138" s="53">
        <v>0</v>
      </c>
      <c r="AX138" s="53"/>
      <c r="AY138" s="53">
        <f t="shared" si="30"/>
        <v>2153428</v>
      </c>
      <c r="AZ138" s="53"/>
      <c r="BA138" s="35" t="s">
        <v>167</v>
      </c>
      <c r="BC138" s="35" t="s">
        <v>66</v>
      </c>
      <c r="BD138" s="53"/>
      <c r="BE138" s="53">
        <f>4633964+380562</f>
        <v>5014526</v>
      </c>
      <c r="BF138" s="53"/>
      <c r="BG138" s="53">
        <v>0</v>
      </c>
      <c r="BH138" s="53"/>
      <c r="BI138" s="53">
        <v>0</v>
      </c>
      <c r="BJ138" s="53"/>
      <c r="BK138" s="53">
        <f>4988+42220</f>
        <v>47208</v>
      </c>
      <c r="BL138" s="53"/>
      <c r="BM138" s="53">
        <f t="shared" si="31"/>
        <v>5061734</v>
      </c>
      <c r="BN138" s="54" t="s">
        <v>347</v>
      </c>
      <c r="BR138" s="51"/>
      <c r="BS138" s="53"/>
      <c r="BT138" s="53"/>
      <c r="BU138" s="53"/>
      <c r="BV138" s="53"/>
      <c r="BW138" s="53"/>
      <c r="BX138" s="45"/>
      <c r="BY138" s="45"/>
      <c r="BZ138" s="53"/>
      <c r="CA138" s="53"/>
      <c r="CB138" s="53"/>
      <c r="CC138" s="53"/>
      <c r="CD138" s="53"/>
      <c r="CE138" s="53"/>
      <c r="CF138" s="35"/>
      <c r="CH138" s="35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4"/>
    </row>
    <row r="139" spans="1:98" s="140" customFormat="1" ht="12.75" hidden="1" customHeight="1">
      <c r="A139" s="121" t="s">
        <v>168</v>
      </c>
      <c r="B139" s="124"/>
      <c r="C139" s="121" t="s">
        <v>27</v>
      </c>
      <c r="D139" s="121"/>
      <c r="E139" s="53">
        <f t="shared" si="35"/>
        <v>0</v>
      </c>
      <c r="F139" s="53"/>
      <c r="G139" s="53">
        <v>0</v>
      </c>
      <c r="H139" s="53"/>
      <c r="I139" s="53">
        <v>0</v>
      </c>
      <c r="J139" s="53"/>
      <c r="K139" s="53">
        <f t="shared" si="33"/>
        <v>0</v>
      </c>
      <c r="L139" s="53"/>
      <c r="M139" s="53">
        <v>0</v>
      </c>
      <c r="N139" s="53"/>
      <c r="O139" s="53">
        <v>0</v>
      </c>
      <c r="P139" s="53"/>
      <c r="Q139" s="53">
        <v>0</v>
      </c>
      <c r="R139" s="53"/>
      <c r="S139" s="53">
        <v>0</v>
      </c>
      <c r="T139" s="53"/>
      <c r="U139" s="53">
        <v>0</v>
      </c>
      <c r="V139" s="53"/>
      <c r="W139" s="53">
        <f t="shared" si="29"/>
        <v>0</v>
      </c>
      <c r="X139" s="137"/>
      <c r="Y139" s="121" t="s">
        <v>168</v>
      </c>
      <c r="AA139" s="121" t="s">
        <v>27</v>
      </c>
      <c r="AB139" s="121"/>
      <c r="AC139" s="53">
        <v>0</v>
      </c>
      <c r="AD139" s="53"/>
      <c r="AE139" s="53">
        <v>0</v>
      </c>
      <c r="AF139" s="53"/>
      <c r="AG139" s="53">
        <v>0</v>
      </c>
      <c r="AH139" s="53"/>
      <c r="AI139" s="45">
        <f t="shared" si="34"/>
        <v>0</v>
      </c>
      <c r="AJ139" s="45"/>
      <c r="AK139" s="53">
        <v>0</v>
      </c>
      <c r="AL139" s="45"/>
      <c r="AM139" s="53">
        <v>0</v>
      </c>
      <c r="AN139" s="53"/>
      <c r="AO139" s="53">
        <v>0</v>
      </c>
      <c r="AP139" s="53"/>
      <c r="AQ139" s="53">
        <v>0</v>
      </c>
      <c r="AR139" s="53"/>
      <c r="AS139" s="45">
        <f t="shared" si="36"/>
        <v>0</v>
      </c>
      <c r="AT139" s="45"/>
      <c r="AU139" s="53">
        <v>0</v>
      </c>
      <c r="AV139" s="53"/>
      <c r="AW139" s="53">
        <v>0</v>
      </c>
      <c r="AX139" s="53"/>
      <c r="AY139" s="53">
        <f t="shared" si="30"/>
        <v>0</v>
      </c>
      <c r="AZ139" s="53"/>
      <c r="BA139" s="121" t="s">
        <v>168</v>
      </c>
      <c r="BC139" s="121" t="s">
        <v>27</v>
      </c>
      <c r="BD139" s="137"/>
      <c r="BE139" s="53">
        <v>0</v>
      </c>
      <c r="BF139" s="53"/>
      <c r="BG139" s="53">
        <v>0</v>
      </c>
      <c r="BH139" s="53"/>
      <c r="BI139" s="53">
        <v>0</v>
      </c>
      <c r="BJ139" s="53"/>
      <c r="BK139" s="53">
        <v>0</v>
      </c>
      <c r="BL139" s="137"/>
      <c r="BM139" s="137">
        <f t="shared" si="31"/>
        <v>0</v>
      </c>
      <c r="BN139" s="139" t="s">
        <v>347</v>
      </c>
      <c r="BR139" s="124"/>
      <c r="BS139" s="137"/>
      <c r="BT139" s="137"/>
      <c r="BU139" s="137"/>
      <c r="BV139" s="137"/>
      <c r="BW139" s="137"/>
      <c r="BX139" s="127"/>
      <c r="BY139" s="127"/>
      <c r="BZ139" s="137"/>
      <c r="CA139" s="137"/>
      <c r="CB139" s="137"/>
      <c r="CC139" s="137"/>
      <c r="CD139" s="137"/>
      <c r="CE139" s="137"/>
      <c r="CF139" s="126"/>
      <c r="CH139" s="126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9"/>
    </row>
    <row r="140" spans="1:98" s="55" customFormat="1" ht="12.75" customHeight="1">
      <c r="A140" s="35" t="s">
        <v>169</v>
      </c>
      <c r="B140" s="51"/>
      <c r="C140" s="35" t="s">
        <v>103</v>
      </c>
      <c r="D140" s="44"/>
      <c r="E140" s="53">
        <f t="shared" si="35"/>
        <v>5147991</v>
      </c>
      <c r="F140" s="53"/>
      <c r="G140" s="53">
        <v>33585848</v>
      </c>
      <c r="H140" s="53"/>
      <c r="I140" s="53">
        <v>38733839</v>
      </c>
      <c r="J140" s="53"/>
      <c r="K140" s="53">
        <f t="shared" si="33"/>
        <v>1106847</v>
      </c>
      <c r="L140" s="53"/>
      <c r="M140" s="53">
        <v>9310591</v>
      </c>
      <c r="N140" s="53"/>
      <c r="O140" s="53">
        <v>10417438</v>
      </c>
      <c r="P140" s="53"/>
      <c r="Q140" s="53">
        <v>23599617</v>
      </c>
      <c r="R140" s="53"/>
      <c r="S140" s="53">
        <v>699302</v>
      </c>
      <c r="T140" s="53"/>
      <c r="U140" s="53">
        <v>4017482</v>
      </c>
      <c r="V140" s="53"/>
      <c r="W140" s="53">
        <f t="shared" si="29"/>
        <v>28316401</v>
      </c>
      <c r="X140" s="53"/>
      <c r="Y140" s="35" t="s">
        <v>169</v>
      </c>
      <c r="AA140" s="35" t="s">
        <v>103</v>
      </c>
      <c r="AB140" s="35"/>
      <c r="AC140" s="53">
        <v>7865674</v>
      </c>
      <c r="AD140" s="53"/>
      <c r="AE140" s="53">
        <f>6776465-1612113</f>
        <v>5164352</v>
      </c>
      <c r="AF140" s="53"/>
      <c r="AG140" s="53">
        <v>1612113</v>
      </c>
      <c r="AH140" s="53"/>
      <c r="AI140" s="45">
        <f t="shared" si="34"/>
        <v>1089209</v>
      </c>
      <c r="AJ140" s="45"/>
      <c r="AK140" s="53">
        <v>-347732</v>
      </c>
      <c r="AL140" s="45"/>
      <c r="AM140" s="53">
        <v>0</v>
      </c>
      <c r="AN140" s="53"/>
      <c r="AO140" s="53">
        <v>29941</v>
      </c>
      <c r="AP140" s="53"/>
      <c r="AQ140" s="53">
        <v>0</v>
      </c>
      <c r="AR140" s="53"/>
      <c r="AS140" s="45">
        <f t="shared" si="36"/>
        <v>711536</v>
      </c>
      <c r="AT140" s="45"/>
      <c r="AU140" s="53">
        <v>0</v>
      </c>
      <c r="AV140" s="53"/>
      <c r="AW140" s="53">
        <v>0</v>
      </c>
      <c r="AX140" s="53"/>
      <c r="AY140" s="53">
        <f t="shared" si="30"/>
        <v>4041144</v>
      </c>
      <c r="AZ140" s="53"/>
      <c r="BA140" s="35" t="s">
        <v>169</v>
      </c>
      <c r="BC140" s="35" t="s">
        <v>103</v>
      </c>
      <c r="BD140" s="53"/>
      <c r="BE140" s="53">
        <f>6730000+310000</f>
        <v>7040000</v>
      </c>
      <c r="BF140" s="53"/>
      <c r="BG140" s="53">
        <v>0</v>
      </c>
      <c r="BH140" s="53"/>
      <c r="BI140" s="53">
        <v>0</v>
      </c>
      <c r="BJ140" s="53"/>
      <c r="BK140" s="53">
        <f>150497+2255935+135606+38553+389302+66791</f>
        <v>3036684</v>
      </c>
      <c r="BL140" s="53"/>
      <c r="BM140" s="53">
        <f t="shared" si="31"/>
        <v>10076684</v>
      </c>
      <c r="BN140" s="54" t="s">
        <v>347</v>
      </c>
      <c r="BR140" s="51"/>
      <c r="BS140" s="53"/>
      <c r="BT140" s="53"/>
      <c r="BU140" s="53"/>
      <c r="BV140" s="53"/>
      <c r="BW140" s="53"/>
      <c r="BX140" s="45"/>
      <c r="BY140" s="45"/>
      <c r="BZ140" s="53"/>
      <c r="CA140" s="53"/>
      <c r="CB140" s="53"/>
      <c r="CC140" s="53"/>
      <c r="CD140" s="53"/>
      <c r="CE140" s="53"/>
      <c r="CF140" s="35"/>
      <c r="CH140" s="35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4"/>
    </row>
    <row r="141" spans="1:98" s="55" customFormat="1" ht="12.75" customHeight="1">
      <c r="A141" s="35" t="s">
        <v>170</v>
      </c>
      <c r="B141" s="51"/>
      <c r="C141" s="35" t="s">
        <v>171</v>
      </c>
      <c r="D141" s="44"/>
      <c r="E141" s="53">
        <f t="shared" si="35"/>
        <v>2974920</v>
      </c>
      <c r="F141" s="53"/>
      <c r="G141" s="53">
        <v>10508807</v>
      </c>
      <c r="H141" s="53"/>
      <c r="I141" s="53">
        <v>13483727</v>
      </c>
      <c r="J141" s="53"/>
      <c r="K141" s="53">
        <f t="shared" si="33"/>
        <v>328804</v>
      </c>
      <c r="L141" s="53"/>
      <c r="M141" s="53">
        <v>3724866</v>
      </c>
      <c r="N141" s="53"/>
      <c r="O141" s="53">
        <v>4053670</v>
      </c>
      <c r="P141" s="53"/>
      <c r="Q141" s="53">
        <v>6517759</v>
      </c>
      <c r="R141" s="53"/>
      <c r="S141" s="53">
        <v>0</v>
      </c>
      <c r="T141" s="53"/>
      <c r="U141" s="53">
        <v>2912298</v>
      </c>
      <c r="V141" s="53"/>
      <c r="W141" s="53">
        <f t="shared" si="29"/>
        <v>9430057</v>
      </c>
      <c r="X141" s="53"/>
      <c r="Y141" s="35" t="s">
        <v>170</v>
      </c>
      <c r="AA141" s="35" t="s">
        <v>171</v>
      </c>
      <c r="AB141" s="35"/>
      <c r="AC141" s="53">
        <v>1045485</v>
      </c>
      <c r="AD141" s="53"/>
      <c r="AE141" s="53">
        <f>1029927-465352</f>
        <v>564575</v>
      </c>
      <c r="AF141" s="53"/>
      <c r="AG141" s="53">
        <v>465352</v>
      </c>
      <c r="AH141" s="53"/>
      <c r="AI141" s="45">
        <f t="shared" si="34"/>
        <v>15558</v>
      </c>
      <c r="AJ141" s="45"/>
      <c r="AK141" s="53">
        <v>351826</v>
      </c>
      <c r="AL141" s="45"/>
      <c r="AM141" s="53">
        <v>71864</v>
      </c>
      <c r="AN141" s="53"/>
      <c r="AO141" s="53">
        <v>0</v>
      </c>
      <c r="AP141" s="53"/>
      <c r="AQ141" s="53">
        <v>0</v>
      </c>
      <c r="AR141" s="53"/>
      <c r="AS141" s="45">
        <f t="shared" si="36"/>
        <v>439248</v>
      </c>
      <c r="AT141" s="45"/>
      <c r="AU141" s="53">
        <v>0</v>
      </c>
      <c r="AV141" s="53"/>
      <c r="AW141" s="53">
        <v>0</v>
      </c>
      <c r="AX141" s="53"/>
      <c r="AY141" s="53">
        <f t="shared" si="30"/>
        <v>2646116</v>
      </c>
      <c r="AZ141" s="53"/>
      <c r="BA141" s="35" t="s">
        <v>170</v>
      </c>
      <c r="BC141" s="35" t="s">
        <v>171</v>
      </c>
      <c r="BD141" s="53"/>
      <c r="BE141" s="53">
        <v>0</v>
      </c>
      <c r="BF141" s="53"/>
      <c r="BG141" s="53">
        <v>0</v>
      </c>
      <c r="BH141" s="53"/>
      <c r="BI141" s="53">
        <f>2506234+1208779+192830+83205</f>
        <v>3991048</v>
      </c>
      <c r="BJ141" s="53"/>
      <c r="BK141" s="53">
        <f>9853+16631</f>
        <v>26484</v>
      </c>
      <c r="BL141" s="53"/>
      <c r="BM141" s="53">
        <f t="shared" si="31"/>
        <v>4017532</v>
      </c>
      <c r="BN141" s="54" t="s">
        <v>347</v>
      </c>
      <c r="BR141" s="51"/>
      <c r="BS141" s="53"/>
      <c r="BT141" s="53"/>
      <c r="BU141" s="53"/>
      <c r="BV141" s="53"/>
      <c r="BW141" s="53"/>
      <c r="BX141" s="45"/>
      <c r="BY141" s="45"/>
      <c r="BZ141" s="53"/>
      <c r="CA141" s="53"/>
      <c r="CB141" s="53"/>
      <c r="CC141" s="53"/>
      <c r="CD141" s="53"/>
      <c r="CE141" s="53"/>
      <c r="CF141" s="35"/>
      <c r="CH141" s="35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4"/>
    </row>
    <row r="142" spans="1:98" s="55" customFormat="1" ht="12.75" customHeight="1">
      <c r="A142" s="35" t="s">
        <v>172</v>
      </c>
      <c r="B142" s="51"/>
      <c r="C142" s="35" t="s">
        <v>103</v>
      </c>
      <c r="D142" s="44"/>
      <c r="E142" s="53">
        <f t="shared" si="35"/>
        <v>515711</v>
      </c>
      <c r="F142" s="53"/>
      <c r="G142" s="53">
        <v>0</v>
      </c>
      <c r="H142" s="53"/>
      <c r="I142" s="53">
        <v>515711</v>
      </c>
      <c r="J142" s="53"/>
      <c r="K142" s="53">
        <f t="shared" si="33"/>
        <v>108907</v>
      </c>
      <c r="L142" s="53"/>
      <c r="M142" s="53">
        <v>0</v>
      </c>
      <c r="N142" s="53"/>
      <c r="O142" s="53">
        <v>108907</v>
      </c>
      <c r="P142" s="53"/>
      <c r="Q142" s="53">
        <v>0</v>
      </c>
      <c r="R142" s="53"/>
      <c r="S142" s="53">
        <v>0</v>
      </c>
      <c r="T142" s="53"/>
      <c r="U142" s="53">
        <v>406804</v>
      </c>
      <c r="V142" s="53"/>
      <c r="W142" s="53">
        <f t="shared" si="29"/>
        <v>406804</v>
      </c>
      <c r="X142" s="53"/>
      <c r="Y142" s="35" t="s">
        <v>172</v>
      </c>
      <c r="AA142" s="35" t="s">
        <v>103</v>
      </c>
      <c r="AB142" s="35"/>
      <c r="AC142" s="53">
        <v>1115654</v>
      </c>
      <c r="AD142" s="53"/>
      <c r="AE142" s="53">
        <v>1082084</v>
      </c>
      <c r="AF142" s="53"/>
      <c r="AG142" s="53">
        <v>0</v>
      </c>
      <c r="AH142" s="53"/>
      <c r="AI142" s="45">
        <f t="shared" si="34"/>
        <v>33570</v>
      </c>
      <c r="AJ142" s="45"/>
      <c r="AK142" s="53">
        <v>0</v>
      </c>
      <c r="AL142" s="45"/>
      <c r="AM142" s="53">
        <v>0</v>
      </c>
      <c r="AN142" s="53"/>
      <c r="AO142" s="53">
        <v>0</v>
      </c>
      <c r="AP142" s="53"/>
      <c r="AQ142" s="53">
        <v>0</v>
      </c>
      <c r="AR142" s="53"/>
      <c r="AS142" s="45">
        <f t="shared" si="36"/>
        <v>33570</v>
      </c>
      <c r="AT142" s="45"/>
      <c r="AU142" s="53">
        <v>0</v>
      </c>
      <c r="AV142" s="53"/>
      <c r="AW142" s="53">
        <v>0</v>
      </c>
      <c r="AX142" s="53"/>
      <c r="AY142" s="53">
        <f t="shared" si="30"/>
        <v>406804</v>
      </c>
      <c r="AZ142" s="53"/>
      <c r="BA142" s="35" t="s">
        <v>172</v>
      </c>
      <c r="BC142" s="35" t="s">
        <v>103</v>
      </c>
      <c r="BD142" s="53"/>
      <c r="BE142" s="53">
        <v>0</v>
      </c>
      <c r="BF142" s="53"/>
      <c r="BG142" s="53">
        <v>0</v>
      </c>
      <c r="BH142" s="53"/>
      <c r="BI142" s="53">
        <v>0</v>
      </c>
      <c r="BJ142" s="53"/>
      <c r="BK142" s="53">
        <v>0</v>
      </c>
      <c r="BL142" s="53"/>
      <c r="BM142" s="53">
        <f t="shared" si="31"/>
        <v>0</v>
      </c>
      <c r="BN142" s="54" t="s">
        <v>347</v>
      </c>
      <c r="BR142" s="51"/>
      <c r="BS142" s="53"/>
      <c r="BT142" s="53"/>
      <c r="BU142" s="53"/>
      <c r="BV142" s="53"/>
      <c r="BW142" s="53"/>
      <c r="BX142" s="45"/>
      <c r="BY142" s="45"/>
      <c r="BZ142" s="53"/>
      <c r="CA142" s="53"/>
      <c r="CB142" s="53"/>
      <c r="CC142" s="53"/>
      <c r="CD142" s="53"/>
      <c r="CE142" s="53"/>
      <c r="CF142" s="35"/>
      <c r="CH142" s="35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4"/>
    </row>
    <row r="143" spans="1:98" s="55" customFormat="1" ht="12.75" hidden="1" customHeight="1">
      <c r="A143" s="35" t="s">
        <v>66</v>
      </c>
      <c r="B143" s="51"/>
      <c r="C143" s="35" t="s">
        <v>45</v>
      </c>
      <c r="D143" s="44"/>
      <c r="E143" s="53">
        <f t="shared" si="35"/>
        <v>0</v>
      </c>
      <c r="F143" s="53"/>
      <c r="G143" s="53">
        <v>0</v>
      </c>
      <c r="H143" s="53"/>
      <c r="I143" s="53">
        <v>0</v>
      </c>
      <c r="J143" s="53"/>
      <c r="K143" s="53">
        <f t="shared" si="33"/>
        <v>0</v>
      </c>
      <c r="L143" s="53"/>
      <c r="M143" s="53">
        <v>0</v>
      </c>
      <c r="N143" s="53"/>
      <c r="O143" s="53">
        <v>0</v>
      </c>
      <c r="P143" s="53"/>
      <c r="Q143" s="53">
        <v>0</v>
      </c>
      <c r="R143" s="53"/>
      <c r="S143" s="53">
        <v>0</v>
      </c>
      <c r="T143" s="53"/>
      <c r="U143" s="53">
        <v>0</v>
      </c>
      <c r="V143" s="53"/>
      <c r="W143" s="53">
        <f t="shared" si="29"/>
        <v>0</v>
      </c>
      <c r="X143" s="53"/>
      <c r="Y143" s="35" t="s">
        <v>66</v>
      </c>
      <c r="AA143" s="35" t="s">
        <v>45</v>
      </c>
      <c r="AB143" s="35"/>
      <c r="AC143" s="53">
        <v>0</v>
      </c>
      <c r="AD143" s="53"/>
      <c r="AE143" s="53">
        <v>0</v>
      </c>
      <c r="AF143" s="53"/>
      <c r="AG143" s="53">
        <v>0</v>
      </c>
      <c r="AH143" s="53"/>
      <c r="AI143" s="45">
        <f t="shared" si="34"/>
        <v>0</v>
      </c>
      <c r="AJ143" s="45"/>
      <c r="AK143" s="53">
        <v>0</v>
      </c>
      <c r="AL143" s="45"/>
      <c r="AM143" s="53">
        <v>0</v>
      </c>
      <c r="AN143" s="53"/>
      <c r="AO143" s="53">
        <v>0</v>
      </c>
      <c r="AP143" s="53"/>
      <c r="AQ143" s="53">
        <v>0</v>
      </c>
      <c r="AR143" s="53"/>
      <c r="AS143" s="45">
        <f t="shared" si="36"/>
        <v>0</v>
      </c>
      <c r="AT143" s="45"/>
      <c r="AU143" s="53">
        <v>0</v>
      </c>
      <c r="AV143" s="53"/>
      <c r="AW143" s="53">
        <v>0</v>
      </c>
      <c r="AX143" s="53"/>
      <c r="AY143" s="53">
        <f t="shared" si="30"/>
        <v>0</v>
      </c>
      <c r="AZ143" s="53"/>
      <c r="BA143" s="35" t="s">
        <v>66</v>
      </c>
      <c r="BC143" s="35" t="s">
        <v>45</v>
      </c>
      <c r="BD143" s="53"/>
      <c r="BE143" s="53">
        <v>0</v>
      </c>
      <c r="BF143" s="53"/>
      <c r="BG143" s="53">
        <v>0</v>
      </c>
      <c r="BH143" s="53"/>
      <c r="BI143" s="53">
        <v>0</v>
      </c>
      <c r="BJ143" s="53"/>
      <c r="BK143" s="53">
        <v>0</v>
      </c>
      <c r="BL143" s="53"/>
      <c r="BM143" s="53">
        <f t="shared" si="31"/>
        <v>0</v>
      </c>
      <c r="BN143" s="54" t="s">
        <v>347</v>
      </c>
      <c r="BR143" s="51"/>
      <c r="BS143" s="53"/>
      <c r="BT143" s="53"/>
      <c r="BU143" s="53"/>
      <c r="BV143" s="53"/>
      <c r="BW143" s="53"/>
      <c r="BX143" s="45"/>
      <c r="BY143" s="45"/>
      <c r="BZ143" s="53"/>
      <c r="CA143" s="53"/>
      <c r="CB143" s="53"/>
      <c r="CC143" s="53"/>
      <c r="CD143" s="53"/>
      <c r="CE143" s="53"/>
      <c r="CF143" s="35"/>
      <c r="CH143" s="35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4"/>
    </row>
    <row r="144" spans="1:98" s="140" customFormat="1" ht="12.75" hidden="1" customHeight="1">
      <c r="A144" s="126" t="s">
        <v>173</v>
      </c>
      <c r="B144" s="124"/>
      <c r="C144" s="126" t="s">
        <v>66</v>
      </c>
      <c r="D144" s="121"/>
      <c r="E144" s="53">
        <f t="shared" si="35"/>
        <v>0</v>
      </c>
      <c r="F144" s="53"/>
      <c r="G144" s="53">
        <v>0</v>
      </c>
      <c r="H144" s="53"/>
      <c r="I144" s="53">
        <v>0</v>
      </c>
      <c r="J144" s="53"/>
      <c r="K144" s="53">
        <f t="shared" si="33"/>
        <v>0</v>
      </c>
      <c r="L144" s="53"/>
      <c r="M144" s="53">
        <v>0</v>
      </c>
      <c r="N144" s="53"/>
      <c r="O144" s="53">
        <v>0</v>
      </c>
      <c r="P144" s="53"/>
      <c r="Q144" s="53">
        <v>0</v>
      </c>
      <c r="R144" s="53"/>
      <c r="S144" s="53">
        <v>0</v>
      </c>
      <c r="T144" s="53"/>
      <c r="U144" s="53">
        <v>0</v>
      </c>
      <c r="V144" s="53"/>
      <c r="W144" s="53">
        <f t="shared" si="29"/>
        <v>0</v>
      </c>
      <c r="X144" s="137"/>
      <c r="Y144" s="126" t="s">
        <v>173</v>
      </c>
      <c r="AA144" s="126" t="s">
        <v>66</v>
      </c>
      <c r="AB144" s="126"/>
      <c r="AC144" s="53">
        <v>0</v>
      </c>
      <c r="AD144" s="53"/>
      <c r="AE144" s="53">
        <v>0</v>
      </c>
      <c r="AF144" s="53"/>
      <c r="AG144" s="53">
        <v>0</v>
      </c>
      <c r="AH144" s="53"/>
      <c r="AI144" s="45">
        <f t="shared" si="34"/>
        <v>0</v>
      </c>
      <c r="AJ144" s="45"/>
      <c r="AK144" s="53">
        <v>0</v>
      </c>
      <c r="AL144" s="45"/>
      <c r="AM144" s="53">
        <v>0</v>
      </c>
      <c r="AN144" s="53"/>
      <c r="AO144" s="53">
        <v>0</v>
      </c>
      <c r="AP144" s="53"/>
      <c r="AQ144" s="53">
        <v>0</v>
      </c>
      <c r="AR144" s="53"/>
      <c r="AS144" s="45">
        <f t="shared" si="36"/>
        <v>0</v>
      </c>
      <c r="AT144" s="45"/>
      <c r="AU144" s="53">
        <v>0</v>
      </c>
      <c r="AV144" s="53"/>
      <c r="AW144" s="53">
        <v>0</v>
      </c>
      <c r="AX144" s="53"/>
      <c r="AY144" s="53">
        <f t="shared" si="30"/>
        <v>0</v>
      </c>
      <c r="AZ144" s="53"/>
      <c r="BA144" s="126" t="s">
        <v>173</v>
      </c>
      <c r="BC144" s="126" t="s">
        <v>66</v>
      </c>
      <c r="BD144" s="137"/>
      <c r="BE144" s="53">
        <v>0</v>
      </c>
      <c r="BF144" s="53"/>
      <c r="BG144" s="53">
        <v>0</v>
      </c>
      <c r="BH144" s="53"/>
      <c r="BI144" s="53">
        <v>0</v>
      </c>
      <c r="BJ144" s="53"/>
      <c r="BK144" s="53">
        <v>0</v>
      </c>
      <c r="BL144" s="137"/>
      <c r="BM144" s="137">
        <f t="shared" ref="BM144:BM209" si="42">SUM(BE144:BK144)</f>
        <v>0</v>
      </c>
      <c r="BN144" s="139" t="s">
        <v>347</v>
      </c>
      <c r="BR144" s="124"/>
      <c r="BS144" s="137"/>
      <c r="BT144" s="137"/>
      <c r="BU144" s="137"/>
      <c r="BV144" s="137"/>
      <c r="BW144" s="137"/>
      <c r="BX144" s="127"/>
      <c r="BY144" s="127"/>
      <c r="BZ144" s="137"/>
      <c r="CA144" s="137"/>
      <c r="CB144" s="137"/>
      <c r="CC144" s="137"/>
      <c r="CD144" s="137"/>
      <c r="CE144" s="137"/>
      <c r="CF144" s="126"/>
      <c r="CH144" s="126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9"/>
    </row>
    <row r="145" spans="1:97" s="140" customFormat="1" ht="12.75" hidden="1" customHeight="1">
      <c r="A145" s="126" t="s">
        <v>174</v>
      </c>
      <c r="B145" s="124"/>
      <c r="C145" s="126" t="s">
        <v>45</v>
      </c>
      <c r="D145" s="121"/>
      <c r="E145" s="53">
        <f t="shared" si="35"/>
        <v>0</v>
      </c>
      <c r="F145" s="53"/>
      <c r="G145" s="53">
        <v>0</v>
      </c>
      <c r="H145" s="53"/>
      <c r="I145" s="53">
        <v>0</v>
      </c>
      <c r="J145" s="53"/>
      <c r="K145" s="53">
        <f t="shared" ref="K145:K175" si="43">O145-M145</f>
        <v>0</v>
      </c>
      <c r="L145" s="53"/>
      <c r="M145" s="53">
        <v>0</v>
      </c>
      <c r="N145" s="53"/>
      <c r="O145" s="53">
        <v>0</v>
      </c>
      <c r="P145" s="53"/>
      <c r="Q145" s="53">
        <v>0</v>
      </c>
      <c r="R145" s="53"/>
      <c r="S145" s="53">
        <v>0</v>
      </c>
      <c r="T145" s="53"/>
      <c r="U145" s="53">
        <v>0</v>
      </c>
      <c r="V145" s="53"/>
      <c r="W145" s="53">
        <f t="shared" ref="W145:W175" si="44">SUM(Q145:U145)</f>
        <v>0</v>
      </c>
      <c r="X145" s="137"/>
      <c r="Y145" s="126" t="s">
        <v>174</v>
      </c>
      <c r="AA145" s="126" t="s">
        <v>45</v>
      </c>
      <c r="AB145" s="126"/>
      <c r="AC145" s="53">
        <v>0</v>
      </c>
      <c r="AD145" s="53"/>
      <c r="AE145" s="53">
        <v>0</v>
      </c>
      <c r="AF145" s="53"/>
      <c r="AG145" s="53">
        <v>0</v>
      </c>
      <c r="AH145" s="53"/>
      <c r="AI145" s="45">
        <f t="shared" ref="AI145:AI175" si="45">+AC145-AE145-AG145</f>
        <v>0</v>
      </c>
      <c r="AJ145" s="45"/>
      <c r="AK145" s="53">
        <v>0</v>
      </c>
      <c r="AL145" s="45"/>
      <c r="AM145" s="53">
        <v>0</v>
      </c>
      <c r="AN145" s="53"/>
      <c r="AO145" s="53">
        <v>0</v>
      </c>
      <c r="AP145" s="53"/>
      <c r="AQ145" s="53">
        <v>0</v>
      </c>
      <c r="AR145" s="53"/>
      <c r="AS145" s="45">
        <f t="shared" si="36"/>
        <v>0</v>
      </c>
      <c r="AT145" s="45"/>
      <c r="AU145" s="53">
        <v>0</v>
      </c>
      <c r="AV145" s="53"/>
      <c r="AW145" s="53">
        <v>0</v>
      </c>
      <c r="AX145" s="53"/>
      <c r="AY145" s="53">
        <f t="shared" ref="AY145:AY175" si="46">+E145-K145</f>
        <v>0</v>
      </c>
      <c r="AZ145" s="53"/>
      <c r="BA145" s="126" t="s">
        <v>174</v>
      </c>
      <c r="BC145" s="126" t="s">
        <v>45</v>
      </c>
      <c r="BD145" s="137"/>
      <c r="BE145" s="53">
        <v>0</v>
      </c>
      <c r="BF145" s="53"/>
      <c r="BG145" s="53">
        <v>0</v>
      </c>
      <c r="BH145" s="53"/>
      <c r="BI145" s="53">
        <v>0</v>
      </c>
      <c r="BJ145" s="53"/>
      <c r="BK145" s="53">
        <v>0</v>
      </c>
      <c r="BL145" s="137"/>
      <c r="BM145" s="137">
        <f t="shared" si="42"/>
        <v>0</v>
      </c>
      <c r="BN145" s="139" t="s">
        <v>347</v>
      </c>
      <c r="BO145" s="140" t="s">
        <v>406</v>
      </c>
      <c r="BR145" s="124"/>
      <c r="BS145" s="137"/>
      <c r="BT145" s="137"/>
      <c r="BU145" s="137"/>
      <c r="BV145" s="137"/>
      <c r="BW145" s="137"/>
      <c r="BX145" s="127"/>
      <c r="BY145" s="127"/>
      <c r="BZ145" s="137"/>
      <c r="CA145" s="137"/>
      <c r="CB145" s="137"/>
      <c r="CC145" s="137"/>
      <c r="CD145" s="137"/>
      <c r="CE145" s="137"/>
      <c r="CF145" s="126"/>
      <c r="CH145" s="126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9"/>
    </row>
    <row r="146" spans="1:97" s="55" customFormat="1" ht="12.75" customHeight="1">
      <c r="A146" s="35" t="s">
        <v>175</v>
      </c>
      <c r="B146" s="51"/>
      <c r="C146" s="35" t="s">
        <v>176</v>
      </c>
      <c r="D146" s="44"/>
      <c r="E146" s="53">
        <f t="shared" si="35"/>
        <v>5085951</v>
      </c>
      <c r="F146" s="53"/>
      <c r="G146" s="53">
        <v>13543210</v>
      </c>
      <c r="H146" s="53"/>
      <c r="I146" s="53">
        <v>18629161</v>
      </c>
      <c r="J146" s="53"/>
      <c r="K146" s="53">
        <f t="shared" si="43"/>
        <v>629475</v>
      </c>
      <c r="L146" s="53"/>
      <c r="M146" s="53">
        <v>7054936</v>
      </c>
      <c r="N146" s="53"/>
      <c r="O146" s="53">
        <v>7684411</v>
      </c>
      <c r="P146" s="53"/>
      <c r="Q146" s="53">
        <v>6158041</v>
      </c>
      <c r="R146" s="53"/>
      <c r="S146" s="53">
        <v>2530888</v>
      </c>
      <c r="T146" s="53"/>
      <c r="U146" s="53">
        <v>2255821</v>
      </c>
      <c r="V146" s="53"/>
      <c r="W146" s="53">
        <f t="shared" si="44"/>
        <v>10944750</v>
      </c>
      <c r="X146" s="53"/>
      <c r="Y146" s="35" t="s">
        <v>175</v>
      </c>
      <c r="AA146" s="35" t="s">
        <v>176</v>
      </c>
      <c r="AB146" s="35"/>
      <c r="AC146" s="53">
        <v>3105361</v>
      </c>
      <c r="AD146" s="53"/>
      <c r="AE146" s="53">
        <f>2755432-543768</f>
        <v>2211664</v>
      </c>
      <c r="AF146" s="53"/>
      <c r="AG146" s="53">
        <v>543768</v>
      </c>
      <c r="AH146" s="53"/>
      <c r="AI146" s="45">
        <f t="shared" si="45"/>
        <v>349929</v>
      </c>
      <c r="AJ146" s="45"/>
      <c r="AK146" s="53">
        <v>-304368</v>
      </c>
      <c r="AL146" s="45"/>
      <c r="AM146" s="53">
        <v>0</v>
      </c>
      <c r="AN146" s="53"/>
      <c r="AO146" s="53">
        <v>0</v>
      </c>
      <c r="AP146" s="53"/>
      <c r="AQ146" s="53">
        <v>0</v>
      </c>
      <c r="AR146" s="53"/>
      <c r="AS146" s="45">
        <f t="shared" si="36"/>
        <v>45561</v>
      </c>
      <c r="AT146" s="45"/>
      <c r="AU146" s="53">
        <v>0</v>
      </c>
      <c r="AV146" s="53"/>
      <c r="AW146" s="53">
        <v>0</v>
      </c>
      <c r="AX146" s="53"/>
      <c r="AY146" s="53">
        <f t="shared" si="46"/>
        <v>4456476</v>
      </c>
      <c r="AZ146" s="53"/>
      <c r="BA146" s="35" t="s">
        <v>175</v>
      </c>
      <c r="BC146" s="35" t="s">
        <v>176</v>
      </c>
      <c r="BD146" s="53"/>
      <c r="BE146" s="53">
        <f>6920342+439175</f>
        <v>7359517</v>
      </c>
      <c r="BF146" s="53"/>
      <c r="BG146" s="53">
        <v>0</v>
      </c>
      <c r="BH146" s="53"/>
      <c r="BI146" s="53">
        <v>0</v>
      </c>
      <c r="BJ146" s="53"/>
      <c r="BK146" s="53">
        <f>134594+65826</f>
        <v>200420</v>
      </c>
      <c r="BL146" s="53"/>
      <c r="BM146" s="53">
        <f t="shared" si="42"/>
        <v>7559937</v>
      </c>
      <c r="BN146" s="54" t="s">
        <v>347</v>
      </c>
      <c r="BO146" s="55" t="s">
        <v>406</v>
      </c>
      <c r="BR146" s="51"/>
      <c r="BS146" s="53"/>
      <c r="BT146" s="53"/>
      <c r="BU146" s="53"/>
      <c r="BV146" s="53"/>
      <c r="BW146" s="53"/>
      <c r="BX146" s="45"/>
      <c r="BY146" s="45"/>
      <c r="BZ146" s="53"/>
      <c r="CA146" s="53"/>
      <c r="CB146" s="53"/>
      <c r="CC146" s="53"/>
      <c r="CD146" s="53"/>
      <c r="CE146" s="53"/>
      <c r="CF146" s="35"/>
      <c r="CH146" s="35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4"/>
    </row>
    <row r="147" spans="1:97" s="140" customFormat="1" ht="12.75" hidden="1" customHeight="1">
      <c r="A147" s="126" t="s">
        <v>177</v>
      </c>
      <c r="B147" s="124"/>
      <c r="C147" s="126" t="s">
        <v>13</v>
      </c>
      <c r="D147" s="121"/>
      <c r="E147" s="53">
        <f t="shared" si="35"/>
        <v>0</v>
      </c>
      <c r="F147" s="53"/>
      <c r="G147" s="53">
        <v>0</v>
      </c>
      <c r="H147" s="53"/>
      <c r="I147" s="53">
        <v>0</v>
      </c>
      <c r="J147" s="53"/>
      <c r="K147" s="53">
        <f t="shared" si="43"/>
        <v>0</v>
      </c>
      <c r="L147" s="53"/>
      <c r="M147" s="53">
        <v>0</v>
      </c>
      <c r="N147" s="53"/>
      <c r="O147" s="53">
        <v>0</v>
      </c>
      <c r="P147" s="53"/>
      <c r="Q147" s="53">
        <v>0</v>
      </c>
      <c r="R147" s="53"/>
      <c r="S147" s="53">
        <v>0</v>
      </c>
      <c r="T147" s="53"/>
      <c r="U147" s="53">
        <v>0</v>
      </c>
      <c r="V147" s="53"/>
      <c r="W147" s="53">
        <f t="shared" si="44"/>
        <v>0</v>
      </c>
      <c r="X147" s="137"/>
      <c r="Y147" s="126" t="s">
        <v>177</v>
      </c>
      <c r="AA147" s="126" t="s">
        <v>13</v>
      </c>
      <c r="AB147" s="126"/>
      <c r="AC147" s="53">
        <v>0</v>
      </c>
      <c r="AD147" s="53"/>
      <c r="AE147" s="53">
        <v>0</v>
      </c>
      <c r="AF147" s="53"/>
      <c r="AG147" s="53">
        <v>0</v>
      </c>
      <c r="AH147" s="53"/>
      <c r="AI147" s="45">
        <f t="shared" si="45"/>
        <v>0</v>
      </c>
      <c r="AJ147" s="45"/>
      <c r="AK147" s="53">
        <v>0</v>
      </c>
      <c r="AL147" s="45"/>
      <c r="AM147" s="53">
        <v>0</v>
      </c>
      <c r="AN147" s="53"/>
      <c r="AO147" s="53">
        <v>0</v>
      </c>
      <c r="AP147" s="53"/>
      <c r="AQ147" s="53">
        <v>0</v>
      </c>
      <c r="AR147" s="53"/>
      <c r="AS147" s="45">
        <f t="shared" si="36"/>
        <v>0</v>
      </c>
      <c r="AT147" s="45"/>
      <c r="AU147" s="53">
        <v>0</v>
      </c>
      <c r="AV147" s="53"/>
      <c r="AW147" s="53">
        <v>0</v>
      </c>
      <c r="AX147" s="53"/>
      <c r="AY147" s="53">
        <f t="shared" si="46"/>
        <v>0</v>
      </c>
      <c r="AZ147" s="53"/>
      <c r="BA147" s="126" t="s">
        <v>177</v>
      </c>
      <c r="BC147" s="126" t="s">
        <v>13</v>
      </c>
      <c r="BD147" s="137"/>
      <c r="BE147" s="53">
        <v>0</v>
      </c>
      <c r="BF147" s="53"/>
      <c r="BG147" s="53">
        <v>0</v>
      </c>
      <c r="BH147" s="53"/>
      <c r="BI147" s="53">
        <v>0</v>
      </c>
      <c r="BJ147" s="53"/>
      <c r="BK147" s="53">
        <v>0</v>
      </c>
      <c r="BL147" s="137"/>
      <c r="BM147" s="137">
        <f t="shared" si="42"/>
        <v>0</v>
      </c>
      <c r="BN147" s="139" t="s">
        <v>347</v>
      </c>
      <c r="BR147" s="124"/>
      <c r="BS147" s="137"/>
      <c r="BT147" s="137"/>
      <c r="BU147" s="137"/>
      <c r="BV147" s="137"/>
      <c r="BW147" s="137"/>
      <c r="BX147" s="127"/>
      <c r="BY147" s="127"/>
      <c r="BZ147" s="137"/>
      <c r="CA147" s="137"/>
      <c r="CB147" s="137"/>
      <c r="CC147" s="137"/>
      <c r="CD147" s="137"/>
      <c r="CE147" s="137"/>
      <c r="CF147" s="126"/>
      <c r="CH147" s="126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9"/>
    </row>
    <row r="148" spans="1:97" s="55" customFormat="1" ht="12.75" customHeight="1">
      <c r="A148" s="35" t="s">
        <v>178</v>
      </c>
      <c r="B148" s="51"/>
      <c r="C148" s="35" t="s">
        <v>179</v>
      </c>
      <c r="D148" s="44"/>
      <c r="E148" s="53">
        <f t="shared" si="35"/>
        <v>5807851</v>
      </c>
      <c r="F148" s="53"/>
      <c r="G148" s="53">
        <v>18928017</v>
      </c>
      <c r="H148" s="53"/>
      <c r="I148" s="53">
        <v>24735868</v>
      </c>
      <c r="J148" s="53"/>
      <c r="K148" s="53">
        <f t="shared" si="43"/>
        <v>1260283</v>
      </c>
      <c r="L148" s="53"/>
      <c r="M148" s="53">
        <v>15738382</v>
      </c>
      <c r="N148" s="53"/>
      <c r="O148" s="53">
        <v>16998665</v>
      </c>
      <c r="P148" s="53"/>
      <c r="Q148" s="53">
        <v>4306926</v>
      </c>
      <c r="R148" s="53"/>
      <c r="S148" s="53">
        <v>0</v>
      </c>
      <c r="T148" s="53"/>
      <c r="U148" s="53">
        <v>3430277</v>
      </c>
      <c r="V148" s="53"/>
      <c r="W148" s="53">
        <f>SUM(Q148:U148)</f>
        <v>7737203</v>
      </c>
      <c r="X148" s="53"/>
      <c r="Y148" s="35" t="s">
        <v>178</v>
      </c>
      <c r="AA148" s="35" t="s">
        <v>179</v>
      </c>
      <c r="AB148" s="35"/>
      <c r="AC148" s="53">
        <v>3148308</v>
      </c>
      <c r="AD148" s="53"/>
      <c r="AE148" s="53">
        <f>2834121-495172</f>
        <v>2338949</v>
      </c>
      <c r="AF148" s="53"/>
      <c r="AG148" s="53">
        <v>495172</v>
      </c>
      <c r="AH148" s="53"/>
      <c r="AI148" s="45">
        <f t="shared" si="45"/>
        <v>314187</v>
      </c>
      <c r="AJ148" s="45"/>
      <c r="AK148" s="53">
        <v>56540</v>
      </c>
      <c r="AL148" s="45"/>
      <c r="AM148" s="53">
        <v>64630</v>
      </c>
      <c r="AN148" s="53"/>
      <c r="AO148" s="53">
        <v>50161</v>
      </c>
      <c r="AP148" s="53"/>
      <c r="AQ148" s="53">
        <v>403881</v>
      </c>
      <c r="AR148" s="53"/>
      <c r="AS148" s="45">
        <f t="shared" si="36"/>
        <v>789077</v>
      </c>
      <c r="AT148" s="45"/>
      <c r="AU148" s="53">
        <v>0</v>
      </c>
      <c r="AV148" s="53"/>
      <c r="AW148" s="53">
        <v>0</v>
      </c>
      <c r="AX148" s="53"/>
      <c r="AY148" s="53">
        <f t="shared" si="46"/>
        <v>4547568</v>
      </c>
      <c r="AZ148" s="53"/>
      <c r="BA148" s="35" t="s">
        <v>178</v>
      </c>
      <c r="BC148" s="35" t="s">
        <v>179</v>
      </c>
      <c r="BD148" s="53"/>
      <c r="BE148" s="53">
        <v>0</v>
      </c>
      <c r="BF148" s="53"/>
      <c r="BG148" s="53">
        <f>5920000+265000</f>
        <v>6185000</v>
      </c>
      <c r="BH148" s="53"/>
      <c r="BI148" s="53">
        <f>1445265+454477+507904+7215247+28684+392128+734840</f>
        <v>10778545</v>
      </c>
      <c r="BJ148" s="53"/>
      <c r="BK148" s="53">
        <f>89454+36589</f>
        <v>126043</v>
      </c>
      <c r="BL148" s="53"/>
      <c r="BM148" s="53">
        <f t="shared" si="42"/>
        <v>17089588</v>
      </c>
      <c r="BN148" s="54" t="s">
        <v>347</v>
      </c>
      <c r="BR148" s="51"/>
      <c r="BS148" s="53"/>
      <c r="BT148" s="53"/>
      <c r="BU148" s="53"/>
      <c r="BV148" s="53"/>
      <c r="BW148" s="53"/>
      <c r="BX148" s="45"/>
      <c r="BY148" s="45"/>
      <c r="BZ148" s="53"/>
      <c r="CA148" s="53"/>
      <c r="CB148" s="53"/>
      <c r="CC148" s="53"/>
      <c r="CD148" s="53"/>
      <c r="CE148" s="53"/>
      <c r="CF148" s="35"/>
      <c r="CH148" s="35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4"/>
    </row>
    <row r="149" spans="1:97" s="55" customFormat="1" ht="12.75" customHeight="1">
      <c r="A149" s="35" t="s">
        <v>180</v>
      </c>
      <c r="B149" s="51"/>
      <c r="C149" s="35" t="s">
        <v>20</v>
      </c>
      <c r="D149" s="44"/>
      <c r="E149" s="53">
        <f t="shared" si="35"/>
        <v>865132</v>
      </c>
      <c r="F149" s="53"/>
      <c r="G149" s="53">
        <v>3570094</v>
      </c>
      <c r="H149" s="53"/>
      <c r="I149" s="53">
        <v>4435226</v>
      </c>
      <c r="J149" s="53"/>
      <c r="K149" s="53">
        <f t="shared" si="43"/>
        <v>301270</v>
      </c>
      <c r="L149" s="53"/>
      <c r="M149" s="53">
        <v>1363004</v>
      </c>
      <c r="N149" s="53"/>
      <c r="O149" s="53">
        <v>1664274</v>
      </c>
      <c r="P149" s="53"/>
      <c r="Q149" s="53">
        <v>2025504</v>
      </c>
      <c r="R149" s="53"/>
      <c r="S149" s="53">
        <v>0</v>
      </c>
      <c r="T149" s="53"/>
      <c r="U149" s="53">
        <v>745448</v>
      </c>
      <c r="V149" s="53"/>
      <c r="W149" s="53">
        <f t="shared" si="44"/>
        <v>2770952</v>
      </c>
      <c r="X149" s="53"/>
      <c r="Y149" s="35" t="s">
        <v>180</v>
      </c>
      <c r="AA149" s="35" t="s">
        <v>20</v>
      </c>
      <c r="AB149" s="35"/>
      <c r="AC149" s="53">
        <v>1035073</v>
      </c>
      <c r="AD149" s="53"/>
      <c r="AE149" s="53">
        <f>877873-220695</f>
        <v>657178</v>
      </c>
      <c r="AF149" s="53"/>
      <c r="AG149" s="53">
        <v>220695</v>
      </c>
      <c r="AH149" s="53"/>
      <c r="AI149" s="45">
        <f t="shared" si="45"/>
        <v>157200</v>
      </c>
      <c r="AJ149" s="45"/>
      <c r="AK149" s="53">
        <v>-53715</v>
      </c>
      <c r="AL149" s="45"/>
      <c r="AM149" s="53">
        <v>0</v>
      </c>
      <c r="AN149" s="53"/>
      <c r="AO149" s="53">
        <v>0</v>
      </c>
      <c r="AP149" s="53"/>
      <c r="AQ149" s="53">
        <v>3380</v>
      </c>
      <c r="AR149" s="53"/>
      <c r="AS149" s="45">
        <f t="shared" si="36"/>
        <v>106865</v>
      </c>
      <c r="AT149" s="45"/>
      <c r="AU149" s="53">
        <v>0</v>
      </c>
      <c r="AV149" s="53"/>
      <c r="AW149" s="53">
        <v>0</v>
      </c>
      <c r="AX149" s="53"/>
      <c r="AY149" s="53">
        <f t="shared" si="46"/>
        <v>563862</v>
      </c>
      <c r="AZ149" s="53"/>
      <c r="BA149" s="35" t="s">
        <v>180</v>
      </c>
      <c r="BC149" s="35" t="s">
        <v>20</v>
      </c>
      <c r="BD149" s="53"/>
      <c r="BE149" s="53">
        <v>0</v>
      </c>
      <c r="BF149" s="53"/>
      <c r="BG149" s="53">
        <v>0</v>
      </c>
      <c r="BH149" s="53"/>
      <c r="BI149" s="53">
        <f>1244561+106855+183750+9454</f>
        <v>1544620</v>
      </c>
      <c r="BJ149" s="53"/>
      <c r="BK149" s="53">
        <f>5271+11588</f>
        <v>16859</v>
      </c>
      <c r="BL149" s="53"/>
      <c r="BM149" s="53">
        <f t="shared" si="42"/>
        <v>1561479</v>
      </c>
      <c r="BN149" s="54" t="s">
        <v>347</v>
      </c>
      <c r="BR149" s="51"/>
      <c r="BS149" s="53"/>
      <c r="BT149" s="53"/>
      <c r="BU149" s="53"/>
      <c r="BV149" s="53"/>
      <c r="BW149" s="53"/>
      <c r="BX149" s="45"/>
      <c r="BY149" s="45"/>
      <c r="BZ149" s="53"/>
      <c r="CA149" s="53"/>
      <c r="CB149" s="53"/>
      <c r="CC149" s="53"/>
      <c r="CD149" s="53"/>
      <c r="CE149" s="53"/>
      <c r="CF149" s="35"/>
      <c r="CH149" s="35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4"/>
    </row>
    <row r="150" spans="1:97" s="55" customFormat="1" ht="12.75" customHeight="1">
      <c r="A150" s="35" t="s">
        <v>182</v>
      </c>
      <c r="C150" s="35" t="s">
        <v>183</v>
      </c>
      <c r="D150" s="44"/>
      <c r="E150" s="53">
        <f t="shared" si="35"/>
        <v>699385</v>
      </c>
      <c r="F150" s="53"/>
      <c r="G150" s="53">
        <v>908416</v>
      </c>
      <c r="H150" s="53"/>
      <c r="I150" s="53">
        <v>1607801</v>
      </c>
      <c r="J150" s="53"/>
      <c r="K150" s="53">
        <f t="shared" si="43"/>
        <v>213968</v>
      </c>
      <c r="L150" s="53"/>
      <c r="M150" s="53">
        <v>810210</v>
      </c>
      <c r="N150" s="53"/>
      <c r="O150" s="53">
        <v>1024178</v>
      </c>
      <c r="P150" s="53"/>
      <c r="Q150" s="53">
        <v>0</v>
      </c>
      <c r="R150" s="53"/>
      <c r="S150" s="53">
        <v>0</v>
      </c>
      <c r="T150" s="53"/>
      <c r="U150" s="53">
        <v>583623</v>
      </c>
      <c r="V150" s="53"/>
      <c r="W150" s="53">
        <f t="shared" si="44"/>
        <v>583623</v>
      </c>
      <c r="X150" s="53"/>
      <c r="Y150" s="35" t="s">
        <v>182</v>
      </c>
      <c r="AA150" s="35" t="s">
        <v>183</v>
      </c>
      <c r="AB150" s="35"/>
      <c r="AC150" s="53">
        <v>845862</v>
      </c>
      <c r="AD150" s="53"/>
      <c r="AE150" s="53">
        <f>1120750-486954</f>
        <v>633796</v>
      </c>
      <c r="AF150" s="53"/>
      <c r="AG150" s="53">
        <v>486954</v>
      </c>
      <c r="AH150" s="53"/>
      <c r="AI150" s="45">
        <f t="shared" si="45"/>
        <v>-274888</v>
      </c>
      <c r="AJ150" s="45"/>
      <c r="AK150" s="53">
        <v>64914</v>
      </c>
      <c r="AL150" s="45"/>
      <c r="AM150" s="53">
        <v>0</v>
      </c>
      <c r="AN150" s="53"/>
      <c r="AO150" s="53">
        <v>0</v>
      </c>
      <c r="AP150" s="53"/>
      <c r="AQ150" s="53">
        <v>0</v>
      </c>
      <c r="AR150" s="53"/>
      <c r="AS150" s="45">
        <f t="shared" si="36"/>
        <v>-209974</v>
      </c>
      <c r="AT150" s="45"/>
      <c r="AU150" s="53">
        <v>0</v>
      </c>
      <c r="AV150" s="53"/>
      <c r="AW150" s="53">
        <v>0</v>
      </c>
      <c r="AX150" s="53"/>
      <c r="AY150" s="53">
        <f t="shared" si="46"/>
        <v>485417</v>
      </c>
      <c r="AZ150" s="53"/>
      <c r="BA150" s="35" t="s">
        <v>182</v>
      </c>
      <c r="BC150" s="35" t="s">
        <v>183</v>
      </c>
      <c r="BD150" s="53"/>
      <c r="BE150" s="53">
        <v>0</v>
      </c>
      <c r="BF150" s="53"/>
      <c r="BG150" s="53">
        <v>0</v>
      </c>
      <c r="BH150" s="53"/>
      <c r="BI150" s="53">
        <f>795833+165468</f>
        <v>961301</v>
      </c>
      <c r="BJ150" s="53"/>
      <c r="BK150" s="53">
        <f>14377+4720</f>
        <v>19097</v>
      </c>
      <c r="BL150" s="53"/>
      <c r="BM150" s="53">
        <f t="shared" si="42"/>
        <v>980398</v>
      </c>
      <c r="BN150" s="54" t="s">
        <v>347</v>
      </c>
      <c r="BR150" s="51"/>
      <c r="BS150" s="53"/>
      <c r="BT150" s="53"/>
      <c r="BU150" s="53"/>
      <c r="BV150" s="53"/>
      <c r="BW150" s="53"/>
      <c r="BX150" s="45"/>
      <c r="BY150" s="45"/>
      <c r="BZ150" s="53"/>
      <c r="CA150" s="53"/>
      <c r="CB150" s="53"/>
      <c r="CC150" s="53"/>
      <c r="CD150" s="53"/>
      <c r="CE150" s="53"/>
      <c r="CF150" s="35"/>
      <c r="CH150" s="35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4"/>
    </row>
    <row r="151" spans="1:97" s="55" customFormat="1" ht="12.75" customHeight="1">
      <c r="A151" s="35" t="s">
        <v>184</v>
      </c>
      <c r="B151" s="51"/>
      <c r="C151" s="35" t="s">
        <v>89</v>
      </c>
      <c r="D151" s="44"/>
      <c r="E151" s="53">
        <f t="shared" si="35"/>
        <v>11230141</v>
      </c>
      <c r="F151" s="53"/>
      <c r="G151" s="53">
        <v>1923316</v>
      </c>
      <c r="H151" s="53"/>
      <c r="I151" s="53">
        <v>13153457</v>
      </c>
      <c r="J151" s="53"/>
      <c r="K151" s="53">
        <f t="shared" si="43"/>
        <v>805859</v>
      </c>
      <c r="L151" s="53"/>
      <c r="M151" s="53">
        <v>7056940</v>
      </c>
      <c r="N151" s="53"/>
      <c r="O151" s="53">
        <v>7862799</v>
      </c>
      <c r="P151" s="53"/>
      <c r="Q151" s="53">
        <v>5360669</v>
      </c>
      <c r="R151" s="53"/>
      <c r="S151" s="53">
        <v>0</v>
      </c>
      <c r="T151" s="53"/>
      <c r="U151" s="53">
        <v>-70011</v>
      </c>
      <c r="V151" s="53"/>
      <c r="W151" s="53">
        <f t="shared" si="44"/>
        <v>5290658</v>
      </c>
      <c r="X151" s="53"/>
      <c r="Y151" s="35" t="s">
        <v>184</v>
      </c>
      <c r="AA151" s="35" t="s">
        <v>89</v>
      </c>
      <c r="AB151" s="35"/>
      <c r="AC151" s="53">
        <v>2098720</v>
      </c>
      <c r="AD151" s="53"/>
      <c r="AE151" s="53">
        <f>1648601-487179</f>
        <v>1161422</v>
      </c>
      <c r="AF151" s="53"/>
      <c r="AG151" s="53">
        <v>487179</v>
      </c>
      <c r="AH151" s="53"/>
      <c r="AI151" s="45">
        <f t="shared" si="45"/>
        <v>450119</v>
      </c>
      <c r="AJ151" s="45"/>
      <c r="AK151" s="53">
        <v>361587</v>
      </c>
      <c r="AL151" s="45"/>
      <c r="AM151" s="53">
        <v>0</v>
      </c>
      <c r="AN151" s="53"/>
      <c r="AO151" s="53">
        <v>0</v>
      </c>
      <c r="AP151" s="53"/>
      <c r="AQ151" s="53">
        <v>225411</v>
      </c>
      <c r="AR151" s="53"/>
      <c r="AS151" s="45">
        <f t="shared" si="36"/>
        <v>1037117</v>
      </c>
      <c r="AT151" s="45"/>
      <c r="AU151" s="53">
        <v>0</v>
      </c>
      <c r="AV151" s="53"/>
      <c r="AW151" s="53">
        <v>0</v>
      </c>
      <c r="AX151" s="53"/>
      <c r="AY151" s="53">
        <f t="shared" si="46"/>
        <v>10424282</v>
      </c>
      <c r="AZ151" s="53"/>
      <c r="BA151" s="35" t="s">
        <v>184</v>
      </c>
      <c r="BC151" s="35" t="s">
        <v>89</v>
      </c>
      <c r="BD151" s="53"/>
      <c r="BE151" s="53">
        <v>0</v>
      </c>
      <c r="BF151" s="53"/>
      <c r="BG151" s="53">
        <v>0</v>
      </c>
      <c r="BH151" s="53"/>
      <c r="BI151" s="53">
        <f>274241+6730691+31540+538669</f>
        <v>7575141</v>
      </c>
      <c r="BJ151" s="53"/>
      <c r="BK151" s="53">
        <f>52008+13006</f>
        <v>65014</v>
      </c>
      <c r="BL151" s="53"/>
      <c r="BM151" s="53">
        <f t="shared" si="42"/>
        <v>7640155</v>
      </c>
      <c r="BN151" s="54" t="s">
        <v>347</v>
      </c>
      <c r="BR151" s="51"/>
      <c r="BS151" s="53"/>
      <c r="BT151" s="53"/>
      <c r="BU151" s="53"/>
      <c r="BV151" s="53"/>
      <c r="BW151" s="53"/>
      <c r="BX151" s="45"/>
      <c r="BY151" s="45"/>
      <c r="BZ151" s="53"/>
      <c r="CA151" s="53"/>
      <c r="CB151" s="53"/>
      <c r="CC151" s="53"/>
      <c r="CD151" s="53"/>
      <c r="CE151" s="53"/>
      <c r="CF151" s="35"/>
      <c r="CH151" s="35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4"/>
    </row>
    <row r="152" spans="1:97" s="55" customFormat="1" ht="12.75" customHeight="1">
      <c r="A152" s="35" t="s">
        <v>181</v>
      </c>
      <c r="B152" s="51"/>
      <c r="C152" s="35" t="s">
        <v>125</v>
      </c>
      <c r="D152" s="44"/>
      <c r="E152" s="53">
        <f t="shared" si="35"/>
        <v>5820663</v>
      </c>
      <c r="F152" s="53"/>
      <c r="G152" s="53">
        <v>29268417</v>
      </c>
      <c r="H152" s="53"/>
      <c r="I152" s="53">
        <v>35089080</v>
      </c>
      <c r="J152" s="53"/>
      <c r="K152" s="53">
        <f t="shared" si="43"/>
        <v>2511821</v>
      </c>
      <c r="L152" s="53"/>
      <c r="M152" s="53">
        <v>20523563</v>
      </c>
      <c r="N152" s="53"/>
      <c r="O152" s="53">
        <v>23035384</v>
      </c>
      <c r="P152" s="53"/>
      <c r="Q152" s="53">
        <v>7834023</v>
      </c>
      <c r="R152" s="53"/>
      <c r="S152" s="53">
        <v>0</v>
      </c>
      <c r="T152" s="53"/>
      <c r="U152" s="53">
        <v>4219673</v>
      </c>
      <c r="V152" s="53"/>
      <c r="W152" s="53">
        <f t="shared" si="44"/>
        <v>12053696</v>
      </c>
      <c r="X152" s="53"/>
      <c r="Y152" s="35" t="s">
        <v>181</v>
      </c>
      <c r="AA152" s="35" t="s">
        <v>125</v>
      </c>
      <c r="AB152" s="35"/>
      <c r="AC152" s="53">
        <v>6563274</v>
      </c>
      <c r="AD152" s="53"/>
      <c r="AE152" s="53">
        <f>4938921-1054437</f>
        <v>3884484</v>
      </c>
      <c r="AF152" s="53"/>
      <c r="AG152" s="53">
        <v>1054437</v>
      </c>
      <c r="AH152" s="53"/>
      <c r="AI152" s="45">
        <f t="shared" si="45"/>
        <v>1624353</v>
      </c>
      <c r="AJ152" s="45"/>
      <c r="AK152" s="53">
        <v>-298010</v>
      </c>
      <c r="AL152" s="45"/>
      <c r="AM152" s="53">
        <v>6346</v>
      </c>
      <c r="AN152" s="53"/>
      <c r="AO152" s="53">
        <v>0</v>
      </c>
      <c r="AP152" s="53"/>
      <c r="AQ152" s="53">
        <v>750445</v>
      </c>
      <c r="AR152" s="53"/>
      <c r="AS152" s="45">
        <f t="shared" si="36"/>
        <v>2083134</v>
      </c>
      <c r="AT152" s="45"/>
      <c r="AU152" s="53">
        <v>0</v>
      </c>
      <c r="AV152" s="53"/>
      <c r="AW152" s="53">
        <v>0</v>
      </c>
      <c r="AX152" s="53"/>
      <c r="AY152" s="53">
        <f t="shared" si="46"/>
        <v>3308842</v>
      </c>
      <c r="AZ152" s="53"/>
      <c r="BA152" s="35" t="s">
        <v>181</v>
      </c>
      <c r="BC152" s="35" t="s">
        <v>125</v>
      </c>
      <c r="BD152" s="53"/>
      <c r="BE152" s="53">
        <v>0</v>
      </c>
      <c r="BF152" s="53"/>
      <c r="BG152" s="53">
        <v>0</v>
      </c>
      <c r="BH152" s="53"/>
      <c r="BI152" s="53">
        <f>19334592+980393+115617+69571</f>
        <v>20500173</v>
      </c>
      <c r="BJ152" s="53"/>
      <c r="BK152" s="53">
        <f>95458+5128+13705+15388</f>
        <v>129679</v>
      </c>
      <c r="BL152" s="53"/>
      <c r="BM152" s="53">
        <f t="shared" si="42"/>
        <v>20629852</v>
      </c>
      <c r="BN152" s="54" t="s">
        <v>347</v>
      </c>
      <c r="BR152" s="51"/>
      <c r="BS152" s="53"/>
      <c r="BT152" s="53"/>
      <c r="BU152" s="53"/>
      <c r="BV152" s="53"/>
      <c r="BW152" s="53"/>
      <c r="BX152" s="45"/>
      <c r="BY152" s="45"/>
      <c r="BZ152" s="53"/>
      <c r="CA152" s="53"/>
      <c r="CB152" s="53"/>
      <c r="CC152" s="53"/>
      <c r="CD152" s="53"/>
      <c r="CE152" s="53"/>
      <c r="CF152" s="35"/>
      <c r="CH152" s="35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4"/>
    </row>
    <row r="153" spans="1:97" s="55" customFormat="1" ht="12.75" customHeight="1">
      <c r="A153" s="35" t="s">
        <v>185</v>
      </c>
      <c r="B153" s="51"/>
      <c r="C153" s="35" t="s">
        <v>80</v>
      </c>
      <c r="D153" s="44"/>
      <c r="E153" s="53">
        <f t="shared" si="35"/>
        <v>4533153</v>
      </c>
      <c r="F153" s="53"/>
      <c r="G153" s="53">
        <v>4636986</v>
      </c>
      <c r="H153" s="53"/>
      <c r="I153" s="53">
        <v>9170139</v>
      </c>
      <c r="J153" s="53"/>
      <c r="K153" s="53">
        <f t="shared" si="43"/>
        <v>67262400</v>
      </c>
      <c r="L153" s="53"/>
      <c r="M153" s="53">
        <v>762177</v>
      </c>
      <c r="N153" s="53"/>
      <c r="O153" s="53">
        <v>68024577</v>
      </c>
      <c r="P153" s="53"/>
      <c r="Q153" s="53">
        <v>1571154</v>
      </c>
      <c r="R153" s="53"/>
      <c r="S153" s="53">
        <v>0</v>
      </c>
      <c r="T153" s="53"/>
      <c r="U153" s="53">
        <v>796528</v>
      </c>
      <c r="V153" s="53"/>
      <c r="W153" s="53">
        <f t="shared" si="44"/>
        <v>2367682</v>
      </c>
      <c r="X153" s="53"/>
      <c r="Y153" s="35" t="s">
        <v>185</v>
      </c>
      <c r="AA153" s="35" t="s">
        <v>80</v>
      </c>
      <c r="AB153" s="35"/>
      <c r="AC153" s="53">
        <v>3233659</v>
      </c>
      <c r="AD153" s="53"/>
      <c r="AE153" s="53">
        <f>3068986-216134</f>
        <v>2852852</v>
      </c>
      <c r="AF153" s="53"/>
      <c r="AG153" s="53">
        <v>216134</v>
      </c>
      <c r="AH153" s="53"/>
      <c r="AI153" s="45">
        <f t="shared" si="45"/>
        <v>164673</v>
      </c>
      <c r="AJ153" s="45"/>
      <c r="AK153" s="53">
        <v>-194839</v>
      </c>
      <c r="AL153" s="45"/>
      <c r="AM153" s="53">
        <v>0</v>
      </c>
      <c r="AN153" s="53"/>
      <c r="AO153" s="53">
        <v>0</v>
      </c>
      <c r="AP153" s="53"/>
      <c r="AQ153" s="53">
        <v>81969</v>
      </c>
      <c r="AR153" s="53"/>
      <c r="AS153" s="45">
        <f t="shared" si="36"/>
        <v>51803</v>
      </c>
      <c r="AT153" s="45"/>
      <c r="AU153" s="53">
        <v>0</v>
      </c>
      <c r="AV153" s="53"/>
      <c r="AW153" s="53">
        <v>0</v>
      </c>
      <c r="AX153" s="53"/>
      <c r="AY153" s="53">
        <f t="shared" si="46"/>
        <v>-62729247</v>
      </c>
      <c r="AZ153" s="53"/>
      <c r="BA153" s="35" t="s">
        <v>185</v>
      </c>
      <c r="BC153" s="35" t="s">
        <v>80</v>
      </c>
      <c r="BD153" s="53"/>
      <c r="BE153" s="53">
        <v>0</v>
      </c>
      <c r="BF153" s="53"/>
      <c r="BG153" s="53">
        <v>0</v>
      </c>
      <c r="BH153" s="53"/>
      <c r="BI153" s="53">
        <f>75022+616130+576886+37511</f>
        <v>1305549</v>
      </c>
      <c r="BJ153" s="53"/>
      <c r="BK153" s="53">
        <f>7635+71025</f>
        <v>78660</v>
      </c>
      <c r="BL153" s="53"/>
      <c r="BM153" s="53">
        <f t="shared" si="42"/>
        <v>1384209</v>
      </c>
      <c r="BN153" s="54" t="s">
        <v>347</v>
      </c>
      <c r="BR153" s="51"/>
      <c r="BS153" s="53"/>
      <c r="BT153" s="53"/>
      <c r="BU153" s="53"/>
      <c r="BV153" s="53"/>
      <c r="BW153" s="53"/>
      <c r="BX153" s="45"/>
      <c r="BY153" s="45"/>
      <c r="BZ153" s="53"/>
      <c r="CA153" s="53"/>
      <c r="CB153" s="53"/>
      <c r="CC153" s="53"/>
      <c r="CD153" s="53"/>
      <c r="CE153" s="53"/>
      <c r="CF153" s="35"/>
      <c r="CH153" s="35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4"/>
    </row>
    <row r="154" spans="1:97" s="55" customFormat="1" ht="12.75" customHeight="1">
      <c r="A154" s="35" t="s">
        <v>186</v>
      </c>
      <c r="B154" s="51"/>
      <c r="C154" s="35" t="s">
        <v>15</v>
      </c>
      <c r="D154" s="44"/>
      <c r="E154" s="53">
        <f t="shared" si="35"/>
        <v>1940578</v>
      </c>
      <c r="F154" s="53"/>
      <c r="G154" s="53">
        <v>6550728</v>
      </c>
      <c r="H154" s="53"/>
      <c r="I154" s="53">
        <v>8491306</v>
      </c>
      <c r="J154" s="53"/>
      <c r="K154" s="53">
        <f t="shared" si="43"/>
        <v>149209</v>
      </c>
      <c r="L154" s="53"/>
      <c r="M154" s="53">
        <v>170027</v>
      </c>
      <c r="N154" s="53"/>
      <c r="O154" s="53">
        <v>319236</v>
      </c>
      <c r="P154" s="53"/>
      <c r="Q154" s="53">
        <v>5465681</v>
      </c>
      <c r="R154" s="53"/>
      <c r="S154" s="53">
        <v>0</v>
      </c>
      <c r="T154" s="53"/>
      <c r="U154" s="53">
        <v>2706389</v>
      </c>
      <c r="V154" s="53"/>
      <c r="W154" s="53">
        <f t="shared" si="44"/>
        <v>8172070</v>
      </c>
      <c r="X154" s="53"/>
      <c r="Y154" s="35" t="s">
        <v>186</v>
      </c>
      <c r="AA154" s="35" t="s">
        <v>15</v>
      </c>
      <c r="AB154" s="35"/>
      <c r="AC154" s="53">
        <v>2440683</v>
      </c>
      <c r="AD154" s="53"/>
      <c r="AE154" s="53">
        <f>2265259-313403</f>
        <v>1951856</v>
      </c>
      <c r="AF154" s="53"/>
      <c r="AG154" s="53">
        <v>313403</v>
      </c>
      <c r="AH154" s="53"/>
      <c r="AI154" s="45">
        <f t="shared" si="45"/>
        <v>175424</v>
      </c>
      <c r="AJ154" s="45"/>
      <c r="AK154" s="53">
        <v>-7381</v>
      </c>
      <c r="AL154" s="45"/>
      <c r="AM154" s="53">
        <v>0</v>
      </c>
      <c r="AN154" s="53"/>
      <c r="AO154" s="53">
        <v>15000</v>
      </c>
      <c r="AP154" s="53"/>
      <c r="AQ154" s="53">
        <v>409442</v>
      </c>
      <c r="AR154" s="53"/>
      <c r="AS154" s="45">
        <f t="shared" si="36"/>
        <v>562485</v>
      </c>
      <c r="AT154" s="45"/>
      <c r="AU154" s="53">
        <v>0</v>
      </c>
      <c r="AV154" s="53"/>
      <c r="AW154" s="53">
        <v>0</v>
      </c>
      <c r="AX154" s="53"/>
      <c r="AY154" s="53">
        <f t="shared" si="46"/>
        <v>1791369</v>
      </c>
      <c r="AZ154" s="53"/>
      <c r="BA154" s="35" t="s">
        <v>186</v>
      </c>
      <c r="BC154" s="35" t="s">
        <v>15</v>
      </c>
      <c r="BD154" s="53"/>
      <c r="BE154" s="53">
        <v>0</v>
      </c>
      <c r="BF154" s="53"/>
      <c r="BG154" s="53">
        <v>0</v>
      </c>
      <c r="BH154" s="53"/>
      <c r="BI154" s="53">
        <v>170027</v>
      </c>
      <c r="BJ154" s="53"/>
      <c r="BK154" s="53">
        <v>0</v>
      </c>
      <c r="BL154" s="53"/>
      <c r="BM154" s="53">
        <f t="shared" si="42"/>
        <v>170027</v>
      </c>
      <c r="BN154" s="54" t="s">
        <v>347</v>
      </c>
      <c r="BR154" s="51"/>
      <c r="BS154" s="53"/>
      <c r="BT154" s="53"/>
      <c r="BU154" s="53"/>
      <c r="BV154" s="53"/>
      <c r="BW154" s="53"/>
      <c r="BX154" s="45"/>
      <c r="BY154" s="45"/>
      <c r="BZ154" s="53"/>
      <c r="CA154" s="53"/>
      <c r="CB154" s="53"/>
      <c r="CC154" s="53"/>
      <c r="CD154" s="53"/>
      <c r="CE154" s="53"/>
      <c r="CF154" s="35"/>
      <c r="CH154" s="35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4"/>
    </row>
    <row r="155" spans="1:97" s="55" customFormat="1" ht="12.75" customHeight="1">
      <c r="A155" s="35" t="s">
        <v>187</v>
      </c>
      <c r="B155" s="51"/>
      <c r="C155" s="35" t="s">
        <v>27</v>
      </c>
      <c r="D155" s="44"/>
      <c r="E155" s="53">
        <f t="shared" ref="E155:E175" si="47">I155-G155</f>
        <v>3375502</v>
      </c>
      <c r="F155" s="53"/>
      <c r="G155" s="53">
        <v>22066568</v>
      </c>
      <c r="H155" s="53"/>
      <c r="I155" s="53">
        <v>25442070</v>
      </c>
      <c r="J155" s="53"/>
      <c r="K155" s="53">
        <f t="shared" si="43"/>
        <v>1884836</v>
      </c>
      <c r="L155" s="53"/>
      <c r="M155" s="53">
        <v>9082999</v>
      </c>
      <c r="N155" s="53"/>
      <c r="O155" s="53">
        <v>10967835</v>
      </c>
      <c r="P155" s="53"/>
      <c r="Q155" s="53">
        <v>11937118</v>
      </c>
      <c r="R155" s="53"/>
      <c r="S155" s="53">
        <v>0</v>
      </c>
      <c r="T155" s="53"/>
      <c r="U155" s="53">
        <v>2537117</v>
      </c>
      <c r="V155" s="53"/>
      <c r="W155" s="53">
        <f t="shared" si="44"/>
        <v>14474235</v>
      </c>
      <c r="X155" s="53"/>
      <c r="Y155" s="35" t="s">
        <v>187</v>
      </c>
      <c r="AA155" s="35" t="s">
        <v>27</v>
      </c>
      <c r="AB155" s="35"/>
      <c r="AC155" s="53">
        <v>6769950</v>
      </c>
      <c r="AD155" s="53"/>
      <c r="AE155" s="53">
        <f>5594297-1411758</f>
        <v>4182539</v>
      </c>
      <c r="AF155" s="53"/>
      <c r="AG155" s="53">
        <v>1411758</v>
      </c>
      <c r="AH155" s="53"/>
      <c r="AI155" s="45">
        <f t="shared" si="45"/>
        <v>1175653</v>
      </c>
      <c r="AJ155" s="45"/>
      <c r="AK155" s="53">
        <v>-448740</v>
      </c>
      <c r="AL155" s="45"/>
      <c r="AM155" s="53">
        <v>0</v>
      </c>
      <c r="AN155" s="53"/>
      <c r="AO155" s="53">
        <v>0</v>
      </c>
      <c r="AP155" s="53"/>
      <c r="AQ155" s="53">
        <v>71428</v>
      </c>
      <c r="AR155" s="53"/>
      <c r="AS155" s="45">
        <f t="shared" si="36"/>
        <v>798341</v>
      </c>
      <c r="AT155" s="45"/>
      <c r="AU155" s="53">
        <v>0</v>
      </c>
      <c r="AV155" s="53"/>
      <c r="AW155" s="53">
        <v>0</v>
      </c>
      <c r="AX155" s="53"/>
      <c r="AY155" s="53">
        <f t="shared" si="46"/>
        <v>1490666</v>
      </c>
      <c r="AZ155" s="53"/>
      <c r="BA155" s="35" t="s">
        <v>187</v>
      </c>
      <c r="BC155" s="35" t="s">
        <v>27</v>
      </c>
      <c r="BD155" s="53"/>
      <c r="BE155" s="53">
        <f>6841898+11138000</f>
        <v>17979898</v>
      </c>
      <c r="BF155" s="53"/>
      <c r="BG155" s="53">
        <v>0</v>
      </c>
      <c r="BH155" s="53"/>
      <c r="BI155" s="53">
        <f>1366119+521335+70578+130333</f>
        <v>2088365</v>
      </c>
      <c r="BJ155" s="53"/>
      <c r="BK155" s="53">
        <f>98010+252984+2653+774+224860</f>
        <v>579281</v>
      </c>
      <c r="BL155" s="53"/>
      <c r="BM155" s="53">
        <f t="shared" si="42"/>
        <v>20647544</v>
      </c>
      <c r="BN155" s="54" t="s">
        <v>347</v>
      </c>
      <c r="BR155" s="51"/>
      <c r="BS155" s="53"/>
      <c r="BT155" s="53"/>
      <c r="BU155" s="53"/>
      <c r="BV155" s="53"/>
      <c r="BW155" s="53"/>
      <c r="BX155" s="45"/>
      <c r="BY155" s="45"/>
      <c r="BZ155" s="53"/>
      <c r="CA155" s="53"/>
      <c r="CB155" s="53"/>
      <c r="CC155" s="53"/>
      <c r="CD155" s="53"/>
      <c r="CE155" s="53"/>
      <c r="CF155" s="35"/>
      <c r="CH155" s="35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4"/>
    </row>
    <row r="156" spans="1:97" s="55" customFormat="1" ht="11.25" customHeight="1">
      <c r="A156" s="35" t="s">
        <v>189</v>
      </c>
      <c r="B156" s="51"/>
      <c r="C156" s="35" t="s">
        <v>17</v>
      </c>
      <c r="D156" s="44"/>
      <c r="E156" s="53">
        <f t="shared" si="47"/>
        <v>9895483</v>
      </c>
      <c r="F156" s="53"/>
      <c r="G156" s="53">
        <v>57111157</v>
      </c>
      <c r="H156" s="53"/>
      <c r="I156" s="53">
        <v>67006640</v>
      </c>
      <c r="J156" s="53"/>
      <c r="K156" s="53">
        <f t="shared" si="43"/>
        <v>2291187</v>
      </c>
      <c r="L156" s="53"/>
      <c r="M156" s="53">
        <v>16938369</v>
      </c>
      <c r="N156" s="53"/>
      <c r="O156" s="53">
        <v>19229556</v>
      </c>
      <c r="P156" s="53"/>
      <c r="Q156" s="53">
        <v>35673675</v>
      </c>
      <c r="R156" s="53"/>
      <c r="S156" s="53">
        <v>0</v>
      </c>
      <c r="T156" s="53"/>
      <c r="U156" s="53">
        <v>12103409</v>
      </c>
      <c r="V156" s="53"/>
      <c r="W156" s="53">
        <f t="shared" si="44"/>
        <v>47777084</v>
      </c>
      <c r="X156" s="53"/>
      <c r="Y156" s="35" t="s">
        <v>189</v>
      </c>
      <c r="AA156" s="35" t="s">
        <v>17</v>
      </c>
      <c r="AB156" s="35"/>
      <c r="AC156" s="53">
        <v>5118206</v>
      </c>
      <c r="AD156" s="53"/>
      <c r="AE156" s="53">
        <f>6091972-1914098</f>
        <v>4177874</v>
      </c>
      <c r="AF156" s="53"/>
      <c r="AG156" s="53">
        <v>1914098</v>
      </c>
      <c r="AH156" s="53"/>
      <c r="AI156" s="45">
        <f t="shared" si="45"/>
        <v>-973766</v>
      </c>
      <c r="AJ156" s="45"/>
      <c r="AK156" s="53">
        <v>-769321</v>
      </c>
      <c r="AL156" s="45"/>
      <c r="AM156" s="53">
        <v>0</v>
      </c>
      <c r="AN156" s="53"/>
      <c r="AO156" s="53">
        <v>0</v>
      </c>
      <c r="AP156" s="53"/>
      <c r="AQ156" s="53">
        <v>1604060</v>
      </c>
      <c r="AR156" s="53"/>
      <c r="AS156" s="45">
        <f t="shared" si="36"/>
        <v>-139027</v>
      </c>
      <c r="AT156" s="45"/>
      <c r="AU156" s="53">
        <v>0</v>
      </c>
      <c r="AV156" s="53"/>
      <c r="AW156" s="53">
        <v>0</v>
      </c>
      <c r="AX156" s="53"/>
      <c r="AY156" s="53">
        <f t="shared" si="46"/>
        <v>7604296</v>
      </c>
      <c r="AZ156" s="53"/>
      <c r="BA156" s="35" t="s">
        <v>189</v>
      </c>
      <c r="BC156" s="35" t="s">
        <v>17</v>
      </c>
      <c r="BD156" s="53"/>
      <c r="BE156" s="53">
        <f>14405000+955000</f>
        <v>15360000</v>
      </c>
      <c r="BF156" s="53"/>
      <c r="BG156" s="53">
        <v>0</v>
      </c>
      <c r="BH156" s="53"/>
      <c r="BI156" s="53">
        <f>71831+8451</f>
        <v>80282</v>
      </c>
      <c r="BJ156" s="53"/>
      <c r="BK156" s="53">
        <f>2987+2060000+398551+18996+833+95000</f>
        <v>2576367</v>
      </c>
      <c r="BL156" s="53"/>
      <c r="BM156" s="53">
        <f t="shared" si="42"/>
        <v>18016649</v>
      </c>
      <c r="BN156" s="54" t="s">
        <v>347</v>
      </c>
      <c r="BR156" s="51"/>
      <c r="BS156" s="53"/>
      <c r="BT156" s="53"/>
      <c r="BU156" s="53"/>
      <c r="BV156" s="53"/>
      <c r="BW156" s="53"/>
      <c r="BX156" s="45"/>
      <c r="BY156" s="45"/>
      <c r="BZ156" s="53"/>
      <c r="CA156" s="53"/>
      <c r="CB156" s="53"/>
      <c r="CC156" s="53"/>
      <c r="CD156" s="53"/>
      <c r="CE156" s="53"/>
      <c r="CF156" s="35"/>
      <c r="CH156" s="35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4"/>
    </row>
    <row r="157" spans="1:97" s="55" customFormat="1" ht="12.75" customHeight="1">
      <c r="A157" s="35" t="s">
        <v>188</v>
      </c>
      <c r="B157" s="51"/>
      <c r="C157" s="35" t="s">
        <v>27</v>
      </c>
      <c r="D157" s="44"/>
      <c r="E157" s="53">
        <f t="shared" si="47"/>
        <v>1426690</v>
      </c>
      <c r="F157" s="53"/>
      <c r="G157" s="53">
        <v>30188260</v>
      </c>
      <c r="H157" s="53"/>
      <c r="I157" s="53">
        <v>31614950</v>
      </c>
      <c r="J157" s="53"/>
      <c r="K157" s="53">
        <f t="shared" si="43"/>
        <v>2483157</v>
      </c>
      <c r="L157" s="53"/>
      <c r="M157" s="53">
        <v>7823889</v>
      </c>
      <c r="N157" s="53"/>
      <c r="O157" s="53">
        <v>10307046</v>
      </c>
      <c r="P157" s="53"/>
      <c r="Q157" s="53">
        <v>20579264</v>
      </c>
      <c r="R157" s="53"/>
      <c r="S157" s="53">
        <v>0</v>
      </c>
      <c r="T157" s="53"/>
      <c r="U157" s="53">
        <v>728640</v>
      </c>
      <c r="V157" s="53"/>
      <c r="W157" s="53">
        <f t="shared" si="44"/>
        <v>21307904</v>
      </c>
      <c r="X157" s="53"/>
      <c r="Y157" s="35" t="s">
        <v>188</v>
      </c>
      <c r="AA157" s="35" t="s">
        <v>27</v>
      </c>
      <c r="AB157" s="35"/>
      <c r="AC157" s="53">
        <v>4956707</v>
      </c>
      <c r="AD157" s="53"/>
      <c r="AE157" s="53">
        <f>4912324-1253007</f>
        <v>3659317</v>
      </c>
      <c r="AF157" s="53"/>
      <c r="AG157" s="53">
        <v>1253007</v>
      </c>
      <c r="AH157" s="53"/>
      <c r="AI157" s="45">
        <f t="shared" si="45"/>
        <v>44383</v>
      </c>
      <c r="AJ157" s="45"/>
      <c r="AK157" s="53">
        <v>-509107</v>
      </c>
      <c r="AL157" s="45"/>
      <c r="AM157" s="53">
        <v>0</v>
      </c>
      <c r="AN157" s="53"/>
      <c r="AO157" s="53">
        <v>68015</v>
      </c>
      <c r="AP157" s="53"/>
      <c r="AQ157" s="53">
        <v>47075</v>
      </c>
      <c r="AR157" s="53"/>
      <c r="AS157" s="45">
        <f t="shared" ref="AS157:AS175" si="48">+AI157+AK157+AM157-AO157+AQ157</f>
        <v>-485664</v>
      </c>
      <c r="AT157" s="45"/>
      <c r="AU157" s="53">
        <v>0</v>
      </c>
      <c r="AV157" s="53"/>
      <c r="AW157" s="53">
        <v>0</v>
      </c>
      <c r="AX157" s="53"/>
      <c r="AY157" s="53">
        <f t="shared" si="46"/>
        <v>-1056467</v>
      </c>
      <c r="AZ157" s="53"/>
      <c r="BA157" s="35" t="s">
        <v>188</v>
      </c>
      <c r="BC157" s="35" t="s">
        <v>27</v>
      </c>
      <c r="BD157" s="53"/>
      <c r="BE157" s="53">
        <v>0</v>
      </c>
      <c r="BF157" s="53"/>
      <c r="BG157" s="53">
        <v>0</v>
      </c>
      <c r="BH157" s="53"/>
      <c r="BI157" s="53">
        <f>7274846+358886+1915450+59814</f>
        <v>9608996</v>
      </c>
      <c r="BJ157" s="53"/>
      <c r="BK157" s="53">
        <f>115771+190157</f>
        <v>305928</v>
      </c>
      <c r="BL157" s="53"/>
      <c r="BM157" s="53">
        <f t="shared" si="42"/>
        <v>9914924</v>
      </c>
      <c r="BN157" s="54" t="s">
        <v>347</v>
      </c>
      <c r="BR157" s="51"/>
      <c r="BS157" s="53"/>
      <c r="BT157" s="53"/>
      <c r="BU157" s="53"/>
      <c r="BV157" s="53"/>
      <c r="BW157" s="53"/>
      <c r="BX157" s="45"/>
      <c r="BY157" s="45"/>
      <c r="BZ157" s="53"/>
      <c r="CA157" s="53"/>
      <c r="CB157" s="53"/>
      <c r="CC157" s="53"/>
      <c r="CD157" s="53"/>
      <c r="CE157" s="53"/>
      <c r="CF157" s="35"/>
      <c r="CH157" s="35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4"/>
    </row>
    <row r="158" spans="1:97" s="140" customFormat="1" ht="12.75" hidden="1" customHeight="1">
      <c r="A158" s="126" t="s">
        <v>190</v>
      </c>
      <c r="B158" s="124"/>
      <c r="C158" s="126" t="s">
        <v>47</v>
      </c>
      <c r="D158" s="121"/>
      <c r="E158" s="53">
        <f t="shared" si="47"/>
        <v>0</v>
      </c>
      <c r="F158" s="53"/>
      <c r="G158" s="53">
        <v>0</v>
      </c>
      <c r="H158" s="53"/>
      <c r="I158" s="53">
        <v>0</v>
      </c>
      <c r="J158" s="53"/>
      <c r="K158" s="53">
        <f t="shared" si="43"/>
        <v>0</v>
      </c>
      <c r="L158" s="53"/>
      <c r="M158" s="53">
        <v>0</v>
      </c>
      <c r="N158" s="53"/>
      <c r="O158" s="53">
        <v>0</v>
      </c>
      <c r="P158" s="53"/>
      <c r="Q158" s="53">
        <v>0</v>
      </c>
      <c r="R158" s="53"/>
      <c r="S158" s="53">
        <v>0</v>
      </c>
      <c r="T158" s="53"/>
      <c r="U158" s="53">
        <v>0</v>
      </c>
      <c r="V158" s="53"/>
      <c r="W158" s="53">
        <f t="shared" si="44"/>
        <v>0</v>
      </c>
      <c r="X158" s="137"/>
      <c r="Y158" s="126" t="s">
        <v>190</v>
      </c>
      <c r="AA158" s="126" t="s">
        <v>47</v>
      </c>
      <c r="AB158" s="126"/>
      <c r="AC158" s="53">
        <v>0</v>
      </c>
      <c r="AD158" s="53"/>
      <c r="AE158" s="53">
        <v>0</v>
      </c>
      <c r="AF158" s="53"/>
      <c r="AG158" s="53">
        <v>0</v>
      </c>
      <c r="AH158" s="53"/>
      <c r="AI158" s="45">
        <f t="shared" si="45"/>
        <v>0</v>
      </c>
      <c r="AJ158" s="45"/>
      <c r="AK158" s="53">
        <v>0</v>
      </c>
      <c r="AL158" s="45"/>
      <c r="AM158" s="53">
        <v>0</v>
      </c>
      <c r="AN158" s="53"/>
      <c r="AO158" s="53">
        <v>0</v>
      </c>
      <c r="AP158" s="53"/>
      <c r="AQ158" s="53">
        <v>0</v>
      </c>
      <c r="AR158" s="53"/>
      <c r="AS158" s="45">
        <f t="shared" si="48"/>
        <v>0</v>
      </c>
      <c r="AT158" s="45"/>
      <c r="AU158" s="53">
        <v>0</v>
      </c>
      <c r="AV158" s="53"/>
      <c r="AW158" s="53">
        <v>0</v>
      </c>
      <c r="AX158" s="53"/>
      <c r="AY158" s="53">
        <f t="shared" si="46"/>
        <v>0</v>
      </c>
      <c r="AZ158" s="53"/>
      <c r="BA158" s="126" t="s">
        <v>190</v>
      </c>
      <c r="BC158" s="126" t="s">
        <v>47</v>
      </c>
      <c r="BD158" s="137"/>
      <c r="BE158" s="53">
        <v>0</v>
      </c>
      <c r="BF158" s="53"/>
      <c r="BG158" s="53">
        <v>0</v>
      </c>
      <c r="BH158" s="53"/>
      <c r="BI158" s="53">
        <v>0</v>
      </c>
      <c r="BJ158" s="53"/>
      <c r="BK158" s="53">
        <v>0</v>
      </c>
      <c r="BL158" s="137"/>
      <c r="BM158" s="137">
        <f t="shared" si="42"/>
        <v>0</v>
      </c>
      <c r="BN158" s="139" t="s">
        <v>347</v>
      </c>
      <c r="BR158" s="124"/>
      <c r="BS158" s="137" t="s">
        <v>450</v>
      </c>
      <c r="BT158" s="137"/>
      <c r="BU158" s="137"/>
      <c r="BV158" s="137"/>
      <c r="BW158" s="137"/>
      <c r="BX158" s="127"/>
      <c r="BY158" s="127"/>
      <c r="BZ158" s="137"/>
      <c r="CA158" s="137"/>
      <c r="CB158" s="137"/>
      <c r="CC158" s="137"/>
      <c r="CD158" s="137"/>
      <c r="CE158" s="137"/>
      <c r="CF158" s="126"/>
      <c r="CH158" s="126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9"/>
    </row>
    <row r="159" spans="1:97" s="140" customFormat="1" ht="12.75" hidden="1" customHeight="1">
      <c r="A159" s="126" t="s">
        <v>191</v>
      </c>
      <c r="B159" s="124"/>
      <c r="C159" s="126" t="s">
        <v>13</v>
      </c>
      <c r="D159" s="121"/>
      <c r="E159" s="53">
        <f t="shared" si="47"/>
        <v>0</v>
      </c>
      <c r="F159" s="53"/>
      <c r="G159" s="53">
        <v>0</v>
      </c>
      <c r="H159" s="53"/>
      <c r="I159" s="53">
        <v>0</v>
      </c>
      <c r="J159" s="53"/>
      <c r="K159" s="53">
        <f t="shared" si="43"/>
        <v>0</v>
      </c>
      <c r="L159" s="53"/>
      <c r="M159" s="53">
        <v>0</v>
      </c>
      <c r="N159" s="53"/>
      <c r="O159" s="53">
        <v>0</v>
      </c>
      <c r="P159" s="53"/>
      <c r="Q159" s="53">
        <v>0</v>
      </c>
      <c r="R159" s="53"/>
      <c r="S159" s="53">
        <v>0</v>
      </c>
      <c r="T159" s="53"/>
      <c r="U159" s="53">
        <v>0</v>
      </c>
      <c r="V159" s="53"/>
      <c r="W159" s="53">
        <f t="shared" si="44"/>
        <v>0</v>
      </c>
      <c r="X159" s="137"/>
      <c r="Y159" s="126" t="s">
        <v>191</v>
      </c>
      <c r="AA159" s="126" t="s">
        <v>13</v>
      </c>
      <c r="AB159" s="126"/>
      <c r="AC159" s="53">
        <v>0</v>
      </c>
      <c r="AD159" s="53"/>
      <c r="AE159" s="53">
        <v>0</v>
      </c>
      <c r="AF159" s="53"/>
      <c r="AG159" s="53">
        <v>0</v>
      </c>
      <c r="AH159" s="53"/>
      <c r="AI159" s="45">
        <f t="shared" si="45"/>
        <v>0</v>
      </c>
      <c r="AJ159" s="45"/>
      <c r="AK159" s="53">
        <v>0</v>
      </c>
      <c r="AL159" s="45"/>
      <c r="AM159" s="53">
        <v>0</v>
      </c>
      <c r="AN159" s="53"/>
      <c r="AO159" s="53">
        <v>0</v>
      </c>
      <c r="AP159" s="53"/>
      <c r="AQ159" s="53">
        <v>0</v>
      </c>
      <c r="AR159" s="53"/>
      <c r="AS159" s="45">
        <f t="shared" si="48"/>
        <v>0</v>
      </c>
      <c r="AT159" s="45"/>
      <c r="AU159" s="53">
        <v>0</v>
      </c>
      <c r="AV159" s="53"/>
      <c r="AW159" s="53">
        <v>0</v>
      </c>
      <c r="AX159" s="53"/>
      <c r="AY159" s="53">
        <f t="shared" si="46"/>
        <v>0</v>
      </c>
      <c r="AZ159" s="53"/>
      <c r="BA159" s="126" t="s">
        <v>191</v>
      </c>
      <c r="BC159" s="126" t="s">
        <v>13</v>
      </c>
      <c r="BD159" s="137"/>
      <c r="BE159" s="53">
        <v>0</v>
      </c>
      <c r="BF159" s="53"/>
      <c r="BG159" s="53">
        <v>0</v>
      </c>
      <c r="BH159" s="53"/>
      <c r="BI159" s="53">
        <v>0</v>
      </c>
      <c r="BJ159" s="53"/>
      <c r="BK159" s="53">
        <v>0</v>
      </c>
      <c r="BL159" s="137"/>
      <c r="BM159" s="137">
        <f t="shared" si="42"/>
        <v>0</v>
      </c>
      <c r="BN159" s="139" t="s">
        <v>347</v>
      </c>
      <c r="BO159" s="140" t="s">
        <v>404</v>
      </c>
      <c r="BR159" s="124"/>
      <c r="BS159" s="137"/>
      <c r="BT159" s="137"/>
      <c r="BU159" s="137"/>
      <c r="BV159" s="137"/>
      <c r="BW159" s="137"/>
      <c r="BX159" s="127"/>
      <c r="BY159" s="127"/>
      <c r="BZ159" s="137"/>
      <c r="CA159" s="137"/>
      <c r="CB159" s="137"/>
      <c r="CC159" s="137"/>
      <c r="CD159" s="137"/>
      <c r="CE159" s="137"/>
      <c r="CF159" s="126"/>
      <c r="CH159" s="126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9"/>
    </row>
    <row r="160" spans="1:97" s="55" customFormat="1" ht="12.75" customHeight="1">
      <c r="A160" s="35"/>
      <c r="C160" s="35"/>
      <c r="D160" s="44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 t="s">
        <v>484</v>
      </c>
      <c r="X160" s="53"/>
      <c r="Y160" s="35"/>
      <c r="AA160" s="35"/>
      <c r="AB160" s="35"/>
      <c r="AC160" s="53"/>
      <c r="AD160" s="53"/>
      <c r="AE160" s="53"/>
      <c r="AF160" s="53"/>
      <c r="AG160" s="53"/>
      <c r="AH160" s="53"/>
      <c r="AI160" s="45"/>
      <c r="AJ160" s="45"/>
      <c r="AK160" s="53"/>
      <c r="AL160" s="45"/>
      <c r="AM160" s="53"/>
      <c r="AN160" s="53"/>
      <c r="AO160" s="53"/>
      <c r="AP160" s="53"/>
      <c r="AQ160" s="53"/>
      <c r="AR160" s="53"/>
      <c r="AS160" s="45"/>
      <c r="AT160" s="45"/>
      <c r="AU160" s="53"/>
      <c r="AV160" s="53"/>
      <c r="AW160" s="53"/>
      <c r="AX160" s="53"/>
      <c r="AY160" s="53" t="s">
        <v>484</v>
      </c>
      <c r="AZ160" s="53"/>
      <c r="BA160" s="35"/>
      <c r="BC160" s="35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 t="s">
        <v>484</v>
      </c>
      <c r="BN160" s="54"/>
      <c r="BR160" s="51"/>
      <c r="BS160" s="53"/>
      <c r="BT160" s="53"/>
      <c r="BU160" s="53"/>
      <c r="BV160" s="53"/>
      <c r="BW160" s="53"/>
      <c r="BX160" s="45"/>
      <c r="BY160" s="45"/>
      <c r="BZ160" s="53"/>
      <c r="CA160" s="53"/>
      <c r="CB160" s="53"/>
      <c r="CC160" s="53"/>
      <c r="CD160" s="53"/>
      <c r="CE160" s="53"/>
      <c r="CF160" s="35"/>
      <c r="CH160" s="35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4"/>
    </row>
    <row r="161" spans="1:98" s="90" customFormat="1" ht="12.75" customHeight="1">
      <c r="A161" s="64" t="s">
        <v>192</v>
      </c>
      <c r="C161" s="64" t="s">
        <v>38</v>
      </c>
      <c r="D161" s="46"/>
      <c r="E161" s="79">
        <f t="shared" si="47"/>
        <v>1830828</v>
      </c>
      <c r="F161" s="79"/>
      <c r="G161" s="79">
        <v>17101399</v>
      </c>
      <c r="H161" s="79"/>
      <c r="I161" s="79">
        <v>18932227</v>
      </c>
      <c r="J161" s="79"/>
      <c r="K161" s="79">
        <f t="shared" si="43"/>
        <v>748971</v>
      </c>
      <c r="L161" s="79"/>
      <c r="M161" s="79">
        <v>9142366</v>
      </c>
      <c r="N161" s="79"/>
      <c r="O161" s="79">
        <v>9891337</v>
      </c>
      <c r="P161" s="79"/>
      <c r="Q161" s="79">
        <v>7535229</v>
      </c>
      <c r="R161" s="79"/>
      <c r="S161" s="79">
        <v>0</v>
      </c>
      <c r="T161" s="79"/>
      <c r="U161" s="79">
        <v>1505661</v>
      </c>
      <c r="V161" s="79"/>
      <c r="W161" s="79">
        <f t="shared" si="44"/>
        <v>9040890</v>
      </c>
      <c r="X161" s="79"/>
      <c r="Y161" s="64" t="s">
        <v>192</v>
      </c>
      <c r="AA161" s="64" t="s">
        <v>38</v>
      </c>
      <c r="AB161" s="64"/>
      <c r="AC161" s="79">
        <v>2870305</v>
      </c>
      <c r="AD161" s="79"/>
      <c r="AE161" s="79">
        <f>2471406-722611</f>
        <v>1748795</v>
      </c>
      <c r="AF161" s="79"/>
      <c r="AG161" s="79">
        <v>722611</v>
      </c>
      <c r="AH161" s="79"/>
      <c r="AI161" s="94">
        <f t="shared" si="45"/>
        <v>398899</v>
      </c>
      <c r="AJ161" s="94"/>
      <c r="AK161" s="79">
        <v>-289608</v>
      </c>
      <c r="AL161" s="94"/>
      <c r="AM161" s="79">
        <v>0</v>
      </c>
      <c r="AN161" s="79"/>
      <c r="AO161" s="79">
        <v>0</v>
      </c>
      <c r="AP161" s="79"/>
      <c r="AQ161" s="79">
        <v>0</v>
      </c>
      <c r="AR161" s="79"/>
      <c r="AS161" s="94">
        <f t="shared" si="48"/>
        <v>109291</v>
      </c>
      <c r="AT161" s="94"/>
      <c r="AU161" s="79">
        <v>0</v>
      </c>
      <c r="AV161" s="79"/>
      <c r="AW161" s="79">
        <v>0</v>
      </c>
      <c r="AX161" s="79"/>
      <c r="AY161" s="79">
        <f t="shared" si="46"/>
        <v>1081857</v>
      </c>
      <c r="AZ161" s="79"/>
      <c r="BA161" s="64" t="s">
        <v>192</v>
      </c>
      <c r="BC161" s="64" t="s">
        <v>38</v>
      </c>
      <c r="BD161" s="79"/>
      <c r="BE161" s="79">
        <v>0</v>
      </c>
      <c r="BF161" s="79"/>
      <c r="BG161" s="79">
        <v>0</v>
      </c>
      <c r="BH161" s="79"/>
      <c r="BI161" s="79">
        <f>130051+8835764+14450+544541</f>
        <v>9524806</v>
      </c>
      <c r="BJ161" s="79"/>
      <c r="BK161" s="79">
        <f>155369+21182+65146+20182</f>
        <v>261879</v>
      </c>
      <c r="BL161" s="79"/>
      <c r="BM161" s="79">
        <f t="shared" si="42"/>
        <v>9786685</v>
      </c>
      <c r="BN161" s="91" t="s">
        <v>347</v>
      </c>
      <c r="BR161" s="66"/>
      <c r="BS161" s="79"/>
      <c r="BT161" s="79"/>
      <c r="BU161" s="79"/>
      <c r="BV161" s="79"/>
      <c r="BW161" s="79"/>
      <c r="BX161" s="94"/>
      <c r="BY161" s="94"/>
      <c r="BZ161" s="79"/>
      <c r="CA161" s="79"/>
      <c r="CB161" s="79"/>
      <c r="CC161" s="79"/>
      <c r="CD161" s="79"/>
      <c r="CE161" s="79"/>
      <c r="CF161" s="64"/>
      <c r="CH161" s="64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91"/>
    </row>
    <row r="162" spans="1:98" s="140" customFormat="1" ht="12.75" hidden="1" customHeight="1">
      <c r="A162" s="126" t="s">
        <v>193</v>
      </c>
      <c r="B162" s="124"/>
      <c r="C162" s="126" t="s">
        <v>45</v>
      </c>
      <c r="D162" s="121"/>
      <c r="E162" s="53">
        <f t="shared" si="47"/>
        <v>0</v>
      </c>
      <c r="F162" s="53"/>
      <c r="G162" s="53">
        <v>0</v>
      </c>
      <c r="H162" s="53"/>
      <c r="I162" s="53">
        <v>0</v>
      </c>
      <c r="J162" s="53"/>
      <c r="K162" s="53">
        <f t="shared" si="43"/>
        <v>0</v>
      </c>
      <c r="L162" s="53"/>
      <c r="M162" s="53">
        <v>0</v>
      </c>
      <c r="N162" s="53"/>
      <c r="O162" s="53">
        <v>0</v>
      </c>
      <c r="P162" s="53"/>
      <c r="Q162" s="53">
        <v>0</v>
      </c>
      <c r="R162" s="53"/>
      <c r="S162" s="53">
        <v>0</v>
      </c>
      <c r="T162" s="53"/>
      <c r="U162" s="53">
        <v>0</v>
      </c>
      <c r="V162" s="53"/>
      <c r="W162" s="53">
        <f t="shared" si="44"/>
        <v>0</v>
      </c>
      <c r="X162" s="137"/>
      <c r="Y162" s="126" t="s">
        <v>193</v>
      </c>
      <c r="AA162" s="126" t="s">
        <v>45</v>
      </c>
      <c r="AB162" s="126"/>
      <c r="AC162" s="53">
        <v>0</v>
      </c>
      <c r="AD162" s="53"/>
      <c r="AE162" s="53">
        <v>0</v>
      </c>
      <c r="AF162" s="53"/>
      <c r="AG162" s="53">
        <v>0</v>
      </c>
      <c r="AH162" s="53"/>
      <c r="AI162" s="45">
        <f t="shared" si="45"/>
        <v>0</v>
      </c>
      <c r="AJ162" s="45"/>
      <c r="AK162" s="53">
        <v>0</v>
      </c>
      <c r="AL162" s="45"/>
      <c r="AM162" s="53">
        <v>0</v>
      </c>
      <c r="AN162" s="53"/>
      <c r="AO162" s="53">
        <v>0</v>
      </c>
      <c r="AP162" s="53"/>
      <c r="AQ162" s="53">
        <v>0</v>
      </c>
      <c r="AR162" s="53"/>
      <c r="AS162" s="45">
        <f t="shared" si="48"/>
        <v>0</v>
      </c>
      <c r="AT162" s="45"/>
      <c r="AU162" s="53">
        <v>0</v>
      </c>
      <c r="AV162" s="53"/>
      <c r="AW162" s="53">
        <v>0</v>
      </c>
      <c r="AX162" s="53"/>
      <c r="AY162" s="53">
        <f t="shared" si="46"/>
        <v>0</v>
      </c>
      <c r="AZ162" s="53"/>
      <c r="BA162" s="126" t="s">
        <v>193</v>
      </c>
      <c r="BC162" s="126" t="s">
        <v>45</v>
      </c>
      <c r="BD162" s="137"/>
      <c r="BE162" s="53">
        <v>0</v>
      </c>
      <c r="BF162" s="53"/>
      <c r="BG162" s="53">
        <v>0</v>
      </c>
      <c r="BH162" s="53"/>
      <c r="BI162" s="53">
        <v>0</v>
      </c>
      <c r="BJ162" s="53"/>
      <c r="BK162" s="53">
        <v>0</v>
      </c>
      <c r="BL162" s="137"/>
      <c r="BM162" s="137">
        <f t="shared" si="42"/>
        <v>0</v>
      </c>
      <c r="BN162" s="139" t="s">
        <v>347</v>
      </c>
      <c r="BR162" s="124"/>
      <c r="BS162" s="137"/>
      <c r="BT162" s="137"/>
      <c r="BU162" s="137"/>
      <c r="BV162" s="127"/>
      <c r="BW162" s="127"/>
      <c r="BX162" s="127"/>
      <c r="BY162" s="127"/>
      <c r="BZ162" s="137"/>
      <c r="CA162" s="137"/>
      <c r="CB162" s="137"/>
      <c r="CC162" s="137"/>
      <c r="CD162" s="137"/>
      <c r="CE162" s="137"/>
      <c r="CF162" s="126"/>
      <c r="CH162" s="126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9"/>
    </row>
    <row r="163" spans="1:98" s="55" customFormat="1" ht="12.75" customHeight="1">
      <c r="A163" s="35" t="s">
        <v>194</v>
      </c>
      <c r="B163" s="51"/>
      <c r="C163" s="35" t="s">
        <v>66</v>
      </c>
      <c r="D163" s="44"/>
      <c r="E163" s="53">
        <f t="shared" si="47"/>
        <v>1142120</v>
      </c>
      <c r="F163" s="53"/>
      <c r="G163" s="53">
        <v>1002091</v>
      </c>
      <c r="H163" s="53"/>
      <c r="I163" s="53">
        <v>2144211</v>
      </c>
      <c r="J163" s="53"/>
      <c r="K163" s="53">
        <f t="shared" si="43"/>
        <v>586525</v>
      </c>
      <c r="L163" s="53"/>
      <c r="M163" s="53">
        <v>147555</v>
      </c>
      <c r="N163" s="53"/>
      <c r="O163" s="53">
        <v>734080</v>
      </c>
      <c r="P163" s="53"/>
      <c r="Q163" s="53">
        <v>859867</v>
      </c>
      <c r="R163" s="53"/>
      <c r="S163" s="53">
        <v>0</v>
      </c>
      <c r="T163" s="53"/>
      <c r="U163" s="53">
        <v>550264</v>
      </c>
      <c r="V163" s="53"/>
      <c r="W163" s="53">
        <f t="shared" si="44"/>
        <v>1410131</v>
      </c>
      <c r="X163" s="53"/>
      <c r="Y163" s="35" t="s">
        <v>194</v>
      </c>
      <c r="AA163" s="35" t="s">
        <v>66</v>
      </c>
      <c r="AB163" s="35"/>
      <c r="AC163" s="53">
        <v>1565501</v>
      </c>
      <c r="AD163" s="53"/>
      <c r="AE163" s="53">
        <f>1491622-27300</f>
        <v>1464322</v>
      </c>
      <c r="AF163" s="53"/>
      <c r="AG163" s="53">
        <v>27300</v>
      </c>
      <c r="AH163" s="53"/>
      <c r="AI163" s="45">
        <f t="shared" si="45"/>
        <v>73879</v>
      </c>
      <c r="AJ163" s="45"/>
      <c r="AK163" s="53">
        <v>12000</v>
      </c>
      <c r="AL163" s="45"/>
      <c r="AM163" s="53">
        <v>0</v>
      </c>
      <c r="AN163" s="53"/>
      <c r="AO163" s="53">
        <v>0</v>
      </c>
      <c r="AP163" s="53"/>
      <c r="AQ163" s="53">
        <v>0</v>
      </c>
      <c r="AR163" s="53"/>
      <c r="AS163" s="45">
        <f t="shared" si="48"/>
        <v>85879</v>
      </c>
      <c r="AT163" s="45"/>
      <c r="AU163" s="53">
        <v>0</v>
      </c>
      <c r="AV163" s="53"/>
      <c r="AW163" s="53">
        <v>0</v>
      </c>
      <c r="AX163" s="53"/>
      <c r="AY163" s="53">
        <f t="shared" si="46"/>
        <v>555595</v>
      </c>
      <c r="AZ163" s="53"/>
      <c r="BA163" s="35" t="s">
        <v>194</v>
      </c>
      <c r="BC163" s="35" t="s">
        <v>66</v>
      </c>
      <c r="BD163" s="53"/>
      <c r="BE163" s="53">
        <v>0</v>
      </c>
      <c r="BF163" s="53"/>
      <c r="BG163" s="53">
        <v>0</v>
      </c>
      <c r="BH163" s="53"/>
      <c r="BI163" s="53">
        <f>116365+25859</f>
        <v>142224</v>
      </c>
      <c r="BJ163" s="53"/>
      <c r="BK163" s="53">
        <f>7798+31190</f>
        <v>38988</v>
      </c>
      <c r="BL163" s="53"/>
      <c r="BM163" s="53">
        <f>SUM(BE163:BK163)</f>
        <v>181212</v>
      </c>
      <c r="BN163" s="54" t="s">
        <v>347</v>
      </c>
      <c r="BR163" s="51"/>
      <c r="BS163" s="53"/>
      <c r="BT163" s="53"/>
      <c r="BU163" s="53"/>
      <c r="BV163" s="53"/>
      <c r="BW163" s="53"/>
      <c r="BX163" s="45"/>
      <c r="BY163" s="45"/>
      <c r="BZ163" s="53"/>
      <c r="CA163" s="53"/>
      <c r="CB163" s="53"/>
      <c r="CC163" s="53"/>
      <c r="CD163" s="53"/>
      <c r="CE163" s="53"/>
      <c r="CF163" s="35"/>
      <c r="CH163" s="35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4"/>
    </row>
    <row r="164" spans="1:98" s="55" customFormat="1" ht="12.75" customHeight="1">
      <c r="A164" s="35" t="s">
        <v>195</v>
      </c>
      <c r="B164" s="51"/>
      <c r="C164" s="35" t="s">
        <v>17</v>
      </c>
      <c r="D164" s="44"/>
      <c r="E164" s="53">
        <f t="shared" si="47"/>
        <v>4551281</v>
      </c>
      <c r="F164" s="53"/>
      <c r="G164" s="53">
        <v>7442293</v>
      </c>
      <c r="H164" s="53"/>
      <c r="I164" s="53">
        <v>11993574</v>
      </c>
      <c r="J164" s="53"/>
      <c r="K164" s="53">
        <f t="shared" si="43"/>
        <v>418118</v>
      </c>
      <c r="L164" s="53"/>
      <c r="M164" s="53">
        <f>56231+1045098</f>
        <v>1101329</v>
      </c>
      <c r="N164" s="53"/>
      <c r="O164" s="53">
        <v>1519447</v>
      </c>
      <c r="P164" s="53"/>
      <c r="Q164" s="53">
        <v>6014344</v>
      </c>
      <c r="R164" s="53"/>
      <c r="S164" s="53">
        <v>0</v>
      </c>
      <c r="T164" s="53"/>
      <c r="U164" s="53">
        <v>4459783</v>
      </c>
      <c r="V164" s="53"/>
      <c r="W164" s="53">
        <f t="shared" si="44"/>
        <v>10474127</v>
      </c>
      <c r="X164" s="53"/>
      <c r="Y164" s="35" t="s">
        <v>195</v>
      </c>
      <c r="AA164" s="35" t="s">
        <v>17</v>
      </c>
      <c r="AB164" s="35"/>
      <c r="AC164" s="53">
        <v>1656693</v>
      </c>
      <c r="AD164" s="53"/>
      <c r="AE164" s="53">
        <f>1151531-413822</f>
        <v>737709</v>
      </c>
      <c r="AF164" s="53"/>
      <c r="AG164" s="53">
        <v>413822</v>
      </c>
      <c r="AH164" s="53"/>
      <c r="AI164" s="45">
        <f t="shared" si="45"/>
        <v>505162</v>
      </c>
      <c r="AJ164" s="45"/>
      <c r="AK164" s="53">
        <v>-90232</v>
      </c>
      <c r="AL164" s="45"/>
      <c r="AM164" s="53">
        <v>0</v>
      </c>
      <c r="AN164" s="53"/>
      <c r="AO164" s="53">
        <v>24602</v>
      </c>
      <c r="AP164" s="53"/>
      <c r="AQ164" s="53">
        <v>0</v>
      </c>
      <c r="AR164" s="53"/>
      <c r="AS164" s="45">
        <f t="shared" si="48"/>
        <v>390328</v>
      </c>
      <c r="AT164" s="45"/>
      <c r="AU164" s="53">
        <v>0</v>
      </c>
      <c r="AV164" s="53"/>
      <c r="AW164" s="53">
        <v>0</v>
      </c>
      <c r="AX164" s="53"/>
      <c r="AY164" s="53">
        <f t="shared" si="46"/>
        <v>4133163</v>
      </c>
      <c r="AZ164" s="53"/>
      <c r="BA164" s="35" t="s">
        <v>195</v>
      </c>
      <c r="BC164" s="35" t="s">
        <v>17</v>
      </c>
      <c r="BD164" s="53"/>
      <c r="BE164" s="53">
        <v>0</v>
      </c>
      <c r="BF164" s="53"/>
      <c r="BG164" s="53">
        <v>0</v>
      </c>
      <c r="BH164" s="53"/>
      <c r="BI164" s="53">
        <v>1045098</v>
      </c>
      <c r="BJ164" s="53"/>
      <c r="BK164" s="53">
        <v>56231</v>
      </c>
      <c r="BL164" s="53"/>
      <c r="BM164" s="53">
        <f t="shared" si="42"/>
        <v>1101329</v>
      </c>
      <c r="BN164" s="54" t="s">
        <v>347</v>
      </c>
      <c r="BR164" s="51"/>
      <c r="BS164" s="53"/>
      <c r="BT164" s="53"/>
      <c r="BU164" s="53"/>
      <c r="BV164" s="53"/>
      <c r="BW164" s="53"/>
      <c r="BX164" s="45"/>
      <c r="BY164" s="45"/>
      <c r="BZ164" s="53"/>
      <c r="CA164" s="53"/>
      <c r="CB164" s="53"/>
      <c r="CC164" s="53"/>
      <c r="CD164" s="53"/>
      <c r="CE164" s="53"/>
      <c r="CF164" s="35"/>
      <c r="CH164" s="35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4"/>
    </row>
    <row r="165" spans="1:98" s="140" customFormat="1" ht="12.75" hidden="1" customHeight="1">
      <c r="A165" s="126" t="s">
        <v>196</v>
      </c>
      <c r="B165" s="124"/>
      <c r="C165" s="126" t="s">
        <v>27</v>
      </c>
      <c r="D165" s="121"/>
      <c r="E165" s="53">
        <f t="shared" si="47"/>
        <v>0</v>
      </c>
      <c r="F165" s="53"/>
      <c r="G165" s="53">
        <v>0</v>
      </c>
      <c r="H165" s="53"/>
      <c r="I165" s="53">
        <v>0</v>
      </c>
      <c r="J165" s="53"/>
      <c r="K165" s="53">
        <f t="shared" si="43"/>
        <v>0</v>
      </c>
      <c r="L165" s="53"/>
      <c r="M165" s="53">
        <v>0</v>
      </c>
      <c r="N165" s="53"/>
      <c r="O165" s="53">
        <v>0</v>
      </c>
      <c r="P165" s="53"/>
      <c r="Q165" s="53">
        <v>0</v>
      </c>
      <c r="R165" s="53"/>
      <c r="S165" s="53">
        <v>0</v>
      </c>
      <c r="T165" s="53"/>
      <c r="U165" s="53">
        <v>0</v>
      </c>
      <c r="V165" s="53"/>
      <c r="W165" s="53">
        <f t="shared" si="44"/>
        <v>0</v>
      </c>
      <c r="X165" s="137"/>
      <c r="Y165" s="126" t="s">
        <v>196</v>
      </c>
      <c r="AA165" s="126" t="s">
        <v>27</v>
      </c>
      <c r="AB165" s="126"/>
      <c r="AC165" s="53">
        <v>0</v>
      </c>
      <c r="AD165" s="53"/>
      <c r="AE165" s="53">
        <v>0</v>
      </c>
      <c r="AF165" s="53"/>
      <c r="AG165" s="53">
        <v>0</v>
      </c>
      <c r="AH165" s="53"/>
      <c r="AI165" s="45">
        <f t="shared" si="45"/>
        <v>0</v>
      </c>
      <c r="AJ165" s="45"/>
      <c r="AK165" s="53">
        <v>0</v>
      </c>
      <c r="AL165" s="45"/>
      <c r="AM165" s="53">
        <v>0</v>
      </c>
      <c r="AN165" s="53"/>
      <c r="AO165" s="53">
        <v>0</v>
      </c>
      <c r="AP165" s="53"/>
      <c r="AQ165" s="53">
        <v>0</v>
      </c>
      <c r="AR165" s="53"/>
      <c r="AS165" s="45">
        <f t="shared" si="48"/>
        <v>0</v>
      </c>
      <c r="AT165" s="45"/>
      <c r="AU165" s="53">
        <v>0</v>
      </c>
      <c r="AV165" s="53"/>
      <c r="AW165" s="53">
        <v>0</v>
      </c>
      <c r="AX165" s="53"/>
      <c r="AY165" s="53">
        <f t="shared" si="46"/>
        <v>0</v>
      </c>
      <c r="AZ165" s="53"/>
      <c r="BA165" s="126" t="s">
        <v>196</v>
      </c>
      <c r="BC165" s="126" t="s">
        <v>27</v>
      </c>
      <c r="BD165" s="137"/>
      <c r="BE165" s="53">
        <v>0</v>
      </c>
      <c r="BF165" s="53"/>
      <c r="BG165" s="53">
        <v>0</v>
      </c>
      <c r="BH165" s="53"/>
      <c r="BI165" s="53">
        <v>0</v>
      </c>
      <c r="BJ165" s="53"/>
      <c r="BK165" s="53">
        <v>0</v>
      </c>
      <c r="BL165" s="137"/>
      <c r="BM165" s="137">
        <f t="shared" si="42"/>
        <v>0</v>
      </c>
      <c r="BN165" s="139" t="s">
        <v>347</v>
      </c>
      <c r="BR165" s="124"/>
      <c r="BS165" s="137"/>
      <c r="BT165" s="137"/>
      <c r="BU165" s="137"/>
      <c r="BV165" s="137"/>
      <c r="BW165" s="137"/>
      <c r="BX165" s="127"/>
      <c r="BY165" s="127"/>
      <c r="BZ165" s="137"/>
      <c r="CA165" s="137"/>
      <c r="CB165" s="137"/>
      <c r="CC165" s="137"/>
      <c r="CD165" s="137"/>
      <c r="CE165" s="137"/>
      <c r="CF165" s="126"/>
      <c r="CH165" s="126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9"/>
    </row>
    <row r="166" spans="1:98" s="55" customFormat="1" ht="12.75" customHeight="1">
      <c r="A166" s="35" t="s">
        <v>402</v>
      </c>
      <c r="B166" s="51"/>
      <c r="C166" s="35" t="s">
        <v>153</v>
      </c>
      <c r="D166" s="44"/>
      <c r="E166" s="53">
        <f t="shared" si="47"/>
        <v>1313229</v>
      </c>
      <c r="F166" s="53"/>
      <c r="G166" s="53">
        <v>8405942</v>
      </c>
      <c r="H166" s="53"/>
      <c r="I166" s="53">
        <v>9719171</v>
      </c>
      <c r="J166" s="53"/>
      <c r="K166" s="53">
        <f t="shared" si="43"/>
        <v>140278</v>
      </c>
      <c r="L166" s="53"/>
      <c r="M166" s="53">
        <v>946029</v>
      </c>
      <c r="N166" s="53"/>
      <c r="O166" s="53">
        <v>1086307</v>
      </c>
      <c r="P166" s="53"/>
      <c r="Q166" s="53">
        <v>7443872</v>
      </c>
      <c r="R166" s="53"/>
      <c r="S166" s="53">
        <v>0</v>
      </c>
      <c r="T166" s="53"/>
      <c r="U166" s="53">
        <v>1188992</v>
      </c>
      <c r="V166" s="53"/>
      <c r="W166" s="53">
        <f t="shared" si="44"/>
        <v>8632864</v>
      </c>
      <c r="X166" s="53"/>
      <c r="Y166" s="35" t="s">
        <v>386</v>
      </c>
      <c r="AA166" s="35" t="s">
        <v>153</v>
      </c>
      <c r="AB166" s="35"/>
      <c r="AC166" s="53">
        <v>915342</v>
      </c>
      <c r="AD166" s="53"/>
      <c r="AE166" s="53">
        <f>1074787-185353</f>
        <v>889434</v>
      </c>
      <c r="AF166" s="53"/>
      <c r="AG166" s="53">
        <v>185353</v>
      </c>
      <c r="AH166" s="53"/>
      <c r="AI166" s="45">
        <f t="shared" si="45"/>
        <v>-159445</v>
      </c>
      <c r="AJ166" s="45"/>
      <c r="AK166" s="53">
        <v>0</v>
      </c>
      <c r="AL166" s="45"/>
      <c r="AM166" s="53">
        <v>24851</v>
      </c>
      <c r="AN166" s="53"/>
      <c r="AO166" s="53">
        <v>0</v>
      </c>
      <c r="AP166" s="53"/>
      <c r="AQ166" s="53">
        <v>204500</v>
      </c>
      <c r="AR166" s="53"/>
      <c r="AS166" s="45">
        <f t="shared" si="48"/>
        <v>69906</v>
      </c>
      <c r="AT166" s="45"/>
      <c r="AU166" s="53">
        <v>0</v>
      </c>
      <c r="AV166" s="53"/>
      <c r="AW166" s="53">
        <v>0</v>
      </c>
      <c r="AX166" s="53"/>
      <c r="AY166" s="53">
        <f t="shared" si="46"/>
        <v>1172951</v>
      </c>
      <c r="AZ166" s="53"/>
      <c r="BA166" s="35" t="s">
        <v>386</v>
      </c>
      <c r="BC166" s="35" t="s">
        <v>153</v>
      </c>
      <c r="BD166" s="53"/>
      <c r="BE166" s="53">
        <v>0</v>
      </c>
      <c r="BF166" s="53"/>
      <c r="BG166" s="53">
        <v>0</v>
      </c>
      <c r="BH166" s="53"/>
      <c r="BI166" s="53">
        <f>932030+30040</f>
        <v>962070</v>
      </c>
      <c r="BJ166" s="53"/>
      <c r="BK166" s="53">
        <f>13999+4989</f>
        <v>18988</v>
      </c>
      <c r="BL166" s="53"/>
      <c r="BM166" s="53">
        <f t="shared" si="42"/>
        <v>981058</v>
      </c>
      <c r="BN166" s="54" t="s">
        <v>347</v>
      </c>
      <c r="BO166" s="55" t="s">
        <v>404</v>
      </c>
      <c r="BR166" s="51"/>
      <c r="BS166" s="53"/>
      <c r="BT166" s="53"/>
      <c r="BU166" s="53"/>
      <c r="BV166" s="53"/>
      <c r="BW166" s="53"/>
      <c r="BX166" s="45"/>
      <c r="BY166" s="45"/>
      <c r="BZ166" s="53"/>
      <c r="CA166" s="53"/>
      <c r="CB166" s="53"/>
      <c r="CC166" s="53"/>
      <c r="CD166" s="53"/>
      <c r="CE166" s="53"/>
      <c r="CF166" s="35"/>
      <c r="CH166" s="35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4"/>
    </row>
    <row r="167" spans="1:98" s="55" customFormat="1" ht="12.75" customHeight="1">
      <c r="A167" s="35" t="s">
        <v>197</v>
      </c>
      <c r="B167" s="51"/>
      <c r="C167" s="35" t="s">
        <v>163</v>
      </c>
      <c r="D167" s="44"/>
      <c r="E167" s="53">
        <f t="shared" si="47"/>
        <v>3702047</v>
      </c>
      <c r="F167" s="53"/>
      <c r="G167" s="53">
        <v>24992585</v>
      </c>
      <c r="H167" s="53"/>
      <c r="I167" s="53">
        <v>28694632</v>
      </c>
      <c r="J167" s="53"/>
      <c r="K167" s="53">
        <f t="shared" si="43"/>
        <v>876827</v>
      </c>
      <c r="L167" s="53"/>
      <c r="M167" s="53">
        <v>9000542</v>
      </c>
      <c r="N167" s="53"/>
      <c r="O167" s="53">
        <v>9877369</v>
      </c>
      <c r="P167" s="53"/>
      <c r="Q167" s="53">
        <v>30393824</v>
      </c>
      <c r="R167" s="53"/>
      <c r="S167" s="53">
        <v>0</v>
      </c>
      <c r="T167" s="53"/>
      <c r="U167" s="53">
        <v>-11576561</v>
      </c>
      <c r="V167" s="53"/>
      <c r="W167" s="53">
        <f t="shared" si="44"/>
        <v>18817263</v>
      </c>
      <c r="X167" s="53"/>
      <c r="Y167" s="35" t="s">
        <v>197</v>
      </c>
      <c r="AA167" s="35" t="s">
        <v>163</v>
      </c>
      <c r="AB167" s="35"/>
      <c r="AC167" s="53">
        <v>4284116</v>
      </c>
      <c r="AD167" s="53"/>
      <c r="AE167" s="53">
        <f>4604654-1668086</f>
        <v>2936568</v>
      </c>
      <c r="AF167" s="53"/>
      <c r="AG167" s="53">
        <v>1668086</v>
      </c>
      <c r="AH167" s="53"/>
      <c r="AI167" s="45">
        <f t="shared" si="45"/>
        <v>-320538</v>
      </c>
      <c r="AJ167" s="45"/>
      <c r="AK167" s="53">
        <v>-389982</v>
      </c>
      <c r="AL167" s="45"/>
      <c r="AM167" s="53">
        <v>949813</v>
      </c>
      <c r="AN167" s="53"/>
      <c r="AO167" s="53">
        <v>443230</v>
      </c>
      <c r="AP167" s="53"/>
      <c r="AQ167" s="53">
        <v>0</v>
      </c>
      <c r="AR167" s="53"/>
      <c r="AS167" s="45">
        <f t="shared" si="48"/>
        <v>-203937</v>
      </c>
      <c r="AT167" s="45"/>
      <c r="AU167" s="53">
        <v>0</v>
      </c>
      <c r="AV167" s="53"/>
      <c r="AW167" s="53">
        <v>0</v>
      </c>
      <c r="AX167" s="53"/>
      <c r="AY167" s="53">
        <f t="shared" si="46"/>
        <v>2825220</v>
      </c>
      <c r="AZ167" s="53"/>
      <c r="BA167" s="35" t="s">
        <v>197</v>
      </c>
      <c r="BC167" s="35" t="s">
        <v>163</v>
      </c>
      <c r="BD167" s="53"/>
      <c r="BE167" s="53">
        <f>1475000+175000</f>
        <v>1650000</v>
      </c>
      <c r="BF167" s="53"/>
      <c r="BG167" s="53">
        <v>0</v>
      </c>
      <c r="BH167" s="53"/>
      <c r="BI167" s="53">
        <f>7100285+140207+508827+14505</f>
        <v>7763824</v>
      </c>
      <c r="BJ167" s="53"/>
      <c r="BK167" s="53">
        <v>285050</v>
      </c>
      <c r="BL167" s="53"/>
      <c r="BM167" s="53">
        <f t="shared" si="42"/>
        <v>9698874</v>
      </c>
      <c r="BN167" s="54" t="s">
        <v>347</v>
      </c>
      <c r="BR167" s="51"/>
      <c r="BS167" s="53"/>
      <c r="BT167" s="53"/>
      <c r="BU167" s="53"/>
      <c r="BV167" s="53"/>
      <c r="BW167" s="53"/>
      <c r="BX167" s="45"/>
      <c r="BY167" s="45"/>
      <c r="BZ167" s="53"/>
      <c r="CA167" s="53"/>
      <c r="CB167" s="53"/>
      <c r="CC167" s="53"/>
      <c r="CD167" s="53"/>
      <c r="CE167" s="53"/>
      <c r="CF167" s="35"/>
      <c r="CH167" s="35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4"/>
    </row>
    <row r="168" spans="1:98" s="55" customFormat="1" ht="12.75" customHeight="1">
      <c r="A168" s="35" t="s">
        <v>198</v>
      </c>
      <c r="B168" s="51"/>
      <c r="C168" s="35" t="s">
        <v>199</v>
      </c>
      <c r="D168" s="44"/>
      <c r="E168" s="53">
        <f t="shared" si="47"/>
        <v>4053100</v>
      </c>
      <c r="F168" s="53"/>
      <c r="G168" s="53">
        <v>6448179</v>
      </c>
      <c r="H168" s="53"/>
      <c r="I168" s="53">
        <v>10501279</v>
      </c>
      <c r="J168" s="53"/>
      <c r="K168" s="53">
        <f t="shared" si="43"/>
        <v>959656</v>
      </c>
      <c r="L168" s="53"/>
      <c r="M168" s="53">
        <v>577825</v>
      </c>
      <c r="N168" s="53"/>
      <c r="O168" s="53">
        <v>1537481</v>
      </c>
      <c r="P168" s="53"/>
      <c r="Q168" s="53">
        <v>5401180</v>
      </c>
      <c r="R168" s="53"/>
      <c r="S168" s="53">
        <v>0</v>
      </c>
      <c r="T168" s="53"/>
      <c r="U168" s="53">
        <v>3562618</v>
      </c>
      <c r="V168" s="53"/>
      <c r="W168" s="53">
        <f t="shared" si="44"/>
        <v>8963798</v>
      </c>
      <c r="X168" s="53"/>
      <c r="Y168" s="35" t="s">
        <v>198</v>
      </c>
      <c r="AA168" s="35" t="s">
        <v>199</v>
      </c>
      <c r="AB168" s="35"/>
      <c r="AC168" s="53">
        <v>2062424</v>
      </c>
      <c r="AD168" s="53"/>
      <c r="AE168" s="53">
        <f>2346173-668815</f>
        <v>1677358</v>
      </c>
      <c r="AF168" s="53"/>
      <c r="AG168" s="53">
        <v>668815</v>
      </c>
      <c r="AH168" s="53"/>
      <c r="AI168" s="45">
        <f t="shared" si="45"/>
        <v>-283749</v>
      </c>
      <c r="AJ168" s="45"/>
      <c r="AK168" s="53">
        <v>-37897</v>
      </c>
      <c r="AL168" s="45"/>
      <c r="AM168" s="53">
        <v>0</v>
      </c>
      <c r="AN168" s="53"/>
      <c r="AO168" s="53">
        <v>0</v>
      </c>
      <c r="AP168" s="53"/>
      <c r="AQ168" s="53">
        <v>0</v>
      </c>
      <c r="AR168" s="53"/>
      <c r="AS168" s="45">
        <f t="shared" si="48"/>
        <v>-321646</v>
      </c>
      <c r="AT168" s="45"/>
      <c r="AU168" s="53">
        <v>0</v>
      </c>
      <c r="AV168" s="53"/>
      <c r="AW168" s="53">
        <v>0</v>
      </c>
      <c r="AX168" s="53"/>
      <c r="AY168" s="53">
        <f t="shared" si="46"/>
        <v>3093444</v>
      </c>
      <c r="AZ168" s="53"/>
      <c r="BA168" s="35" t="s">
        <v>198</v>
      </c>
      <c r="BC168" s="35" t="s">
        <v>199</v>
      </c>
      <c r="BD168" s="53"/>
      <c r="BE168" s="53">
        <v>0</v>
      </c>
      <c r="BF168" s="53"/>
      <c r="BG168" s="53">
        <v>0</v>
      </c>
      <c r="BH168" s="53"/>
      <c r="BI168" s="53">
        <f>537207+509792</f>
        <v>1046999</v>
      </c>
      <c r="BJ168" s="53"/>
      <c r="BK168" s="53">
        <f>9971+40618</f>
        <v>50589</v>
      </c>
      <c r="BL168" s="53"/>
      <c r="BM168" s="53">
        <f t="shared" si="42"/>
        <v>1097588</v>
      </c>
      <c r="BN168" s="54" t="s">
        <v>347</v>
      </c>
      <c r="BO168" s="55" t="s">
        <v>408</v>
      </c>
      <c r="BR168" s="51"/>
      <c r="BS168" s="53"/>
      <c r="BT168" s="53"/>
      <c r="BU168" s="53"/>
      <c r="BV168" s="53"/>
      <c r="BW168" s="53"/>
      <c r="BX168" s="45"/>
      <c r="BY168" s="45"/>
      <c r="BZ168" s="53"/>
      <c r="CA168" s="53"/>
      <c r="CB168" s="53"/>
      <c r="CC168" s="53"/>
      <c r="CD168" s="53"/>
      <c r="CE168" s="53"/>
      <c r="CF168" s="35"/>
      <c r="CH168" s="35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4"/>
    </row>
    <row r="169" spans="1:98" s="55" customFormat="1" ht="12.75" customHeight="1">
      <c r="A169" s="35" t="s">
        <v>200</v>
      </c>
      <c r="C169" s="35" t="s">
        <v>103</v>
      </c>
      <c r="D169" s="44"/>
      <c r="E169" s="53">
        <f t="shared" si="47"/>
        <v>7625677</v>
      </c>
      <c r="F169" s="53"/>
      <c r="G169" s="53">
        <v>15353182</v>
      </c>
      <c r="H169" s="53"/>
      <c r="I169" s="53">
        <v>22978859</v>
      </c>
      <c r="J169" s="53"/>
      <c r="K169" s="53">
        <f t="shared" si="43"/>
        <v>515475</v>
      </c>
      <c r="L169" s="53"/>
      <c r="M169" s="53">
        <v>3459684</v>
      </c>
      <c r="N169" s="53"/>
      <c r="O169" s="53">
        <v>3975159</v>
      </c>
      <c r="P169" s="53"/>
      <c r="Q169" s="53">
        <v>11615941</v>
      </c>
      <c r="R169" s="53"/>
      <c r="S169" s="53">
        <v>737570</v>
      </c>
      <c r="T169" s="53"/>
      <c r="U169" s="53">
        <v>6650189</v>
      </c>
      <c r="V169" s="53"/>
      <c r="W169" s="53">
        <f t="shared" si="44"/>
        <v>19003700</v>
      </c>
      <c r="X169" s="53"/>
      <c r="Y169" s="35" t="s">
        <v>200</v>
      </c>
      <c r="AA169" s="35" t="s">
        <v>103</v>
      </c>
      <c r="AB169" s="35"/>
      <c r="AC169" s="53">
        <v>2986556</v>
      </c>
      <c r="AD169" s="53"/>
      <c r="AE169" s="53">
        <f>2598526-774463</f>
        <v>1824063</v>
      </c>
      <c r="AF169" s="53"/>
      <c r="AG169" s="53">
        <v>774463</v>
      </c>
      <c r="AH169" s="53"/>
      <c r="AI169" s="45">
        <f t="shared" si="45"/>
        <v>388030</v>
      </c>
      <c r="AJ169" s="45"/>
      <c r="AK169" s="53">
        <v>-91210</v>
      </c>
      <c r="AL169" s="45"/>
      <c r="AM169" s="53">
        <v>0</v>
      </c>
      <c r="AN169" s="53"/>
      <c r="AO169" s="53">
        <v>0</v>
      </c>
      <c r="AP169" s="53"/>
      <c r="AQ169" s="53">
        <v>123235</v>
      </c>
      <c r="AR169" s="53"/>
      <c r="AS169" s="45">
        <f t="shared" si="48"/>
        <v>420055</v>
      </c>
      <c r="AT169" s="45"/>
      <c r="AU169" s="53">
        <v>0</v>
      </c>
      <c r="AV169" s="53"/>
      <c r="AW169" s="53">
        <v>0</v>
      </c>
      <c r="AX169" s="53"/>
      <c r="AY169" s="53">
        <f t="shared" si="46"/>
        <v>7110202</v>
      </c>
      <c r="AZ169" s="53"/>
      <c r="BA169" s="35" t="s">
        <v>200</v>
      </c>
      <c r="BC169" s="35" t="s">
        <v>103</v>
      </c>
      <c r="BD169" s="53"/>
      <c r="BE169" s="53">
        <v>0</v>
      </c>
      <c r="BF169" s="53"/>
      <c r="BG169" s="53">
        <v>0</v>
      </c>
      <c r="BH169" s="53"/>
      <c r="BI169" s="53">
        <f>3325585+411656</f>
        <v>3737241</v>
      </c>
      <c r="BJ169" s="53"/>
      <c r="BK169" s="53">
        <f>40990+134099</f>
        <v>175089</v>
      </c>
      <c r="BL169" s="53"/>
      <c r="BM169" s="53">
        <f t="shared" si="42"/>
        <v>3912330</v>
      </c>
      <c r="BN169" s="54" t="s">
        <v>347</v>
      </c>
      <c r="BR169" s="51"/>
      <c r="BS169" s="53"/>
      <c r="BT169" s="53"/>
      <c r="BU169" s="53"/>
      <c r="BV169" s="53"/>
      <c r="BW169" s="45"/>
      <c r="BX169" s="45"/>
      <c r="BY169" s="53"/>
      <c r="BZ169" s="53"/>
      <c r="CA169" s="53"/>
      <c r="CB169" s="53"/>
      <c r="CC169" s="53"/>
      <c r="CD169" s="53"/>
      <c r="CE169" s="53"/>
      <c r="CF169" s="35"/>
      <c r="CH169" s="35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4"/>
    </row>
    <row r="170" spans="1:98" s="55" customFormat="1" ht="12.75" customHeight="1">
      <c r="A170" s="35" t="s">
        <v>201</v>
      </c>
      <c r="C170" s="35" t="s">
        <v>92</v>
      </c>
      <c r="D170" s="44"/>
      <c r="E170" s="53">
        <f t="shared" si="47"/>
        <v>3604130</v>
      </c>
      <c r="F170" s="53"/>
      <c r="G170" s="53">
        <v>10855904</v>
      </c>
      <c r="H170" s="53"/>
      <c r="I170" s="53">
        <v>14460034</v>
      </c>
      <c r="J170" s="53"/>
      <c r="K170" s="53">
        <f t="shared" si="43"/>
        <v>948760</v>
      </c>
      <c r="L170" s="53"/>
      <c r="M170" s="53">
        <v>3938283</v>
      </c>
      <c r="N170" s="53"/>
      <c r="O170" s="53">
        <v>4887043</v>
      </c>
      <c r="P170" s="53"/>
      <c r="Q170" s="53">
        <v>6593289</v>
      </c>
      <c r="R170" s="53"/>
      <c r="S170" s="53">
        <v>0</v>
      </c>
      <c r="T170" s="53"/>
      <c r="U170" s="53">
        <v>2979702</v>
      </c>
      <c r="V170" s="53"/>
      <c r="W170" s="53">
        <f t="shared" si="44"/>
        <v>9572991</v>
      </c>
      <c r="X170" s="53"/>
      <c r="Y170" s="35" t="s">
        <v>201</v>
      </c>
      <c r="AA170" s="35" t="s">
        <v>92</v>
      </c>
      <c r="AB170" s="35"/>
      <c r="AC170" s="53">
        <v>3108800</v>
      </c>
      <c r="AD170" s="53"/>
      <c r="AE170" s="53">
        <f>4085364-480360</f>
        <v>3605004</v>
      </c>
      <c r="AF170" s="53"/>
      <c r="AG170" s="53">
        <v>480360</v>
      </c>
      <c r="AH170" s="53"/>
      <c r="AI170" s="45">
        <f t="shared" si="45"/>
        <v>-976564</v>
      </c>
      <c r="AJ170" s="45"/>
      <c r="AK170" s="53">
        <v>-27392</v>
      </c>
      <c r="AL170" s="45"/>
      <c r="AM170" s="53">
        <v>0</v>
      </c>
      <c r="AN170" s="53"/>
      <c r="AO170" s="53">
        <v>30900</v>
      </c>
      <c r="AP170" s="53"/>
      <c r="AQ170" s="53">
        <v>0</v>
      </c>
      <c r="AR170" s="53"/>
      <c r="AS170" s="45">
        <f t="shared" si="48"/>
        <v>-1034856</v>
      </c>
      <c r="AT170" s="45"/>
      <c r="AU170" s="53">
        <v>0</v>
      </c>
      <c r="AV170" s="53"/>
      <c r="AW170" s="53">
        <v>0</v>
      </c>
      <c r="AX170" s="53"/>
      <c r="AY170" s="53">
        <f t="shared" si="46"/>
        <v>2655370</v>
      </c>
      <c r="AZ170" s="53"/>
      <c r="BA170" s="35" t="s">
        <v>201</v>
      </c>
      <c r="BC170" s="35" t="s">
        <v>92</v>
      </c>
      <c r="BD170" s="53"/>
      <c r="BE170" s="53">
        <v>0</v>
      </c>
      <c r="BF170" s="53"/>
      <c r="BG170" s="53">
        <v>0</v>
      </c>
      <c r="BH170" s="53"/>
      <c r="BI170" s="53">
        <f>3415220+32779+248</f>
        <v>3448247</v>
      </c>
      <c r="BJ170" s="53"/>
      <c r="BK170" s="53">
        <f>218552+271732+23706+111048</f>
        <v>625038</v>
      </c>
      <c r="BL170" s="53"/>
      <c r="BM170" s="53">
        <f t="shared" si="42"/>
        <v>4073285</v>
      </c>
      <c r="BN170" s="54" t="s">
        <v>347</v>
      </c>
      <c r="BO170" s="35" t="s">
        <v>409</v>
      </c>
      <c r="BR170" s="51"/>
      <c r="BS170" s="53"/>
      <c r="BT170" s="53"/>
      <c r="BU170" s="53"/>
      <c r="BV170" s="53"/>
      <c r="BW170" s="53"/>
      <c r="BX170" s="45"/>
      <c r="BY170" s="45"/>
      <c r="BZ170" s="53"/>
      <c r="CA170" s="53"/>
      <c r="CB170" s="53"/>
      <c r="CC170" s="53"/>
      <c r="CD170" s="53"/>
      <c r="CE170" s="53"/>
      <c r="CF170" s="35"/>
      <c r="CH170" s="35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4"/>
      <c r="CT170" s="35"/>
    </row>
    <row r="171" spans="1:98" s="140" customFormat="1" ht="12" hidden="1" customHeight="1">
      <c r="A171" s="126" t="s">
        <v>202</v>
      </c>
      <c r="B171" s="124"/>
      <c r="C171" s="126" t="s">
        <v>27</v>
      </c>
      <c r="D171" s="121"/>
      <c r="E171" s="53">
        <f t="shared" si="47"/>
        <v>0</v>
      </c>
      <c r="F171" s="53"/>
      <c r="G171" s="53">
        <v>0</v>
      </c>
      <c r="H171" s="53"/>
      <c r="I171" s="53">
        <v>0</v>
      </c>
      <c r="J171" s="53"/>
      <c r="K171" s="53">
        <f t="shared" si="43"/>
        <v>0</v>
      </c>
      <c r="L171" s="53"/>
      <c r="M171" s="53">
        <v>0</v>
      </c>
      <c r="N171" s="53"/>
      <c r="O171" s="53">
        <v>0</v>
      </c>
      <c r="P171" s="53"/>
      <c r="Q171" s="53">
        <v>0</v>
      </c>
      <c r="R171" s="53"/>
      <c r="S171" s="53">
        <v>0</v>
      </c>
      <c r="T171" s="53"/>
      <c r="U171" s="53">
        <v>0</v>
      </c>
      <c r="V171" s="53"/>
      <c r="W171" s="53">
        <f t="shared" si="44"/>
        <v>0</v>
      </c>
      <c r="X171" s="137"/>
      <c r="Y171" s="126" t="s">
        <v>202</v>
      </c>
      <c r="AA171" s="126" t="s">
        <v>27</v>
      </c>
      <c r="AB171" s="126"/>
      <c r="AC171" s="53">
        <v>0</v>
      </c>
      <c r="AD171" s="53"/>
      <c r="AE171" s="53">
        <v>0</v>
      </c>
      <c r="AF171" s="53"/>
      <c r="AG171" s="53">
        <v>0</v>
      </c>
      <c r="AH171" s="53"/>
      <c r="AI171" s="45">
        <f t="shared" si="45"/>
        <v>0</v>
      </c>
      <c r="AJ171" s="45"/>
      <c r="AK171" s="53">
        <v>0</v>
      </c>
      <c r="AL171" s="45"/>
      <c r="AM171" s="53">
        <v>0</v>
      </c>
      <c r="AN171" s="53"/>
      <c r="AO171" s="53">
        <v>0</v>
      </c>
      <c r="AP171" s="53"/>
      <c r="AQ171" s="53">
        <v>0</v>
      </c>
      <c r="AR171" s="53"/>
      <c r="AS171" s="45">
        <f t="shared" si="48"/>
        <v>0</v>
      </c>
      <c r="AT171" s="45"/>
      <c r="AU171" s="53">
        <v>0</v>
      </c>
      <c r="AV171" s="53"/>
      <c r="AW171" s="53">
        <v>0</v>
      </c>
      <c r="AX171" s="53"/>
      <c r="AY171" s="53">
        <f t="shared" si="46"/>
        <v>0</v>
      </c>
      <c r="AZ171" s="53"/>
      <c r="BA171" s="126" t="s">
        <v>202</v>
      </c>
      <c r="BC171" s="126" t="s">
        <v>27</v>
      </c>
      <c r="BD171" s="137"/>
      <c r="BE171" s="53">
        <v>0</v>
      </c>
      <c r="BF171" s="53"/>
      <c r="BG171" s="53">
        <v>0</v>
      </c>
      <c r="BH171" s="53"/>
      <c r="BI171" s="53">
        <v>0</v>
      </c>
      <c r="BJ171" s="53"/>
      <c r="BK171" s="53">
        <v>0</v>
      </c>
      <c r="BL171" s="137"/>
      <c r="BM171" s="137">
        <f t="shared" si="42"/>
        <v>0</v>
      </c>
      <c r="BN171" s="139" t="s">
        <v>347</v>
      </c>
      <c r="BR171" s="124"/>
      <c r="BS171" s="137"/>
      <c r="BT171" s="137"/>
      <c r="BU171" s="137"/>
      <c r="BV171" s="137"/>
      <c r="BW171" s="137"/>
      <c r="BX171" s="127"/>
      <c r="BY171" s="127"/>
      <c r="BZ171" s="137"/>
      <c r="CA171" s="137"/>
      <c r="CB171" s="137"/>
      <c r="CC171" s="137"/>
      <c r="CD171" s="137"/>
      <c r="CE171" s="137"/>
      <c r="CF171" s="126"/>
      <c r="CH171" s="126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9"/>
    </row>
    <row r="172" spans="1:98" s="140" customFormat="1" ht="12" hidden="1" customHeight="1">
      <c r="A172" s="126" t="s">
        <v>203</v>
      </c>
      <c r="B172" s="124"/>
      <c r="C172" s="126" t="s">
        <v>27</v>
      </c>
      <c r="D172" s="121"/>
      <c r="E172" s="53">
        <f t="shared" si="47"/>
        <v>0</v>
      </c>
      <c r="F172" s="53"/>
      <c r="G172" s="53">
        <v>0</v>
      </c>
      <c r="H172" s="53"/>
      <c r="I172" s="53">
        <v>0</v>
      </c>
      <c r="J172" s="53"/>
      <c r="K172" s="53">
        <f t="shared" si="43"/>
        <v>0</v>
      </c>
      <c r="L172" s="53"/>
      <c r="M172" s="53">
        <v>0</v>
      </c>
      <c r="N172" s="53"/>
      <c r="O172" s="53">
        <v>0</v>
      </c>
      <c r="P172" s="53"/>
      <c r="Q172" s="53">
        <v>0</v>
      </c>
      <c r="R172" s="53"/>
      <c r="S172" s="53">
        <v>0</v>
      </c>
      <c r="T172" s="53"/>
      <c r="U172" s="53">
        <v>0</v>
      </c>
      <c r="V172" s="53"/>
      <c r="W172" s="53">
        <f t="shared" si="44"/>
        <v>0</v>
      </c>
      <c r="X172" s="137"/>
      <c r="Y172" s="126" t="s">
        <v>203</v>
      </c>
      <c r="AA172" s="126" t="s">
        <v>27</v>
      </c>
      <c r="AB172" s="126"/>
      <c r="AC172" s="53">
        <v>0</v>
      </c>
      <c r="AD172" s="53"/>
      <c r="AE172" s="53">
        <v>0</v>
      </c>
      <c r="AF172" s="53"/>
      <c r="AG172" s="53">
        <v>0</v>
      </c>
      <c r="AH172" s="53"/>
      <c r="AI172" s="45">
        <f t="shared" si="45"/>
        <v>0</v>
      </c>
      <c r="AJ172" s="45"/>
      <c r="AK172" s="53">
        <v>0</v>
      </c>
      <c r="AL172" s="45"/>
      <c r="AM172" s="53">
        <v>0</v>
      </c>
      <c r="AN172" s="53"/>
      <c r="AO172" s="53">
        <v>0</v>
      </c>
      <c r="AP172" s="53"/>
      <c r="AQ172" s="53">
        <v>0</v>
      </c>
      <c r="AR172" s="53"/>
      <c r="AS172" s="45">
        <f t="shared" si="48"/>
        <v>0</v>
      </c>
      <c r="AT172" s="45"/>
      <c r="AU172" s="53">
        <v>0</v>
      </c>
      <c r="AV172" s="53"/>
      <c r="AW172" s="53">
        <v>0</v>
      </c>
      <c r="AX172" s="53"/>
      <c r="AY172" s="53">
        <f t="shared" si="46"/>
        <v>0</v>
      </c>
      <c r="AZ172" s="53"/>
      <c r="BA172" s="126" t="s">
        <v>203</v>
      </c>
      <c r="BC172" s="126" t="s">
        <v>27</v>
      </c>
      <c r="BD172" s="137"/>
      <c r="BE172" s="53">
        <v>0</v>
      </c>
      <c r="BF172" s="53"/>
      <c r="BG172" s="53">
        <v>0</v>
      </c>
      <c r="BH172" s="53"/>
      <c r="BI172" s="53">
        <v>0</v>
      </c>
      <c r="BJ172" s="53"/>
      <c r="BK172" s="53">
        <v>0</v>
      </c>
      <c r="BL172" s="137"/>
      <c r="BM172" s="137">
        <f t="shared" si="42"/>
        <v>0</v>
      </c>
      <c r="BN172" s="139" t="s">
        <v>347</v>
      </c>
      <c r="BO172" s="140" t="s">
        <v>404</v>
      </c>
      <c r="BR172" s="124"/>
      <c r="BS172" s="137"/>
      <c r="BT172" s="137"/>
      <c r="BU172" s="137"/>
      <c r="BV172" s="137"/>
      <c r="BW172" s="137"/>
      <c r="BX172" s="127"/>
      <c r="BY172" s="127"/>
      <c r="BZ172" s="137"/>
      <c r="CA172" s="137"/>
      <c r="CB172" s="137"/>
      <c r="CC172" s="137"/>
      <c r="CD172" s="137"/>
      <c r="CE172" s="137"/>
      <c r="CF172" s="126"/>
      <c r="CH172" s="126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9"/>
    </row>
    <row r="173" spans="1:98" s="55" customFormat="1" ht="12.75" customHeight="1">
      <c r="A173" s="35" t="s">
        <v>204</v>
      </c>
      <c r="B173" s="51"/>
      <c r="C173" s="35" t="s">
        <v>125</v>
      </c>
      <c r="D173" s="44"/>
      <c r="E173" s="53">
        <f t="shared" si="47"/>
        <v>1635230</v>
      </c>
      <c r="F173" s="53"/>
      <c r="G173" s="53">
        <v>3459927</v>
      </c>
      <c r="H173" s="53"/>
      <c r="I173" s="53">
        <v>5095157</v>
      </c>
      <c r="J173" s="53"/>
      <c r="K173" s="53">
        <f t="shared" si="43"/>
        <v>110846</v>
      </c>
      <c r="L173" s="53"/>
      <c r="M173" s="53">
        <v>595636</v>
      </c>
      <c r="N173" s="53"/>
      <c r="O173" s="53">
        <v>706482</v>
      </c>
      <c r="P173" s="53"/>
      <c r="Q173" s="53">
        <v>2819331</v>
      </c>
      <c r="R173" s="53"/>
      <c r="S173" s="53">
        <v>0</v>
      </c>
      <c r="T173" s="53"/>
      <c r="U173" s="53">
        <v>1569344</v>
      </c>
      <c r="V173" s="53"/>
      <c r="W173" s="53">
        <f t="shared" si="44"/>
        <v>4388675</v>
      </c>
      <c r="X173" s="53"/>
      <c r="Y173" s="35" t="s">
        <v>204</v>
      </c>
      <c r="AA173" s="35" t="s">
        <v>125</v>
      </c>
      <c r="AB173" s="35"/>
      <c r="AC173" s="53">
        <v>872648</v>
      </c>
      <c r="AD173" s="53"/>
      <c r="AE173" s="53">
        <f>887897-182728</f>
        <v>705169</v>
      </c>
      <c r="AF173" s="53"/>
      <c r="AG173" s="53">
        <v>182728</v>
      </c>
      <c r="AH173" s="53"/>
      <c r="AI173" s="45">
        <f t="shared" si="45"/>
        <v>-15249</v>
      </c>
      <c r="AJ173" s="45"/>
      <c r="AK173" s="53">
        <v>-45567</v>
      </c>
      <c r="AL173" s="45"/>
      <c r="AM173" s="53">
        <v>0</v>
      </c>
      <c r="AN173" s="53"/>
      <c r="AO173" s="53">
        <v>0</v>
      </c>
      <c r="AP173" s="53"/>
      <c r="AQ173" s="53">
        <v>56665</v>
      </c>
      <c r="AR173" s="53"/>
      <c r="AS173" s="45">
        <f t="shared" si="48"/>
        <v>-4151</v>
      </c>
      <c r="AT173" s="45"/>
      <c r="AU173" s="53">
        <v>0</v>
      </c>
      <c r="AV173" s="53"/>
      <c r="AW173" s="53">
        <v>0</v>
      </c>
      <c r="AX173" s="53"/>
      <c r="AY173" s="53">
        <f t="shared" si="46"/>
        <v>1524384</v>
      </c>
      <c r="AZ173" s="53"/>
      <c r="BA173" s="35" t="s">
        <v>204</v>
      </c>
      <c r="BC173" s="35" t="s">
        <v>125</v>
      </c>
      <c r="BD173" s="53"/>
      <c r="BE173" s="53">
        <f>475000+45000</f>
        <v>520000</v>
      </c>
      <c r="BF173" s="53"/>
      <c r="BG173" s="53">
        <v>0</v>
      </c>
      <c r="BH173" s="53"/>
      <c r="BI173" s="53">
        <v>120596</v>
      </c>
      <c r="BJ173" s="53"/>
      <c r="BK173" s="53">
        <f>40+10128</f>
        <v>10168</v>
      </c>
      <c r="BL173" s="53"/>
      <c r="BM173" s="53">
        <f t="shared" si="42"/>
        <v>650764</v>
      </c>
      <c r="BN173" s="54" t="s">
        <v>347</v>
      </c>
      <c r="BR173" s="51"/>
      <c r="BS173" s="53"/>
      <c r="BT173" s="53"/>
      <c r="BU173" s="53"/>
      <c r="BV173" s="53"/>
      <c r="BW173" s="53"/>
      <c r="BX173" s="45"/>
      <c r="BY173" s="45"/>
      <c r="BZ173" s="53"/>
      <c r="CA173" s="53"/>
      <c r="CB173" s="53"/>
      <c r="CC173" s="53"/>
      <c r="CD173" s="53"/>
      <c r="CE173" s="53"/>
      <c r="CF173" s="35"/>
      <c r="CH173" s="35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4"/>
    </row>
    <row r="174" spans="1:98" s="140" customFormat="1" ht="12.75" hidden="1" customHeight="1">
      <c r="A174" s="126" t="s">
        <v>205</v>
      </c>
      <c r="B174" s="124"/>
      <c r="C174" s="126" t="s">
        <v>27</v>
      </c>
      <c r="D174" s="121"/>
      <c r="E174" s="53">
        <f t="shared" si="47"/>
        <v>0</v>
      </c>
      <c r="F174" s="53"/>
      <c r="G174" s="53">
        <v>0</v>
      </c>
      <c r="H174" s="53"/>
      <c r="I174" s="53">
        <v>0</v>
      </c>
      <c r="J174" s="53"/>
      <c r="K174" s="53">
        <f t="shared" si="43"/>
        <v>0</v>
      </c>
      <c r="L174" s="53"/>
      <c r="M174" s="53">
        <v>0</v>
      </c>
      <c r="N174" s="53"/>
      <c r="O174" s="53">
        <v>0</v>
      </c>
      <c r="P174" s="53"/>
      <c r="Q174" s="53">
        <v>0</v>
      </c>
      <c r="R174" s="53"/>
      <c r="S174" s="53">
        <v>0</v>
      </c>
      <c r="T174" s="53"/>
      <c r="U174" s="53">
        <v>0</v>
      </c>
      <c r="V174" s="53"/>
      <c r="W174" s="53">
        <f t="shared" si="44"/>
        <v>0</v>
      </c>
      <c r="X174" s="137"/>
      <c r="Y174" s="126" t="s">
        <v>205</v>
      </c>
      <c r="AA174" s="126" t="s">
        <v>27</v>
      </c>
      <c r="AB174" s="126"/>
      <c r="AC174" s="53">
        <v>0</v>
      </c>
      <c r="AD174" s="53"/>
      <c r="AE174" s="53">
        <v>0</v>
      </c>
      <c r="AF174" s="53"/>
      <c r="AG174" s="53">
        <v>0</v>
      </c>
      <c r="AH174" s="53"/>
      <c r="AI174" s="45">
        <f t="shared" si="45"/>
        <v>0</v>
      </c>
      <c r="AJ174" s="45"/>
      <c r="AK174" s="53">
        <v>0</v>
      </c>
      <c r="AL174" s="45"/>
      <c r="AM174" s="53">
        <v>0</v>
      </c>
      <c r="AN174" s="53"/>
      <c r="AO174" s="53">
        <v>0</v>
      </c>
      <c r="AP174" s="53"/>
      <c r="AQ174" s="53">
        <v>0</v>
      </c>
      <c r="AR174" s="53"/>
      <c r="AS174" s="45">
        <f t="shared" si="48"/>
        <v>0</v>
      </c>
      <c r="AT174" s="45"/>
      <c r="AU174" s="53">
        <v>0</v>
      </c>
      <c r="AV174" s="53"/>
      <c r="AW174" s="53">
        <v>0</v>
      </c>
      <c r="AX174" s="53"/>
      <c r="AY174" s="53">
        <f t="shared" si="46"/>
        <v>0</v>
      </c>
      <c r="AZ174" s="53"/>
      <c r="BA174" s="126" t="s">
        <v>205</v>
      </c>
      <c r="BC174" s="126" t="s">
        <v>27</v>
      </c>
      <c r="BD174" s="137"/>
      <c r="BE174" s="53">
        <v>0</v>
      </c>
      <c r="BF174" s="53"/>
      <c r="BG174" s="53">
        <v>0</v>
      </c>
      <c r="BH174" s="53"/>
      <c r="BI174" s="53">
        <v>0</v>
      </c>
      <c r="BJ174" s="53"/>
      <c r="BK174" s="53">
        <v>0</v>
      </c>
      <c r="BL174" s="137"/>
      <c r="BM174" s="137">
        <f t="shared" si="42"/>
        <v>0</v>
      </c>
      <c r="BN174" s="139" t="s">
        <v>347</v>
      </c>
      <c r="BR174" s="124"/>
      <c r="BS174" s="137"/>
      <c r="BT174" s="137"/>
      <c r="BU174" s="137"/>
      <c r="BV174" s="137"/>
      <c r="BW174" s="137"/>
      <c r="BX174" s="127"/>
      <c r="BY174" s="127"/>
      <c r="BZ174" s="137"/>
      <c r="CA174" s="137"/>
      <c r="CB174" s="137"/>
      <c r="CC174" s="137"/>
      <c r="CD174" s="137"/>
      <c r="CE174" s="137"/>
      <c r="CF174" s="126"/>
      <c r="CH174" s="126"/>
      <c r="CI174" s="137"/>
      <c r="CJ174" s="137"/>
      <c r="CK174" s="137"/>
      <c r="CL174" s="137"/>
      <c r="CM174" s="137"/>
      <c r="CN174" s="137"/>
      <c r="CO174" s="137"/>
      <c r="CP174" s="137"/>
      <c r="CQ174" s="137"/>
      <c r="CR174" s="137"/>
      <c r="CS174" s="139"/>
    </row>
    <row r="175" spans="1:98" s="55" customFormat="1" ht="12.75" customHeight="1">
      <c r="A175" s="35" t="s">
        <v>206</v>
      </c>
      <c r="C175" s="35" t="s">
        <v>47</v>
      </c>
      <c r="D175" s="44"/>
      <c r="E175" s="53">
        <f t="shared" si="47"/>
        <v>6814112</v>
      </c>
      <c r="F175" s="53"/>
      <c r="G175" s="53">
        <v>45383282</v>
      </c>
      <c r="H175" s="53"/>
      <c r="I175" s="53">
        <v>52197394</v>
      </c>
      <c r="J175" s="53"/>
      <c r="K175" s="53">
        <f t="shared" si="43"/>
        <v>1471470</v>
      </c>
      <c r="L175" s="53"/>
      <c r="M175" s="53">
        <f>18232592-1471470</f>
        <v>16761122</v>
      </c>
      <c r="N175" s="53"/>
      <c r="O175" s="53">
        <v>18232592</v>
      </c>
      <c r="P175" s="53"/>
      <c r="Q175" s="53">
        <v>27486863</v>
      </c>
      <c r="R175" s="53"/>
      <c r="S175" s="53">
        <v>0</v>
      </c>
      <c r="T175" s="53"/>
      <c r="U175" s="53">
        <v>6477939</v>
      </c>
      <c r="V175" s="53"/>
      <c r="W175" s="53">
        <f t="shared" si="44"/>
        <v>33964802</v>
      </c>
      <c r="X175" s="53"/>
      <c r="Y175" s="35" t="s">
        <v>206</v>
      </c>
      <c r="AA175" s="35" t="s">
        <v>47</v>
      </c>
      <c r="AB175" s="35"/>
      <c r="AC175" s="53">
        <v>5792952</v>
      </c>
      <c r="AD175" s="53"/>
      <c r="AE175" s="53">
        <f>3199631-1077057</f>
        <v>2122574</v>
      </c>
      <c r="AF175" s="53"/>
      <c r="AG175" s="53">
        <v>1077057</v>
      </c>
      <c r="AH175" s="53"/>
      <c r="AI175" s="45">
        <f t="shared" si="45"/>
        <v>2593321</v>
      </c>
      <c r="AJ175" s="45"/>
      <c r="AK175" s="53">
        <v>825760</v>
      </c>
      <c r="AL175" s="45"/>
      <c r="AM175" s="53">
        <v>0</v>
      </c>
      <c r="AN175" s="53"/>
      <c r="AO175" s="53">
        <v>0</v>
      </c>
      <c r="AP175" s="53"/>
      <c r="AQ175" s="53">
        <v>0</v>
      </c>
      <c r="AR175" s="53"/>
      <c r="AS175" s="45">
        <f t="shared" si="48"/>
        <v>3419081</v>
      </c>
      <c r="AT175" s="45"/>
      <c r="AU175" s="53">
        <v>0</v>
      </c>
      <c r="AV175" s="53"/>
      <c r="AW175" s="53">
        <v>0</v>
      </c>
      <c r="AX175" s="53"/>
      <c r="AY175" s="53">
        <f t="shared" si="46"/>
        <v>5342642</v>
      </c>
      <c r="AZ175" s="53"/>
      <c r="BA175" s="35" t="s">
        <v>206</v>
      </c>
      <c r="BC175" s="35" t="s">
        <v>47</v>
      </c>
      <c r="BD175" s="53"/>
      <c r="BE175" s="53">
        <f>12615000+520000</f>
        <v>13135000</v>
      </c>
      <c r="BF175" s="53"/>
      <c r="BG175" s="53">
        <v>0</v>
      </c>
      <c r="BH175" s="53"/>
      <c r="BI175" s="53">
        <f>4029516+731903</f>
        <v>4761419</v>
      </c>
      <c r="BJ175" s="53"/>
      <c r="BK175" s="53">
        <f>77120+39486</f>
        <v>116606</v>
      </c>
      <c r="BL175" s="53"/>
      <c r="BM175" s="53">
        <f t="shared" si="42"/>
        <v>18013025</v>
      </c>
      <c r="BN175" s="54" t="s">
        <v>347</v>
      </c>
      <c r="BR175" s="51"/>
      <c r="BS175" s="53"/>
      <c r="BT175" s="53"/>
      <c r="BU175" s="53"/>
      <c r="BV175" s="53"/>
      <c r="BW175" s="53"/>
      <c r="BX175" s="45"/>
      <c r="BY175" s="45"/>
      <c r="BZ175" s="53"/>
      <c r="CA175" s="53"/>
      <c r="CB175" s="53"/>
      <c r="CC175" s="53"/>
      <c r="CD175" s="53"/>
      <c r="CE175" s="53"/>
      <c r="CF175" s="35"/>
      <c r="CH175" s="35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4"/>
    </row>
    <row r="176" spans="1:98" s="55" customFormat="1" ht="12.75" customHeight="1">
      <c r="A176" s="35" t="s">
        <v>207</v>
      </c>
      <c r="B176" s="65"/>
      <c r="C176" s="35" t="s">
        <v>102</v>
      </c>
      <c r="D176" s="44"/>
      <c r="E176" s="53">
        <f>+I176-G176</f>
        <v>4174359</v>
      </c>
      <c r="F176" s="53"/>
      <c r="G176" s="53">
        <v>29031635</v>
      </c>
      <c r="H176" s="53"/>
      <c r="I176" s="53">
        <v>33205994</v>
      </c>
      <c r="J176" s="53"/>
      <c r="K176" s="53">
        <f t="shared" ref="K176:K240" si="49">O176-M176</f>
        <v>2219287</v>
      </c>
      <c r="L176" s="53"/>
      <c r="M176" s="53">
        <v>14462351</v>
      </c>
      <c r="N176" s="53"/>
      <c r="O176" s="53">
        <v>16681638</v>
      </c>
      <c r="P176" s="53"/>
      <c r="Q176" s="53">
        <v>13166289</v>
      </c>
      <c r="R176" s="53"/>
      <c r="S176" s="53">
        <v>0</v>
      </c>
      <c r="T176" s="53"/>
      <c r="U176" s="53">
        <v>3358067</v>
      </c>
      <c r="V176" s="53"/>
      <c r="W176" s="53">
        <f t="shared" ref="W176:W215" si="50">SUM(Q176:U176)</f>
        <v>16524356</v>
      </c>
      <c r="X176" s="53"/>
      <c r="Y176" s="35" t="s">
        <v>207</v>
      </c>
      <c r="AA176" s="35" t="s">
        <v>102</v>
      </c>
      <c r="AB176" s="35"/>
      <c r="AC176" s="53">
        <v>3311157</v>
      </c>
      <c r="AD176" s="53"/>
      <c r="AE176" s="53">
        <f>1962221-495845</f>
        <v>1466376</v>
      </c>
      <c r="AF176" s="53"/>
      <c r="AG176" s="53">
        <v>495845</v>
      </c>
      <c r="AH176" s="53"/>
      <c r="AI176" s="45">
        <f t="shared" ref="AI176:AI240" si="51">+AC176-AE176-AG176</f>
        <v>1348936</v>
      </c>
      <c r="AJ176" s="45"/>
      <c r="AK176" s="53">
        <v>-396217</v>
      </c>
      <c r="AL176" s="45"/>
      <c r="AM176" s="53">
        <v>0</v>
      </c>
      <c r="AN176" s="53"/>
      <c r="AO176" s="53">
        <v>0</v>
      </c>
      <c r="AP176" s="53"/>
      <c r="AQ176" s="53">
        <f>139507+479421</f>
        <v>618928</v>
      </c>
      <c r="AR176" s="53"/>
      <c r="AS176" s="45">
        <f t="shared" ref="AS176:AS201" si="52">+AI176+AK176+AM176-AO176+AQ176</f>
        <v>1571647</v>
      </c>
      <c r="AT176" s="45"/>
      <c r="AU176" s="53">
        <v>0</v>
      </c>
      <c r="AV176" s="53"/>
      <c r="AW176" s="53">
        <v>0</v>
      </c>
      <c r="AX176" s="53"/>
      <c r="AY176" s="53">
        <f t="shared" ref="AY176:AY209" si="53">+E176-K176</f>
        <v>1955072</v>
      </c>
      <c r="AZ176" s="53"/>
      <c r="BA176" s="35" t="s">
        <v>207</v>
      </c>
      <c r="BC176" s="35" t="s">
        <v>102</v>
      </c>
      <c r="BD176" s="53"/>
      <c r="BE176" s="53">
        <f>2462519+280000</f>
        <v>2742519</v>
      </c>
      <c r="BF176" s="53"/>
      <c r="BG176" s="53">
        <v>0</v>
      </c>
      <c r="BH176" s="53"/>
      <c r="BI176" s="53">
        <f>11245275+285690</f>
        <v>11530965</v>
      </c>
      <c r="BJ176" s="53"/>
      <c r="BK176" s="53">
        <f>11460+32855+700000+10242+25294+5598</f>
        <v>785449</v>
      </c>
      <c r="BL176" s="53"/>
      <c r="BM176" s="53">
        <f t="shared" si="42"/>
        <v>15058933</v>
      </c>
      <c r="BN176" s="54"/>
      <c r="BR176" s="65"/>
      <c r="BS176" s="53"/>
      <c r="BT176" s="53"/>
      <c r="BU176" s="53"/>
      <c r="BV176" s="53"/>
      <c r="BW176" s="53"/>
      <c r="BX176" s="45"/>
      <c r="BY176" s="45"/>
      <c r="BZ176" s="53"/>
      <c r="CA176" s="53"/>
      <c r="CB176" s="53"/>
      <c r="CC176" s="53"/>
      <c r="CD176" s="53"/>
      <c r="CE176" s="53"/>
      <c r="CF176" s="35"/>
      <c r="CH176" s="35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4"/>
    </row>
    <row r="177" spans="1:99" s="55" customFormat="1" ht="12.75" customHeight="1">
      <c r="A177" s="35" t="s">
        <v>208</v>
      </c>
      <c r="B177" s="51"/>
      <c r="C177" s="35" t="s">
        <v>209</v>
      </c>
      <c r="D177" s="44"/>
      <c r="E177" s="53">
        <f t="shared" ref="E177:E241" si="54">I177-G177</f>
        <v>3083916</v>
      </c>
      <c r="F177" s="53"/>
      <c r="G177" s="53">
        <v>13283014</v>
      </c>
      <c r="H177" s="53"/>
      <c r="I177" s="53">
        <v>16366930</v>
      </c>
      <c r="J177" s="53"/>
      <c r="K177" s="53">
        <f t="shared" si="49"/>
        <v>1088738</v>
      </c>
      <c r="L177" s="53"/>
      <c r="M177" s="53">
        <v>5601081</v>
      </c>
      <c r="N177" s="53"/>
      <c r="O177" s="53">
        <v>6689819</v>
      </c>
      <c r="P177" s="53"/>
      <c r="Q177" s="53">
        <v>7262879</v>
      </c>
      <c r="R177" s="53"/>
      <c r="S177" s="53">
        <v>50000</v>
      </c>
      <c r="T177" s="53"/>
      <c r="U177" s="53">
        <v>2364232</v>
      </c>
      <c r="V177" s="53"/>
      <c r="W177" s="53">
        <f t="shared" si="50"/>
        <v>9677111</v>
      </c>
      <c r="X177" s="53"/>
      <c r="Y177" s="35" t="s">
        <v>208</v>
      </c>
      <c r="AA177" s="35" t="s">
        <v>209</v>
      </c>
      <c r="AB177" s="35"/>
      <c r="AC177" s="53">
        <v>3463743</v>
      </c>
      <c r="AD177" s="53"/>
      <c r="AE177" s="53">
        <f>2756887-923917</f>
        <v>1832970</v>
      </c>
      <c r="AF177" s="53"/>
      <c r="AG177" s="53">
        <v>923917</v>
      </c>
      <c r="AH177" s="53"/>
      <c r="AI177" s="45">
        <f t="shared" si="51"/>
        <v>706856</v>
      </c>
      <c r="AJ177" s="45"/>
      <c r="AK177" s="53">
        <v>-232717</v>
      </c>
      <c r="AL177" s="45"/>
      <c r="AM177" s="53">
        <v>0</v>
      </c>
      <c r="AN177" s="53"/>
      <c r="AO177" s="53">
        <v>0</v>
      </c>
      <c r="AP177" s="53"/>
      <c r="AQ177" s="53">
        <v>0</v>
      </c>
      <c r="AR177" s="53"/>
      <c r="AS177" s="45">
        <f t="shared" si="52"/>
        <v>474139</v>
      </c>
      <c r="AT177" s="45"/>
      <c r="AU177" s="53">
        <v>0</v>
      </c>
      <c r="AV177" s="53"/>
      <c r="AW177" s="53">
        <v>0</v>
      </c>
      <c r="AX177" s="53"/>
      <c r="AY177" s="53">
        <f t="shared" si="53"/>
        <v>1995178</v>
      </c>
      <c r="AZ177" s="53"/>
      <c r="BA177" s="35" t="s">
        <v>208</v>
      </c>
      <c r="BC177" s="35" t="s">
        <v>209</v>
      </c>
      <c r="BD177" s="53"/>
      <c r="BE177" s="53">
        <f>5425388+585477</f>
        <v>6010865</v>
      </c>
      <c r="BF177" s="53"/>
      <c r="BG177" s="53">
        <v>0</v>
      </c>
      <c r="BH177" s="53"/>
      <c r="BI177" s="53">
        <v>0</v>
      </c>
      <c r="BJ177" s="53"/>
      <c r="BK177" s="53">
        <f>175693+78040</f>
        <v>253733</v>
      </c>
      <c r="BL177" s="53"/>
      <c r="BM177" s="53">
        <f t="shared" si="42"/>
        <v>6264598</v>
      </c>
      <c r="BN177" s="54" t="s">
        <v>347</v>
      </c>
      <c r="BR177" s="51"/>
      <c r="BS177" s="53"/>
      <c r="BT177" s="53"/>
      <c r="BU177" s="53"/>
      <c r="BV177" s="53"/>
      <c r="BW177" s="45"/>
      <c r="BX177" s="45"/>
      <c r="BY177" s="53"/>
      <c r="BZ177" s="53"/>
      <c r="CA177" s="53"/>
      <c r="CB177" s="53"/>
      <c r="CC177" s="53"/>
      <c r="CD177" s="53"/>
      <c r="CE177" s="53"/>
      <c r="CF177" s="35"/>
      <c r="CH177" s="35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4"/>
    </row>
    <row r="178" spans="1:99" s="55" customFormat="1" ht="12.75" customHeight="1">
      <c r="A178" s="46" t="s">
        <v>210</v>
      </c>
      <c r="B178" s="90"/>
      <c r="C178" s="46" t="s">
        <v>211</v>
      </c>
      <c r="D178" s="46"/>
      <c r="E178" s="53">
        <f t="shared" si="54"/>
        <v>1219046</v>
      </c>
      <c r="F178" s="53"/>
      <c r="G178" s="53">
        <v>20673973</v>
      </c>
      <c r="H178" s="53"/>
      <c r="I178" s="53">
        <v>21893019</v>
      </c>
      <c r="J178" s="53"/>
      <c r="K178" s="53">
        <f t="shared" si="49"/>
        <v>591927</v>
      </c>
      <c r="L178" s="53"/>
      <c r="M178" s="53">
        <v>10922305</v>
      </c>
      <c r="N178" s="53"/>
      <c r="O178" s="53">
        <v>11514232</v>
      </c>
      <c r="P178" s="53"/>
      <c r="Q178" s="53">
        <v>9409938</v>
      </c>
      <c r="R178" s="53"/>
      <c r="S178" s="53">
        <v>0</v>
      </c>
      <c r="T178" s="53"/>
      <c r="U178" s="53">
        <v>968849</v>
      </c>
      <c r="V178" s="53"/>
      <c r="W178" s="53">
        <f t="shared" si="50"/>
        <v>10378787</v>
      </c>
      <c r="X178" s="79"/>
      <c r="Y178" s="46" t="s">
        <v>210</v>
      </c>
      <c r="Z178" s="90"/>
      <c r="AA178" s="46" t="s">
        <v>211</v>
      </c>
      <c r="AB178" s="46"/>
      <c r="AC178" s="53">
        <v>2675434</v>
      </c>
      <c r="AD178" s="53"/>
      <c r="AE178" s="53">
        <f>1783788-274150</f>
        <v>1509638</v>
      </c>
      <c r="AF178" s="53"/>
      <c r="AG178" s="53">
        <v>274150</v>
      </c>
      <c r="AH178" s="53"/>
      <c r="AI178" s="45">
        <f t="shared" si="51"/>
        <v>891646</v>
      </c>
      <c r="AJ178" s="45"/>
      <c r="AK178" s="53">
        <v>-343609</v>
      </c>
      <c r="AL178" s="45"/>
      <c r="AM178" s="53">
        <v>0</v>
      </c>
      <c r="AN178" s="53"/>
      <c r="AO178" s="53">
        <v>0</v>
      </c>
      <c r="AP178" s="53"/>
      <c r="AQ178" s="53">
        <v>2044205</v>
      </c>
      <c r="AR178" s="53"/>
      <c r="AS178" s="45">
        <f t="shared" si="52"/>
        <v>2592242</v>
      </c>
      <c r="AT178" s="45"/>
      <c r="AU178" s="53">
        <v>0</v>
      </c>
      <c r="AV178" s="53"/>
      <c r="AW178" s="53">
        <v>0</v>
      </c>
      <c r="AX178" s="53"/>
      <c r="AY178" s="53">
        <f t="shared" si="53"/>
        <v>627119</v>
      </c>
      <c r="AZ178" s="53"/>
      <c r="BA178" s="46" t="s">
        <v>210</v>
      </c>
      <c r="BB178" s="90"/>
      <c r="BC178" s="46" t="s">
        <v>211</v>
      </c>
      <c r="BD178" s="79"/>
      <c r="BE178" s="53">
        <f>3420000+145000</f>
        <v>3565000</v>
      </c>
      <c r="BF178" s="53"/>
      <c r="BG178" s="53">
        <v>0</v>
      </c>
      <c r="BH178" s="53"/>
      <c r="BI178" s="53">
        <f>171604+7192805+13745+220987</f>
        <v>7599141</v>
      </c>
      <c r="BJ178" s="53"/>
      <c r="BK178" s="53">
        <f>84555+53341+19341+15339</f>
        <v>172576</v>
      </c>
      <c r="BL178" s="53"/>
      <c r="BM178" s="53">
        <f t="shared" si="42"/>
        <v>11336717</v>
      </c>
      <c r="BN178" s="54" t="s">
        <v>347</v>
      </c>
      <c r="BO178" s="35"/>
      <c r="BP178" s="35"/>
      <c r="BR178" s="51"/>
      <c r="BS178" s="53"/>
      <c r="BT178" s="53"/>
      <c r="BU178" s="53"/>
      <c r="BV178" s="53"/>
      <c r="BW178" s="45"/>
      <c r="BX178" s="45"/>
      <c r="BY178" s="53"/>
      <c r="BZ178" s="53"/>
      <c r="CA178" s="53"/>
      <c r="CB178" s="53"/>
      <c r="CC178" s="53"/>
      <c r="CD178" s="53"/>
      <c r="CE178" s="53"/>
      <c r="CF178" s="35"/>
      <c r="CH178" s="35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4"/>
      <c r="CT178" s="35"/>
      <c r="CU178" s="35"/>
    </row>
    <row r="179" spans="1:99" s="55" customFormat="1" ht="12.75" customHeight="1">
      <c r="A179" s="44" t="s">
        <v>212</v>
      </c>
      <c r="B179" s="51"/>
      <c r="C179" s="44" t="s">
        <v>213</v>
      </c>
      <c r="D179" s="44"/>
      <c r="E179" s="53">
        <f t="shared" si="54"/>
        <v>1221207</v>
      </c>
      <c r="F179" s="53"/>
      <c r="G179" s="53">
        <v>7898480</v>
      </c>
      <c r="H179" s="53"/>
      <c r="I179" s="53">
        <v>9119687</v>
      </c>
      <c r="J179" s="53"/>
      <c r="K179" s="53">
        <f t="shared" si="49"/>
        <v>498935</v>
      </c>
      <c r="L179" s="53"/>
      <c r="M179" s="53">
        <v>3540528</v>
      </c>
      <c r="N179" s="53"/>
      <c r="O179" s="53">
        <v>4039463</v>
      </c>
      <c r="P179" s="53"/>
      <c r="Q179" s="53">
        <v>5245607</v>
      </c>
      <c r="R179" s="53"/>
      <c r="S179" s="53">
        <v>0</v>
      </c>
      <c r="T179" s="53"/>
      <c r="U179" s="53">
        <v>-165383</v>
      </c>
      <c r="V179" s="53"/>
      <c r="W179" s="53">
        <f t="shared" si="50"/>
        <v>5080224</v>
      </c>
      <c r="X179" s="53"/>
      <c r="Y179" s="44" t="s">
        <v>212</v>
      </c>
      <c r="AA179" s="44" t="s">
        <v>213</v>
      </c>
      <c r="AB179" s="44"/>
      <c r="AC179" s="53">
        <v>2904078</v>
      </c>
      <c r="AD179" s="53"/>
      <c r="AE179" s="53">
        <f>2482446-113377</f>
        <v>2369069</v>
      </c>
      <c r="AF179" s="53"/>
      <c r="AG179" s="53">
        <v>113377</v>
      </c>
      <c r="AH179" s="53"/>
      <c r="AI179" s="45">
        <f t="shared" si="51"/>
        <v>421632</v>
      </c>
      <c r="AJ179" s="45"/>
      <c r="AK179" s="53">
        <v>-69497</v>
      </c>
      <c r="AL179" s="45"/>
      <c r="AM179" s="53">
        <v>100000</v>
      </c>
      <c r="AN179" s="53"/>
      <c r="AO179" s="53">
        <v>0</v>
      </c>
      <c r="AP179" s="53"/>
      <c r="AQ179" s="53">
        <v>2711542</v>
      </c>
      <c r="AR179" s="53"/>
      <c r="AS179" s="45">
        <f t="shared" si="52"/>
        <v>3163677</v>
      </c>
      <c r="AT179" s="45"/>
      <c r="AU179" s="53">
        <v>0</v>
      </c>
      <c r="AV179" s="53"/>
      <c r="AW179" s="53">
        <v>0</v>
      </c>
      <c r="AX179" s="53"/>
      <c r="AY179" s="53">
        <f t="shared" si="53"/>
        <v>722272</v>
      </c>
      <c r="AZ179" s="53"/>
      <c r="BA179" s="44" t="s">
        <v>212</v>
      </c>
      <c r="BC179" s="44" t="s">
        <v>213</v>
      </c>
      <c r="BD179" s="53"/>
      <c r="BE179" s="53">
        <v>0</v>
      </c>
      <c r="BF179" s="53"/>
      <c r="BG179" s="53">
        <v>0</v>
      </c>
      <c r="BH179" s="53"/>
      <c r="BI179" s="53">
        <f>1454912+930000+68940+65000</f>
        <v>2518852</v>
      </c>
      <c r="BJ179" s="53"/>
      <c r="BK179" s="53">
        <f>1141306+14310+193356+2019</f>
        <v>1350991</v>
      </c>
      <c r="BL179" s="53"/>
      <c r="BM179" s="53">
        <f t="shared" si="42"/>
        <v>3869843</v>
      </c>
      <c r="BN179" s="54" t="s">
        <v>347</v>
      </c>
      <c r="BO179" s="55" t="s">
        <v>404</v>
      </c>
      <c r="BR179" s="51"/>
      <c r="BS179" s="53"/>
      <c r="BT179" s="53"/>
      <c r="BU179" s="53"/>
      <c r="BV179" s="53"/>
      <c r="BW179" s="53"/>
      <c r="BX179" s="45"/>
      <c r="BY179" s="45"/>
      <c r="BZ179" s="53"/>
      <c r="CA179" s="53"/>
      <c r="CB179" s="53"/>
      <c r="CC179" s="53"/>
      <c r="CD179" s="53"/>
      <c r="CE179" s="53"/>
      <c r="CF179" s="35"/>
      <c r="CH179" s="35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4"/>
    </row>
    <row r="180" spans="1:99" s="140" customFormat="1" ht="12.75" hidden="1" customHeight="1">
      <c r="A180" s="121" t="s">
        <v>214</v>
      </c>
      <c r="B180" s="124"/>
      <c r="C180" s="121" t="s">
        <v>86</v>
      </c>
      <c r="D180" s="121"/>
      <c r="E180" s="53">
        <f t="shared" si="54"/>
        <v>0</v>
      </c>
      <c r="F180" s="53"/>
      <c r="G180" s="53">
        <v>0</v>
      </c>
      <c r="H180" s="53"/>
      <c r="I180" s="53">
        <v>0</v>
      </c>
      <c r="J180" s="53"/>
      <c r="K180" s="53">
        <f t="shared" si="49"/>
        <v>0</v>
      </c>
      <c r="L180" s="53"/>
      <c r="M180" s="53">
        <v>0</v>
      </c>
      <c r="N180" s="53"/>
      <c r="O180" s="53">
        <v>0</v>
      </c>
      <c r="P180" s="53"/>
      <c r="Q180" s="53">
        <v>0</v>
      </c>
      <c r="R180" s="53"/>
      <c r="S180" s="53">
        <v>0</v>
      </c>
      <c r="T180" s="53"/>
      <c r="U180" s="53">
        <v>0</v>
      </c>
      <c r="V180" s="53"/>
      <c r="W180" s="53">
        <f t="shared" si="50"/>
        <v>0</v>
      </c>
      <c r="X180" s="137"/>
      <c r="Y180" s="121" t="s">
        <v>214</v>
      </c>
      <c r="AA180" s="121" t="s">
        <v>86</v>
      </c>
      <c r="AB180" s="121"/>
      <c r="AC180" s="53">
        <v>0</v>
      </c>
      <c r="AD180" s="53"/>
      <c r="AE180" s="53">
        <v>0</v>
      </c>
      <c r="AF180" s="53"/>
      <c r="AG180" s="53">
        <v>0</v>
      </c>
      <c r="AH180" s="53"/>
      <c r="AI180" s="45">
        <f t="shared" si="51"/>
        <v>0</v>
      </c>
      <c r="AJ180" s="45"/>
      <c r="AK180" s="53">
        <v>0</v>
      </c>
      <c r="AL180" s="45"/>
      <c r="AM180" s="53">
        <v>0</v>
      </c>
      <c r="AN180" s="53"/>
      <c r="AO180" s="53">
        <v>0</v>
      </c>
      <c r="AP180" s="53"/>
      <c r="AQ180" s="53">
        <v>0</v>
      </c>
      <c r="AR180" s="53"/>
      <c r="AS180" s="45">
        <f t="shared" si="52"/>
        <v>0</v>
      </c>
      <c r="AT180" s="45"/>
      <c r="AU180" s="53">
        <v>0</v>
      </c>
      <c r="AV180" s="53"/>
      <c r="AW180" s="53">
        <v>0</v>
      </c>
      <c r="AX180" s="53"/>
      <c r="AY180" s="53">
        <f t="shared" si="53"/>
        <v>0</v>
      </c>
      <c r="AZ180" s="53"/>
      <c r="BA180" s="121" t="s">
        <v>214</v>
      </c>
      <c r="BC180" s="121" t="s">
        <v>86</v>
      </c>
      <c r="BD180" s="137"/>
      <c r="BE180" s="53">
        <v>0</v>
      </c>
      <c r="BF180" s="53"/>
      <c r="BG180" s="53">
        <v>0</v>
      </c>
      <c r="BH180" s="53"/>
      <c r="BI180" s="53">
        <v>0</v>
      </c>
      <c r="BJ180" s="53"/>
      <c r="BK180" s="53">
        <v>0</v>
      </c>
      <c r="BL180" s="137"/>
      <c r="BM180" s="137">
        <f t="shared" si="42"/>
        <v>0</v>
      </c>
      <c r="BN180" s="139" t="s">
        <v>347</v>
      </c>
      <c r="BO180" s="140" t="s">
        <v>404</v>
      </c>
      <c r="BR180" s="124"/>
      <c r="BS180" s="137"/>
      <c r="BT180" s="137"/>
      <c r="BU180" s="137"/>
      <c r="BV180" s="137"/>
      <c r="BW180" s="137"/>
      <c r="BX180" s="127"/>
      <c r="BY180" s="127"/>
      <c r="BZ180" s="137"/>
      <c r="CA180" s="137"/>
      <c r="CB180" s="137"/>
      <c r="CC180" s="137"/>
      <c r="CD180" s="137"/>
      <c r="CE180" s="137"/>
      <c r="CF180" s="126"/>
      <c r="CH180" s="126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9"/>
    </row>
    <row r="181" spans="1:99" s="55" customFormat="1" ht="12.75" customHeight="1">
      <c r="A181" s="35" t="s">
        <v>215</v>
      </c>
      <c r="C181" s="35" t="s">
        <v>22</v>
      </c>
      <c r="D181" s="44"/>
      <c r="E181" s="53">
        <f t="shared" si="54"/>
        <v>7284503</v>
      </c>
      <c r="F181" s="53"/>
      <c r="G181" s="53">
        <v>14120638</v>
      </c>
      <c r="H181" s="53"/>
      <c r="I181" s="53">
        <v>21405141</v>
      </c>
      <c r="J181" s="53"/>
      <c r="K181" s="53">
        <f t="shared" si="49"/>
        <v>6244092</v>
      </c>
      <c r="L181" s="53"/>
      <c r="M181" s="53">
        <v>9989287</v>
      </c>
      <c r="N181" s="53"/>
      <c r="O181" s="53">
        <v>16233379</v>
      </c>
      <c r="P181" s="53"/>
      <c r="Q181" s="53">
        <v>3287097</v>
      </c>
      <c r="R181" s="53"/>
      <c r="S181" s="53">
        <v>0</v>
      </c>
      <c r="T181" s="53"/>
      <c r="U181" s="53">
        <v>1884665</v>
      </c>
      <c r="V181" s="53"/>
      <c r="W181" s="53">
        <f t="shared" si="50"/>
        <v>5171762</v>
      </c>
      <c r="X181" s="53"/>
      <c r="Y181" s="35" t="s">
        <v>215</v>
      </c>
      <c r="AA181" s="35" t="s">
        <v>22</v>
      </c>
      <c r="AB181" s="35"/>
      <c r="AC181" s="53">
        <v>3345019</v>
      </c>
      <c r="AD181" s="53"/>
      <c r="AE181" s="53">
        <f>2329348-540342</f>
        <v>1789006</v>
      </c>
      <c r="AF181" s="53"/>
      <c r="AG181" s="53">
        <v>540342</v>
      </c>
      <c r="AH181" s="53"/>
      <c r="AI181" s="45">
        <f t="shared" si="51"/>
        <v>1015671</v>
      </c>
      <c r="AJ181" s="45"/>
      <c r="AK181" s="53">
        <v>-446411</v>
      </c>
      <c r="AL181" s="45"/>
      <c r="AM181" s="53">
        <v>406441</v>
      </c>
      <c r="AN181" s="53"/>
      <c r="AO181" s="53">
        <v>0</v>
      </c>
      <c r="AP181" s="53"/>
      <c r="AQ181" s="53">
        <v>0</v>
      </c>
      <c r="AR181" s="53"/>
      <c r="AS181" s="45">
        <f t="shared" si="52"/>
        <v>975701</v>
      </c>
      <c r="AT181" s="45"/>
      <c r="AU181" s="53">
        <v>0</v>
      </c>
      <c r="AV181" s="53"/>
      <c r="AW181" s="53">
        <v>0</v>
      </c>
      <c r="AX181" s="53"/>
      <c r="AY181" s="53">
        <f t="shared" si="53"/>
        <v>1040411</v>
      </c>
      <c r="AZ181" s="53"/>
      <c r="BA181" s="35" t="s">
        <v>215</v>
      </c>
      <c r="BC181" s="35" t="s">
        <v>22</v>
      </c>
      <c r="BD181" s="53"/>
      <c r="BE181" s="53">
        <v>0</v>
      </c>
      <c r="BF181" s="53"/>
      <c r="BG181" s="53">
        <v>0</v>
      </c>
      <c r="BH181" s="53"/>
      <c r="BI181" s="53">
        <f>9855265+978276</f>
        <v>10833541</v>
      </c>
      <c r="BJ181" s="53"/>
      <c r="BK181" s="53">
        <f>33528+134022</f>
        <v>167550</v>
      </c>
      <c r="BL181" s="53"/>
      <c r="BM181" s="53">
        <f t="shared" si="42"/>
        <v>11001091</v>
      </c>
      <c r="BN181" s="54" t="s">
        <v>347</v>
      </c>
      <c r="BR181" s="51"/>
      <c r="BS181" s="53"/>
      <c r="BT181" s="53"/>
      <c r="BU181" s="53"/>
      <c r="BV181" s="53"/>
      <c r="BW181" s="53"/>
      <c r="BX181" s="45"/>
      <c r="BY181" s="45"/>
      <c r="BZ181" s="53"/>
      <c r="CA181" s="53"/>
      <c r="CB181" s="53"/>
      <c r="CC181" s="53"/>
      <c r="CD181" s="53"/>
      <c r="CE181" s="53"/>
      <c r="CF181" s="35"/>
      <c r="CH181" s="35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4"/>
    </row>
    <row r="182" spans="1:99" s="140" customFormat="1" ht="12.75" hidden="1" customHeight="1">
      <c r="A182" s="126" t="s">
        <v>216</v>
      </c>
      <c r="B182" s="124"/>
      <c r="C182" s="126" t="s">
        <v>45</v>
      </c>
      <c r="D182" s="121"/>
      <c r="E182" s="53">
        <f t="shared" si="54"/>
        <v>0</v>
      </c>
      <c r="F182" s="53"/>
      <c r="G182" s="53">
        <v>0</v>
      </c>
      <c r="H182" s="53"/>
      <c r="I182" s="53">
        <v>0</v>
      </c>
      <c r="J182" s="53"/>
      <c r="K182" s="53">
        <f t="shared" si="49"/>
        <v>0</v>
      </c>
      <c r="L182" s="53"/>
      <c r="M182" s="53">
        <v>0</v>
      </c>
      <c r="N182" s="53"/>
      <c r="O182" s="53">
        <v>0</v>
      </c>
      <c r="P182" s="53"/>
      <c r="Q182" s="53">
        <v>0</v>
      </c>
      <c r="R182" s="53"/>
      <c r="S182" s="53">
        <v>0</v>
      </c>
      <c r="T182" s="53"/>
      <c r="U182" s="53">
        <v>0</v>
      </c>
      <c r="V182" s="53"/>
      <c r="W182" s="53">
        <f t="shared" si="50"/>
        <v>0</v>
      </c>
      <c r="X182" s="137"/>
      <c r="Y182" s="126" t="s">
        <v>216</v>
      </c>
      <c r="AA182" s="126" t="s">
        <v>45</v>
      </c>
      <c r="AB182" s="126"/>
      <c r="AC182" s="53">
        <v>0</v>
      </c>
      <c r="AD182" s="53"/>
      <c r="AE182" s="53">
        <v>0</v>
      </c>
      <c r="AF182" s="53"/>
      <c r="AG182" s="53">
        <v>0</v>
      </c>
      <c r="AH182" s="53"/>
      <c r="AI182" s="45">
        <f t="shared" si="51"/>
        <v>0</v>
      </c>
      <c r="AJ182" s="45"/>
      <c r="AK182" s="53">
        <v>0</v>
      </c>
      <c r="AL182" s="45"/>
      <c r="AM182" s="53">
        <v>0</v>
      </c>
      <c r="AN182" s="53"/>
      <c r="AO182" s="53">
        <v>0</v>
      </c>
      <c r="AP182" s="53"/>
      <c r="AQ182" s="53">
        <v>0</v>
      </c>
      <c r="AR182" s="53"/>
      <c r="AS182" s="45">
        <f t="shared" si="52"/>
        <v>0</v>
      </c>
      <c r="AT182" s="45"/>
      <c r="AU182" s="53">
        <v>0</v>
      </c>
      <c r="AV182" s="53"/>
      <c r="AW182" s="53">
        <v>0</v>
      </c>
      <c r="AX182" s="53"/>
      <c r="AY182" s="53">
        <f t="shared" si="53"/>
        <v>0</v>
      </c>
      <c r="AZ182" s="53"/>
      <c r="BA182" s="126" t="s">
        <v>216</v>
      </c>
      <c r="BC182" s="126" t="s">
        <v>45</v>
      </c>
      <c r="BD182" s="137"/>
      <c r="BE182" s="53">
        <v>0</v>
      </c>
      <c r="BF182" s="53"/>
      <c r="BG182" s="53">
        <v>0</v>
      </c>
      <c r="BH182" s="53"/>
      <c r="BI182" s="53">
        <v>0</v>
      </c>
      <c r="BJ182" s="53"/>
      <c r="BK182" s="53">
        <v>0</v>
      </c>
      <c r="BL182" s="137"/>
      <c r="BM182" s="137">
        <f t="shared" si="42"/>
        <v>0</v>
      </c>
      <c r="BN182" s="139" t="s">
        <v>347</v>
      </c>
      <c r="BR182" s="124"/>
      <c r="BS182" s="137"/>
      <c r="BT182" s="137"/>
      <c r="BU182" s="137"/>
      <c r="BV182" s="137"/>
      <c r="BW182" s="137"/>
      <c r="BX182" s="127"/>
      <c r="BY182" s="127"/>
      <c r="BZ182" s="137"/>
      <c r="CA182" s="137"/>
      <c r="CB182" s="137"/>
      <c r="CC182" s="137"/>
      <c r="CD182" s="137"/>
      <c r="CE182" s="137"/>
      <c r="CF182" s="126"/>
      <c r="CH182" s="126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9"/>
    </row>
    <row r="183" spans="1:99" s="55" customFormat="1" ht="12.75" customHeight="1">
      <c r="A183" s="35" t="s">
        <v>217</v>
      </c>
      <c r="B183" s="51"/>
      <c r="C183" s="35" t="s">
        <v>43</v>
      </c>
      <c r="D183" s="44"/>
      <c r="E183" s="53">
        <f t="shared" si="54"/>
        <v>3940074</v>
      </c>
      <c r="F183" s="53"/>
      <c r="G183" s="53">
        <v>34021626</v>
      </c>
      <c r="H183" s="53"/>
      <c r="I183" s="53">
        <v>37961700</v>
      </c>
      <c r="J183" s="53"/>
      <c r="K183" s="53">
        <f t="shared" si="49"/>
        <v>1324817</v>
      </c>
      <c r="L183" s="53"/>
      <c r="M183" s="53">
        <v>1240436</v>
      </c>
      <c r="N183" s="53"/>
      <c r="O183" s="53">
        <v>2565253</v>
      </c>
      <c r="P183" s="53"/>
      <c r="Q183" s="53">
        <v>32462025</v>
      </c>
      <c r="R183" s="53"/>
      <c r="S183" s="53">
        <v>0</v>
      </c>
      <c r="T183" s="53"/>
      <c r="U183" s="53">
        <v>2934422</v>
      </c>
      <c r="V183" s="53"/>
      <c r="W183" s="53">
        <f t="shared" si="50"/>
        <v>35396447</v>
      </c>
      <c r="X183" s="53"/>
      <c r="Y183" s="35" t="s">
        <v>217</v>
      </c>
      <c r="AA183" s="35" t="s">
        <v>43</v>
      </c>
      <c r="AB183" s="35"/>
      <c r="AC183" s="53">
        <v>4943361</v>
      </c>
      <c r="AD183" s="53"/>
      <c r="AE183" s="53">
        <f>5922597-963620</f>
        <v>4958977</v>
      </c>
      <c r="AF183" s="53"/>
      <c r="AG183" s="53">
        <v>963620</v>
      </c>
      <c r="AH183" s="53"/>
      <c r="AI183" s="45">
        <f t="shared" si="51"/>
        <v>-979236</v>
      </c>
      <c r="AJ183" s="45"/>
      <c r="AK183" s="53">
        <v>-79102</v>
      </c>
      <c r="AL183" s="45"/>
      <c r="AM183" s="53">
        <v>0</v>
      </c>
      <c r="AN183" s="53"/>
      <c r="AO183" s="53">
        <v>0</v>
      </c>
      <c r="AP183" s="53"/>
      <c r="AQ183" s="53">
        <f>16236+425975</f>
        <v>442211</v>
      </c>
      <c r="AR183" s="53"/>
      <c r="AS183" s="45">
        <f t="shared" si="52"/>
        <v>-616127</v>
      </c>
      <c r="AT183" s="45"/>
      <c r="AU183" s="53">
        <v>0</v>
      </c>
      <c r="AV183" s="53"/>
      <c r="AW183" s="53">
        <v>0</v>
      </c>
      <c r="AX183" s="53"/>
      <c r="AY183" s="53">
        <f t="shared" si="53"/>
        <v>2615257</v>
      </c>
      <c r="AZ183" s="53"/>
      <c r="BA183" s="35" t="s">
        <v>217</v>
      </c>
      <c r="BC183" s="35" t="s">
        <v>43</v>
      </c>
      <c r="BD183" s="53"/>
      <c r="BE183" s="53">
        <f>696820+286414</f>
        <v>983234</v>
      </c>
      <c r="BF183" s="53"/>
      <c r="BG183" s="53">
        <f>47298+527097</f>
        <v>574395</v>
      </c>
      <c r="BH183" s="53"/>
      <c r="BI183" s="53">
        <f>16519+8378</f>
        <v>24897</v>
      </c>
      <c r="BJ183" s="53"/>
      <c r="BK183" s="53">
        <v>0</v>
      </c>
      <c r="BL183" s="53"/>
      <c r="BM183" s="53">
        <f t="shared" si="42"/>
        <v>1582526</v>
      </c>
      <c r="BN183" s="54" t="s">
        <v>347</v>
      </c>
      <c r="BR183" s="65"/>
      <c r="BS183" s="53"/>
      <c r="BT183" s="53"/>
      <c r="BU183" s="53"/>
      <c r="BV183" s="53"/>
      <c r="BW183" s="53"/>
      <c r="BX183" s="45"/>
      <c r="BY183" s="45"/>
      <c r="BZ183" s="53"/>
      <c r="CA183" s="53"/>
      <c r="CB183" s="53"/>
      <c r="CC183" s="53"/>
      <c r="CD183" s="53"/>
      <c r="CE183" s="53"/>
      <c r="CF183" s="35"/>
      <c r="CH183" s="35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4"/>
    </row>
    <row r="184" spans="1:99" s="140" customFormat="1" ht="12.75" hidden="1" customHeight="1">
      <c r="A184" s="126" t="s">
        <v>218</v>
      </c>
      <c r="B184" s="124"/>
      <c r="C184" s="126" t="s">
        <v>27</v>
      </c>
      <c r="D184" s="121"/>
      <c r="E184" s="53">
        <f t="shared" si="54"/>
        <v>0</v>
      </c>
      <c r="F184" s="53"/>
      <c r="G184" s="53">
        <v>0</v>
      </c>
      <c r="H184" s="53"/>
      <c r="I184" s="53">
        <v>0</v>
      </c>
      <c r="J184" s="53"/>
      <c r="K184" s="53">
        <f t="shared" si="49"/>
        <v>0</v>
      </c>
      <c r="L184" s="53"/>
      <c r="M184" s="53">
        <v>0</v>
      </c>
      <c r="N184" s="53"/>
      <c r="O184" s="53">
        <v>0</v>
      </c>
      <c r="P184" s="53"/>
      <c r="Q184" s="53">
        <v>0</v>
      </c>
      <c r="R184" s="53"/>
      <c r="S184" s="53">
        <v>0</v>
      </c>
      <c r="T184" s="53"/>
      <c r="U184" s="53">
        <v>0</v>
      </c>
      <c r="V184" s="53"/>
      <c r="W184" s="53">
        <f t="shared" si="50"/>
        <v>0</v>
      </c>
      <c r="X184" s="137"/>
      <c r="Y184" s="126" t="s">
        <v>218</v>
      </c>
      <c r="AA184" s="126" t="s">
        <v>27</v>
      </c>
      <c r="AB184" s="126"/>
      <c r="AC184" s="53">
        <v>0</v>
      </c>
      <c r="AD184" s="53"/>
      <c r="AE184" s="53">
        <v>0</v>
      </c>
      <c r="AF184" s="53"/>
      <c r="AG184" s="53">
        <v>0</v>
      </c>
      <c r="AH184" s="53"/>
      <c r="AI184" s="45">
        <f t="shared" si="51"/>
        <v>0</v>
      </c>
      <c r="AJ184" s="45"/>
      <c r="AK184" s="53">
        <v>0</v>
      </c>
      <c r="AL184" s="45"/>
      <c r="AM184" s="53">
        <v>0</v>
      </c>
      <c r="AN184" s="53"/>
      <c r="AO184" s="53">
        <v>0</v>
      </c>
      <c r="AP184" s="53"/>
      <c r="AQ184" s="53">
        <v>0</v>
      </c>
      <c r="AR184" s="53"/>
      <c r="AS184" s="45">
        <f t="shared" si="52"/>
        <v>0</v>
      </c>
      <c r="AT184" s="45"/>
      <c r="AU184" s="53">
        <v>0</v>
      </c>
      <c r="AV184" s="53"/>
      <c r="AW184" s="53">
        <v>0</v>
      </c>
      <c r="AX184" s="53"/>
      <c r="AY184" s="53">
        <f t="shared" si="53"/>
        <v>0</v>
      </c>
      <c r="AZ184" s="53"/>
      <c r="BA184" s="126" t="s">
        <v>218</v>
      </c>
      <c r="BC184" s="126" t="s">
        <v>27</v>
      </c>
      <c r="BD184" s="137"/>
      <c r="BE184" s="53">
        <v>0</v>
      </c>
      <c r="BF184" s="53"/>
      <c r="BG184" s="53">
        <v>0</v>
      </c>
      <c r="BH184" s="53"/>
      <c r="BI184" s="53">
        <v>0</v>
      </c>
      <c r="BJ184" s="53"/>
      <c r="BK184" s="53">
        <v>0</v>
      </c>
      <c r="BL184" s="137"/>
      <c r="BM184" s="137">
        <f t="shared" si="42"/>
        <v>0</v>
      </c>
      <c r="BN184" s="139" t="s">
        <v>347</v>
      </c>
      <c r="BR184" s="124"/>
      <c r="BS184" s="137"/>
      <c r="BT184" s="137"/>
      <c r="BU184" s="137"/>
      <c r="BV184" s="137"/>
      <c r="BW184" s="137"/>
      <c r="BX184" s="127"/>
      <c r="BY184" s="127"/>
      <c r="BZ184" s="137"/>
      <c r="CA184" s="137"/>
      <c r="CB184" s="137"/>
      <c r="CC184" s="137"/>
      <c r="CD184" s="137"/>
      <c r="CE184" s="137"/>
      <c r="CF184" s="126"/>
      <c r="CH184" s="126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9"/>
    </row>
    <row r="185" spans="1:99" s="55" customFormat="1" ht="12.75" customHeight="1">
      <c r="A185" s="35" t="s">
        <v>219</v>
      </c>
      <c r="B185" s="51"/>
      <c r="C185" s="35" t="s">
        <v>199</v>
      </c>
      <c r="D185" s="44"/>
      <c r="E185" s="53">
        <f t="shared" si="54"/>
        <v>1232011</v>
      </c>
      <c r="F185" s="53"/>
      <c r="G185" s="53">
        <v>6632474</v>
      </c>
      <c r="H185" s="53"/>
      <c r="I185" s="53">
        <v>7864485</v>
      </c>
      <c r="J185" s="53"/>
      <c r="K185" s="53">
        <f t="shared" si="49"/>
        <v>336269</v>
      </c>
      <c r="L185" s="53"/>
      <c r="M185" s="53">
        <v>1396024</v>
      </c>
      <c r="N185" s="53"/>
      <c r="O185" s="53">
        <v>1732293</v>
      </c>
      <c r="P185" s="53"/>
      <c r="Q185" s="53">
        <v>4983726</v>
      </c>
      <c r="R185" s="53"/>
      <c r="S185" s="53">
        <v>0</v>
      </c>
      <c r="T185" s="53"/>
      <c r="U185" s="53">
        <v>1148466</v>
      </c>
      <c r="V185" s="53"/>
      <c r="W185" s="53">
        <f t="shared" si="50"/>
        <v>6132192</v>
      </c>
      <c r="X185" s="53"/>
      <c r="Y185" s="35" t="s">
        <v>219</v>
      </c>
      <c r="AA185" s="35" t="s">
        <v>199</v>
      </c>
      <c r="AB185" s="35"/>
      <c r="AC185" s="53">
        <v>1279412</v>
      </c>
      <c r="AD185" s="53"/>
      <c r="AE185" s="53">
        <f>952688-217312</f>
        <v>735376</v>
      </c>
      <c r="AF185" s="53"/>
      <c r="AG185" s="53">
        <v>217312</v>
      </c>
      <c r="AH185" s="53"/>
      <c r="AI185" s="45">
        <f t="shared" si="51"/>
        <v>326724</v>
      </c>
      <c r="AJ185" s="45"/>
      <c r="AK185" s="53">
        <v>-84681</v>
      </c>
      <c r="AL185" s="45"/>
      <c r="AM185" s="53">
        <v>0</v>
      </c>
      <c r="AN185" s="53"/>
      <c r="AO185" s="53">
        <v>0</v>
      </c>
      <c r="AP185" s="53"/>
      <c r="AQ185" s="53">
        <v>0</v>
      </c>
      <c r="AR185" s="53"/>
      <c r="AS185" s="45">
        <f t="shared" si="52"/>
        <v>242043</v>
      </c>
      <c r="AT185" s="45"/>
      <c r="AU185" s="53">
        <v>0</v>
      </c>
      <c r="AV185" s="53"/>
      <c r="AW185" s="53">
        <v>0</v>
      </c>
      <c r="AX185" s="53"/>
      <c r="AY185" s="53">
        <f t="shared" si="53"/>
        <v>895742</v>
      </c>
      <c r="AZ185" s="53"/>
      <c r="BA185" s="35" t="s">
        <v>219</v>
      </c>
      <c r="BC185" s="35" t="s">
        <v>199</v>
      </c>
      <c r="BD185" s="53"/>
      <c r="BE185" s="53">
        <v>0</v>
      </c>
      <c r="BF185" s="53"/>
      <c r="BG185" s="53">
        <f>991500+24100</f>
        <v>1015600</v>
      </c>
      <c r="BH185" s="53"/>
      <c r="BI185" s="53">
        <f>389249+243899</f>
        <v>633148</v>
      </c>
      <c r="BJ185" s="53"/>
      <c r="BK185" s="53">
        <f>15275+17064</f>
        <v>32339</v>
      </c>
      <c r="BL185" s="53"/>
      <c r="BM185" s="53">
        <f t="shared" si="42"/>
        <v>1681087</v>
      </c>
      <c r="BN185" s="54" t="s">
        <v>347</v>
      </c>
      <c r="BR185" s="51"/>
      <c r="BS185" s="53"/>
      <c r="BT185" s="53"/>
      <c r="BU185" s="53"/>
      <c r="BV185" s="53"/>
      <c r="BW185" s="53"/>
      <c r="BX185" s="45"/>
      <c r="BY185" s="45"/>
      <c r="BZ185" s="53"/>
      <c r="CA185" s="53"/>
      <c r="CB185" s="53"/>
      <c r="CC185" s="53"/>
      <c r="CD185" s="53"/>
      <c r="CE185" s="53"/>
      <c r="CF185" s="35"/>
      <c r="CH185" s="35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4"/>
    </row>
    <row r="186" spans="1:99" s="140" customFormat="1" ht="13.5" hidden="1" customHeight="1">
      <c r="A186" s="126" t="s">
        <v>220</v>
      </c>
      <c r="B186" s="124"/>
      <c r="C186" s="126" t="s">
        <v>66</v>
      </c>
      <c r="D186" s="121"/>
      <c r="E186" s="53">
        <f t="shared" si="54"/>
        <v>0</v>
      </c>
      <c r="F186" s="53"/>
      <c r="G186" s="53">
        <v>0</v>
      </c>
      <c r="H186" s="53"/>
      <c r="I186" s="53">
        <v>0</v>
      </c>
      <c r="J186" s="53"/>
      <c r="K186" s="53">
        <f t="shared" si="49"/>
        <v>0</v>
      </c>
      <c r="L186" s="53"/>
      <c r="M186" s="53">
        <v>0</v>
      </c>
      <c r="N186" s="53"/>
      <c r="O186" s="53">
        <v>0</v>
      </c>
      <c r="P186" s="53"/>
      <c r="Q186" s="53">
        <v>0</v>
      </c>
      <c r="R186" s="53"/>
      <c r="S186" s="53">
        <v>0</v>
      </c>
      <c r="T186" s="53"/>
      <c r="U186" s="53">
        <v>0</v>
      </c>
      <c r="V186" s="53"/>
      <c r="W186" s="53">
        <f t="shared" si="50"/>
        <v>0</v>
      </c>
      <c r="X186" s="137"/>
      <c r="Y186" s="126" t="s">
        <v>220</v>
      </c>
      <c r="AA186" s="126" t="s">
        <v>66</v>
      </c>
      <c r="AB186" s="126"/>
      <c r="AC186" s="53">
        <v>0</v>
      </c>
      <c r="AD186" s="53"/>
      <c r="AE186" s="53">
        <v>0</v>
      </c>
      <c r="AF186" s="53"/>
      <c r="AG186" s="53">
        <v>0</v>
      </c>
      <c r="AH186" s="53"/>
      <c r="AI186" s="45">
        <f t="shared" si="51"/>
        <v>0</v>
      </c>
      <c r="AJ186" s="45"/>
      <c r="AK186" s="53">
        <v>0</v>
      </c>
      <c r="AL186" s="45"/>
      <c r="AM186" s="53">
        <v>0</v>
      </c>
      <c r="AN186" s="53"/>
      <c r="AO186" s="53">
        <v>0</v>
      </c>
      <c r="AP186" s="53"/>
      <c r="AQ186" s="53">
        <v>0</v>
      </c>
      <c r="AR186" s="53"/>
      <c r="AS186" s="45">
        <f t="shared" si="52"/>
        <v>0</v>
      </c>
      <c r="AT186" s="45"/>
      <c r="AU186" s="53">
        <v>0</v>
      </c>
      <c r="AV186" s="53"/>
      <c r="AW186" s="53">
        <v>0</v>
      </c>
      <c r="AX186" s="53"/>
      <c r="AY186" s="53">
        <f t="shared" si="53"/>
        <v>0</v>
      </c>
      <c r="AZ186" s="53"/>
      <c r="BA186" s="126" t="s">
        <v>220</v>
      </c>
      <c r="BC186" s="126" t="s">
        <v>66</v>
      </c>
      <c r="BD186" s="137"/>
      <c r="BE186" s="53">
        <v>0</v>
      </c>
      <c r="BF186" s="53"/>
      <c r="BG186" s="53">
        <v>0</v>
      </c>
      <c r="BH186" s="53"/>
      <c r="BI186" s="53">
        <v>0</v>
      </c>
      <c r="BJ186" s="53"/>
      <c r="BK186" s="53">
        <v>0</v>
      </c>
      <c r="BL186" s="137"/>
      <c r="BM186" s="137">
        <f t="shared" si="42"/>
        <v>0</v>
      </c>
      <c r="BN186" s="139" t="s">
        <v>347</v>
      </c>
      <c r="BR186" s="124"/>
      <c r="BS186" s="137"/>
      <c r="BT186" s="137"/>
      <c r="BU186" s="137"/>
      <c r="BV186" s="137"/>
      <c r="BW186" s="127"/>
      <c r="BX186" s="127"/>
      <c r="BY186" s="137"/>
      <c r="BZ186" s="137"/>
      <c r="CA186" s="137"/>
      <c r="CB186" s="137"/>
      <c r="CC186" s="137"/>
      <c r="CD186" s="137"/>
      <c r="CE186" s="137"/>
      <c r="CF186" s="126"/>
      <c r="CH186" s="126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9"/>
    </row>
    <row r="187" spans="1:99" s="55" customFormat="1" ht="12.75" customHeight="1">
      <c r="A187" s="35" t="s">
        <v>221</v>
      </c>
      <c r="C187" s="35" t="s">
        <v>27</v>
      </c>
      <c r="D187" s="44"/>
      <c r="E187" s="53">
        <f t="shared" si="54"/>
        <v>796183</v>
      </c>
      <c r="F187" s="53"/>
      <c r="G187" s="53">
        <v>24982216</v>
      </c>
      <c r="H187" s="53"/>
      <c r="I187" s="53">
        <v>25778399</v>
      </c>
      <c r="J187" s="53"/>
      <c r="K187" s="53">
        <f t="shared" si="49"/>
        <v>345458</v>
      </c>
      <c r="L187" s="53"/>
      <c r="M187" s="53">
        <v>306944</v>
      </c>
      <c r="N187" s="53"/>
      <c r="O187" s="53">
        <v>652402</v>
      </c>
      <c r="P187" s="53"/>
      <c r="Q187" s="53">
        <v>18945660</v>
      </c>
      <c r="R187" s="53"/>
      <c r="S187" s="53">
        <v>0</v>
      </c>
      <c r="T187" s="53"/>
      <c r="U187" s="53">
        <v>6180337</v>
      </c>
      <c r="V187" s="53"/>
      <c r="W187" s="53">
        <f t="shared" si="50"/>
        <v>25125997</v>
      </c>
      <c r="X187" s="53"/>
      <c r="Y187" s="35" t="s">
        <v>221</v>
      </c>
      <c r="AA187" s="35" t="s">
        <v>27</v>
      </c>
      <c r="AB187" s="35"/>
      <c r="AC187" s="53">
        <v>1758085</v>
      </c>
      <c r="AD187" s="53"/>
      <c r="AE187" s="53">
        <f>2437037-311639</f>
        <v>2125398</v>
      </c>
      <c r="AF187" s="53"/>
      <c r="AG187" s="53">
        <v>311639</v>
      </c>
      <c r="AH187" s="53"/>
      <c r="AI187" s="45">
        <f t="shared" si="51"/>
        <v>-678952</v>
      </c>
      <c r="AJ187" s="45"/>
      <c r="AK187" s="53">
        <v>-9797</v>
      </c>
      <c r="AL187" s="45"/>
      <c r="AM187" s="53">
        <v>0</v>
      </c>
      <c r="AN187" s="53"/>
      <c r="AO187" s="53">
        <v>106197</v>
      </c>
      <c r="AP187" s="53"/>
      <c r="AQ187" s="53">
        <v>1501035</v>
      </c>
      <c r="AR187" s="53"/>
      <c r="AS187" s="45">
        <f t="shared" si="52"/>
        <v>706089</v>
      </c>
      <c r="AT187" s="45"/>
      <c r="AU187" s="53">
        <v>0</v>
      </c>
      <c r="AV187" s="53"/>
      <c r="AW187" s="53">
        <v>0</v>
      </c>
      <c r="AX187" s="53"/>
      <c r="AY187" s="53">
        <f t="shared" si="53"/>
        <v>450725</v>
      </c>
      <c r="AZ187" s="53"/>
      <c r="BA187" s="35" t="s">
        <v>221</v>
      </c>
      <c r="BC187" s="35" t="s">
        <v>27</v>
      </c>
      <c r="BD187" s="53"/>
      <c r="BE187" s="53">
        <v>0</v>
      </c>
      <c r="BF187" s="53"/>
      <c r="BG187" s="53">
        <v>0</v>
      </c>
      <c r="BH187" s="53"/>
      <c r="BI187" s="53">
        <f>197523+17327</f>
        <v>214850</v>
      </c>
      <c r="BJ187" s="53"/>
      <c r="BK187" s="53">
        <f>109421+18104</f>
        <v>127525</v>
      </c>
      <c r="BL187" s="53"/>
      <c r="BM187" s="53">
        <f t="shared" si="42"/>
        <v>342375</v>
      </c>
      <c r="BN187" s="54" t="s">
        <v>347</v>
      </c>
      <c r="BR187" s="51"/>
      <c r="BS187" s="53"/>
      <c r="BT187" s="53"/>
      <c r="BU187" s="53"/>
      <c r="BV187" s="53"/>
      <c r="BW187" s="53"/>
      <c r="BX187" s="45"/>
      <c r="BY187" s="45"/>
      <c r="BZ187" s="53"/>
      <c r="CA187" s="53"/>
      <c r="CB187" s="53"/>
      <c r="CC187" s="53"/>
      <c r="CD187" s="53"/>
      <c r="CE187" s="53"/>
      <c r="CF187" s="35"/>
      <c r="CH187" s="35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4"/>
    </row>
    <row r="188" spans="1:99" s="55" customFormat="1" ht="12.75" customHeight="1">
      <c r="A188" s="35" t="s">
        <v>222</v>
      </c>
      <c r="B188" s="51"/>
      <c r="C188" s="35" t="s">
        <v>47</v>
      </c>
      <c r="D188" s="44"/>
      <c r="E188" s="53">
        <f t="shared" si="54"/>
        <v>700384</v>
      </c>
      <c r="F188" s="53"/>
      <c r="G188" s="53">
        <v>4468043</v>
      </c>
      <c r="H188" s="53"/>
      <c r="I188" s="53">
        <v>5168427</v>
      </c>
      <c r="J188" s="53"/>
      <c r="K188" s="53">
        <f t="shared" si="49"/>
        <v>312192</v>
      </c>
      <c r="L188" s="53"/>
      <c r="M188" s="53">
        <v>1897457</v>
      </c>
      <c r="N188" s="53"/>
      <c r="O188" s="53">
        <v>2209649</v>
      </c>
      <c r="P188" s="53"/>
      <c r="Q188" s="53">
        <v>2245937</v>
      </c>
      <c r="R188" s="53"/>
      <c r="S188" s="53">
        <v>0</v>
      </c>
      <c r="T188" s="53"/>
      <c r="U188" s="53">
        <v>712841</v>
      </c>
      <c r="V188" s="53"/>
      <c r="W188" s="53">
        <f t="shared" si="50"/>
        <v>2958778</v>
      </c>
      <c r="X188" s="53"/>
      <c r="Y188" s="35" t="s">
        <v>222</v>
      </c>
      <c r="AA188" s="35" t="s">
        <v>47</v>
      </c>
      <c r="AB188" s="35"/>
      <c r="AC188" s="53">
        <v>491520</v>
      </c>
      <c r="AD188" s="53"/>
      <c r="AE188" s="53">
        <f>263664-141629</f>
        <v>122035</v>
      </c>
      <c r="AF188" s="53"/>
      <c r="AG188" s="53">
        <v>141629</v>
      </c>
      <c r="AH188" s="53"/>
      <c r="AI188" s="45">
        <f t="shared" si="51"/>
        <v>227856</v>
      </c>
      <c r="AJ188" s="45"/>
      <c r="AK188" s="53">
        <v>-102520</v>
      </c>
      <c r="AL188" s="45"/>
      <c r="AM188" s="53">
        <v>175096</v>
      </c>
      <c r="AN188" s="53"/>
      <c r="AO188" s="53">
        <v>0</v>
      </c>
      <c r="AP188" s="53"/>
      <c r="AQ188" s="53">
        <v>0</v>
      </c>
      <c r="AR188" s="53"/>
      <c r="AS188" s="45">
        <f t="shared" si="52"/>
        <v>300432</v>
      </c>
      <c r="AT188" s="45"/>
      <c r="AU188" s="53">
        <v>0</v>
      </c>
      <c r="AV188" s="53"/>
      <c r="AW188" s="53">
        <v>0</v>
      </c>
      <c r="AX188" s="53"/>
      <c r="AY188" s="53">
        <f t="shared" si="53"/>
        <v>388192</v>
      </c>
      <c r="AZ188" s="53"/>
      <c r="BA188" s="35" t="s">
        <v>222</v>
      </c>
      <c r="BC188" s="35" t="s">
        <v>47</v>
      </c>
      <c r="BD188" s="53"/>
      <c r="BE188" s="53">
        <f>1159409+56116</f>
        <v>1215525</v>
      </c>
      <c r="BF188" s="53"/>
      <c r="BG188" s="53">
        <v>0</v>
      </c>
      <c r="BH188" s="53"/>
      <c r="BI188" s="53">
        <f>738048+117283</f>
        <v>855331</v>
      </c>
      <c r="BJ188" s="53"/>
      <c r="BK188" s="53">
        <v>0</v>
      </c>
      <c r="BL188" s="53"/>
      <c r="BM188" s="53">
        <f t="shared" si="42"/>
        <v>2070856</v>
      </c>
      <c r="BN188" s="54" t="s">
        <v>347</v>
      </c>
      <c r="BR188" s="51"/>
      <c r="BS188" s="53"/>
      <c r="BT188" s="53"/>
      <c r="BU188" s="53"/>
      <c r="BV188" s="53"/>
      <c r="BW188" s="53"/>
      <c r="BX188" s="45"/>
      <c r="BY188" s="45"/>
      <c r="BZ188" s="53"/>
      <c r="CA188" s="53"/>
      <c r="CB188" s="53"/>
      <c r="CC188" s="53"/>
      <c r="CD188" s="53"/>
      <c r="CE188" s="53"/>
      <c r="CF188" s="35"/>
      <c r="CH188" s="35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4"/>
    </row>
    <row r="189" spans="1:99" s="55" customFormat="1" ht="12.75" customHeight="1">
      <c r="A189" s="35" t="s">
        <v>223</v>
      </c>
      <c r="B189" s="51"/>
      <c r="C189" s="35" t="s">
        <v>94</v>
      </c>
      <c r="D189" s="44"/>
      <c r="E189" s="53">
        <f t="shared" si="54"/>
        <v>13797022</v>
      </c>
      <c r="F189" s="53"/>
      <c r="G189" s="53">
        <v>8624709</v>
      </c>
      <c r="H189" s="53"/>
      <c r="I189" s="53">
        <v>22421731</v>
      </c>
      <c r="J189" s="53"/>
      <c r="K189" s="53">
        <f t="shared" si="49"/>
        <v>157921</v>
      </c>
      <c r="L189" s="53"/>
      <c r="M189" s="53">
        <v>61349</v>
      </c>
      <c r="N189" s="53"/>
      <c r="O189" s="53">
        <v>219270</v>
      </c>
      <c r="P189" s="53"/>
      <c r="Q189" s="53">
        <v>8624709</v>
      </c>
      <c r="R189" s="53"/>
      <c r="S189" s="53">
        <v>0</v>
      </c>
      <c r="T189" s="53"/>
      <c r="U189" s="53">
        <v>13577752</v>
      </c>
      <c r="V189" s="53"/>
      <c r="W189" s="53">
        <f t="shared" si="50"/>
        <v>22202461</v>
      </c>
      <c r="X189" s="53"/>
      <c r="Y189" s="35" t="s">
        <v>223</v>
      </c>
      <c r="AA189" s="35" t="s">
        <v>94</v>
      </c>
      <c r="AB189" s="35"/>
      <c r="AC189" s="53">
        <v>2572046</v>
      </c>
      <c r="AD189" s="53"/>
      <c r="AE189" s="53">
        <f>2180976-376934</f>
        <v>1804042</v>
      </c>
      <c r="AF189" s="53"/>
      <c r="AG189" s="53">
        <v>376934</v>
      </c>
      <c r="AH189" s="53"/>
      <c r="AI189" s="45">
        <f t="shared" si="51"/>
        <v>391070</v>
      </c>
      <c r="AJ189" s="45"/>
      <c r="AK189" s="53">
        <v>35796</v>
      </c>
      <c r="AL189" s="45"/>
      <c r="AM189" s="53">
        <v>34925</v>
      </c>
      <c r="AN189" s="53"/>
      <c r="AO189" s="53">
        <v>0</v>
      </c>
      <c r="AP189" s="53"/>
      <c r="AQ189" s="53">
        <v>0</v>
      </c>
      <c r="AR189" s="53"/>
      <c r="AS189" s="45">
        <f t="shared" si="52"/>
        <v>461791</v>
      </c>
      <c r="AT189" s="45"/>
      <c r="AU189" s="53">
        <v>0</v>
      </c>
      <c r="AV189" s="53"/>
      <c r="AW189" s="53">
        <v>0</v>
      </c>
      <c r="AX189" s="53"/>
      <c r="AY189" s="53">
        <f t="shared" si="53"/>
        <v>13639101</v>
      </c>
      <c r="AZ189" s="53"/>
      <c r="BA189" s="35" t="s">
        <v>223</v>
      </c>
      <c r="BC189" s="35" t="s">
        <v>94</v>
      </c>
      <c r="BD189" s="53"/>
      <c r="BE189" s="53">
        <v>0</v>
      </c>
      <c r="BF189" s="53"/>
      <c r="BG189" s="53">
        <v>0</v>
      </c>
      <c r="BH189" s="53"/>
      <c r="BI189" s="53">
        <v>0</v>
      </c>
      <c r="BJ189" s="53"/>
      <c r="BK189" s="53">
        <f>61349+1362</f>
        <v>62711</v>
      </c>
      <c r="BL189" s="53"/>
      <c r="BM189" s="53">
        <f t="shared" si="42"/>
        <v>62711</v>
      </c>
      <c r="BN189" s="54" t="s">
        <v>347</v>
      </c>
      <c r="BR189" s="51"/>
      <c r="BS189" s="53"/>
      <c r="BT189" s="53"/>
      <c r="BU189" s="53"/>
      <c r="BV189" s="53"/>
      <c r="BW189" s="53"/>
      <c r="BX189" s="45"/>
      <c r="BY189" s="45"/>
      <c r="BZ189" s="53"/>
      <c r="CA189" s="53"/>
      <c r="CB189" s="53"/>
      <c r="CC189" s="53"/>
      <c r="CD189" s="53"/>
      <c r="CE189" s="53"/>
      <c r="CF189" s="35"/>
      <c r="CH189" s="35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4"/>
    </row>
    <row r="190" spans="1:99" s="55" customFormat="1" ht="12.75" customHeight="1">
      <c r="A190" s="35" t="s">
        <v>76</v>
      </c>
      <c r="B190" s="51"/>
      <c r="C190" s="35" t="s">
        <v>132</v>
      </c>
      <c r="D190" s="44"/>
      <c r="E190" s="53">
        <f t="shared" si="54"/>
        <v>11318988</v>
      </c>
      <c r="F190" s="53"/>
      <c r="G190" s="53">
        <v>59713411</v>
      </c>
      <c r="H190" s="53"/>
      <c r="I190" s="53">
        <v>71032399</v>
      </c>
      <c r="J190" s="53"/>
      <c r="K190" s="53">
        <f t="shared" si="49"/>
        <v>2412713</v>
      </c>
      <c r="L190" s="53"/>
      <c r="M190" s="53">
        <v>31179411</v>
      </c>
      <c r="N190" s="53"/>
      <c r="O190" s="53">
        <v>33592124</v>
      </c>
      <c r="P190" s="53"/>
      <c r="Q190" s="53">
        <v>27842612</v>
      </c>
      <c r="R190" s="53"/>
      <c r="S190" s="53">
        <v>0</v>
      </c>
      <c r="T190" s="53"/>
      <c r="U190" s="53">
        <v>9597663</v>
      </c>
      <c r="V190" s="53"/>
      <c r="W190" s="53">
        <f t="shared" si="50"/>
        <v>37440275</v>
      </c>
      <c r="X190" s="53"/>
      <c r="Y190" s="35" t="s">
        <v>76</v>
      </c>
      <c r="AA190" s="35" t="s">
        <v>132</v>
      </c>
      <c r="AB190" s="35"/>
      <c r="AC190" s="53">
        <v>6390831</v>
      </c>
      <c r="AD190" s="53"/>
      <c r="AE190" s="53">
        <f>5854281-1191860</f>
        <v>4662421</v>
      </c>
      <c r="AF190" s="53"/>
      <c r="AG190" s="53">
        <v>1191860</v>
      </c>
      <c r="AH190" s="53"/>
      <c r="AI190" s="45">
        <f t="shared" si="51"/>
        <v>536550</v>
      </c>
      <c r="AJ190" s="45"/>
      <c r="AK190" s="53">
        <v>-1039907</v>
      </c>
      <c r="AL190" s="45"/>
      <c r="AM190" s="53">
        <v>0</v>
      </c>
      <c r="AN190" s="53"/>
      <c r="AO190" s="53">
        <v>774189</v>
      </c>
      <c r="AP190" s="53"/>
      <c r="AQ190" s="53">
        <v>3965867</v>
      </c>
      <c r="AR190" s="53"/>
      <c r="AS190" s="45">
        <f t="shared" si="52"/>
        <v>2688321</v>
      </c>
      <c r="AT190" s="45"/>
      <c r="AU190" s="53">
        <v>0</v>
      </c>
      <c r="AV190" s="53"/>
      <c r="AW190" s="53">
        <v>0</v>
      </c>
      <c r="AX190" s="53"/>
      <c r="AY190" s="53">
        <f t="shared" si="53"/>
        <v>8906275</v>
      </c>
      <c r="AZ190" s="53"/>
      <c r="BA190" s="35" t="s">
        <v>76</v>
      </c>
      <c r="BC190" s="35" t="s">
        <v>132</v>
      </c>
      <c r="BD190" s="53"/>
      <c r="BE190" s="53">
        <f>1609808+92000</f>
        <v>1701808</v>
      </c>
      <c r="BF190" s="53"/>
      <c r="BG190" s="53">
        <v>0</v>
      </c>
      <c r="BH190" s="53"/>
      <c r="BI190" s="53">
        <f>29158428+99659+1010563+14300</f>
        <v>30282950</v>
      </c>
      <c r="BJ190" s="53"/>
      <c r="BK190" s="53">
        <f>50442+311516</f>
        <v>361958</v>
      </c>
      <c r="BL190" s="53"/>
      <c r="BM190" s="53">
        <f t="shared" si="42"/>
        <v>32346716</v>
      </c>
      <c r="BN190" s="54" t="s">
        <v>347</v>
      </c>
      <c r="BR190" s="51"/>
      <c r="BS190" s="53"/>
      <c r="BT190" s="53"/>
      <c r="BU190" s="53"/>
      <c r="BV190" s="53"/>
      <c r="BW190" s="53"/>
      <c r="BX190" s="45"/>
      <c r="BY190" s="45"/>
      <c r="BZ190" s="53"/>
      <c r="CA190" s="53"/>
      <c r="CB190" s="53"/>
      <c r="CC190" s="53"/>
      <c r="CD190" s="53"/>
      <c r="CE190" s="53"/>
      <c r="CF190" s="35"/>
      <c r="CH190" s="35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4"/>
    </row>
    <row r="191" spans="1:99" s="140" customFormat="1" ht="12.75" hidden="1" customHeight="1">
      <c r="A191" s="126" t="s">
        <v>224</v>
      </c>
      <c r="C191" s="126" t="s">
        <v>27</v>
      </c>
      <c r="D191" s="121"/>
      <c r="E191" s="53">
        <f t="shared" si="54"/>
        <v>0</v>
      </c>
      <c r="F191" s="53"/>
      <c r="G191" s="53">
        <v>0</v>
      </c>
      <c r="H191" s="53"/>
      <c r="I191" s="53">
        <v>0</v>
      </c>
      <c r="J191" s="53"/>
      <c r="K191" s="53">
        <f t="shared" si="49"/>
        <v>0</v>
      </c>
      <c r="L191" s="53"/>
      <c r="M191" s="53">
        <v>0</v>
      </c>
      <c r="N191" s="53"/>
      <c r="O191" s="53">
        <v>0</v>
      </c>
      <c r="P191" s="53"/>
      <c r="Q191" s="53">
        <v>0</v>
      </c>
      <c r="R191" s="53"/>
      <c r="S191" s="53">
        <v>0</v>
      </c>
      <c r="T191" s="53"/>
      <c r="U191" s="53">
        <v>0</v>
      </c>
      <c r="V191" s="53"/>
      <c r="W191" s="53">
        <f t="shared" si="50"/>
        <v>0</v>
      </c>
      <c r="X191" s="137"/>
      <c r="Y191" s="126" t="s">
        <v>224</v>
      </c>
      <c r="AA191" s="126" t="s">
        <v>27</v>
      </c>
      <c r="AB191" s="126"/>
      <c r="AC191" s="53">
        <v>0</v>
      </c>
      <c r="AD191" s="53"/>
      <c r="AE191" s="53">
        <v>0</v>
      </c>
      <c r="AF191" s="53"/>
      <c r="AG191" s="53">
        <v>0</v>
      </c>
      <c r="AH191" s="53"/>
      <c r="AI191" s="45">
        <f t="shared" si="51"/>
        <v>0</v>
      </c>
      <c r="AJ191" s="45"/>
      <c r="AK191" s="53">
        <v>0</v>
      </c>
      <c r="AL191" s="45"/>
      <c r="AM191" s="53">
        <v>0</v>
      </c>
      <c r="AN191" s="53"/>
      <c r="AO191" s="53">
        <v>0</v>
      </c>
      <c r="AP191" s="53"/>
      <c r="AQ191" s="53">
        <v>0</v>
      </c>
      <c r="AR191" s="53"/>
      <c r="AS191" s="45">
        <f t="shared" si="52"/>
        <v>0</v>
      </c>
      <c r="AT191" s="45"/>
      <c r="AU191" s="53">
        <v>0</v>
      </c>
      <c r="AV191" s="53"/>
      <c r="AW191" s="53">
        <v>0</v>
      </c>
      <c r="AX191" s="53"/>
      <c r="AY191" s="53">
        <f t="shared" si="53"/>
        <v>0</v>
      </c>
      <c r="AZ191" s="53"/>
      <c r="BA191" s="126" t="s">
        <v>224</v>
      </c>
      <c r="BC191" s="126" t="s">
        <v>27</v>
      </c>
      <c r="BD191" s="137"/>
      <c r="BE191" s="53">
        <v>0</v>
      </c>
      <c r="BF191" s="53"/>
      <c r="BG191" s="53">
        <v>0</v>
      </c>
      <c r="BH191" s="53"/>
      <c r="BI191" s="53">
        <v>0</v>
      </c>
      <c r="BJ191" s="53"/>
      <c r="BK191" s="53">
        <v>0</v>
      </c>
      <c r="BL191" s="137"/>
      <c r="BM191" s="137">
        <f t="shared" si="42"/>
        <v>0</v>
      </c>
      <c r="BN191" s="139" t="s">
        <v>347</v>
      </c>
      <c r="BR191" s="124"/>
      <c r="BS191" s="137"/>
      <c r="BT191" s="137"/>
      <c r="BU191" s="137"/>
      <c r="BV191" s="137"/>
      <c r="BW191" s="137"/>
      <c r="BX191" s="127"/>
      <c r="BY191" s="127"/>
      <c r="BZ191" s="137"/>
      <c r="CA191" s="137"/>
      <c r="CB191" s="137"/>
      <c r="CC191" s="137"/>
      <c r="CD191" s="137"/>
      <c r="CE191" s="137"/>
      <c r="CF191" s="126"/>
      <c r="CH191" s="126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9"/>
    </row>
    <row r="192" spans="1:99" s="131" customFormat="1" ht="12.75" hidden="1" customHeight="1">
      <c r="A192" s="126" t="s">
        <v>225</v>
      </c>
      <c r="B192" s="124"/>
      <c r="C192" s="126" t="s">
        <v>27</v>
      </c>
      <c r="D192" s="121"/>
      <c r="E192" s="53">
        <f t="shared" si="54"/>
        <v>0</v>
      </c>
      <c r="F192" s="53"/>
      <c r="G192" s="53">
        <v>0</v>
      </c>
      <c r="H192" s="53"/>
      <c r="I192" s="53">
        <v>0</v>
      </c>
      <c r="J192" s="53"/>
      <c r="K192" s="53">
        <f t="shared" si="49"/>
        <v>0</v>
      </c>
      <c r="L192" s="53"/>
      <c r="M192" s="53">
        <v>0</v>
      </c>
      <c r="N192" s="53"/>
      <c r="O192" s="53">
        <v>0</v>
      </c>
      <c r="P192" s="53"/>
      <c r="Q192" s="53">
        <v>0</v>
      </c>
      <c r="R192" s="53"/>
      <c r="S192" s="53">
        <v>0</v>
      </c>
      <c r="T192" s="53"/>
      <c r="U192" s="53">
        <v>0</v>
      </c>
      <c r="V192" s="53"/>
      <c r="W192" s="53">
        <f t="shared" si="50"/>
        <v>0</v>
      </c>
      <c r="X192" s="137"/>
      <c r="Y192" s="126" t="s">
        <v>225</v>
      </c>
      <c r="Z192" s="140"/>
      <c r="AA192" s="126" t="s">
        <v>27</v>
      </c>
      <c r="AB192" s="126"/>
      <c r="AC192" s="53">
        <v>0</v>
      </c>
      <c r="AD192" s="53"/>
      <c r="AE192" s="53">
        <v>0</v>
      </c>
      <c r="AF192" s="53"/>
      <c r="AG192" s="53">
        <v>0</v>
      </c>
      <c r="AH192" s="53"/>
      <c r="AI192" s="45">
        <f t="shared" si="51"/>
        <v>0</v>
      </c>
      <c r="AJ192" s="45"/>
      <c r="AK192" s="53">
        <v>0</v>
      </c>
      <c r="AL192" s="45"/>
      <c r="AM192" s="53">
        <v>0</v>
      </c>
      <c r="AN192" s="53"/>
      <c r="AO192" s="53">
        <v>0</v>
      </c>
      <c r="AP192" s="53"/>
      <c r="AQ192" s="53">
        <v>0</v>
      </c>
      <c r="AR192" s="53"/>
      <c r="AS192" s="45">
        <f t="shared" si="52"/>
        <v>0</v>
      </c>
      <c r="AT192" s="45"/>
      <c r="AU192" s="53">
        <v>0</v>
      </c>
      <c r="AV192" s="53"/>
      <c r="AW192" s="53">
        <v>0</v>
      </c>
      <c r="AX192" s="53"/>
      <c r="AY192" s="53">
        <f t="shared" si="53"/>
        <v>0</v>
      </c>
      <c r="AZ192" s="53"/>
      <c r="BA192" s="126" t="s">
        <v>225</v>
      </c>
      <c r="BB192" s="140"/>
      <c r="BC192" s="126" t="s">
        <v>27</v>
      </c>
      <c r="BD192" s="137"/>
      <c r="BE192" s="53">
        <v>0</v>
      </c>
      <c r="BF192" s="53"/>
      <c r="BG192" s="53">
        <v>0</v>
      </c>
      <c r="BH192" s="53"/>
      <c r="BI192" s="53">
        <v>0</v>
      </c>
      <c r="BJ192" s="53"/>
      <c r="BK192" s="53">
        <v>0</v>
      </c>
      <c r="BL192" s="137"/>
      <c r="BM192" s="137">
        <f t="shared" si="42"/>
        <v>0</v>
      </c>
      <c r="BN192" s="138" t="s">
        <v>347</v>
      </c>
      <c r="BR192" s="136"/>
      <c r="BS192" s="135"/>
      <c r="BT192" s="135"/>
      <c r="BU192" s="135"/>
      <c r="BV192" s="135"/>
      <c r="BW192" s="135"/>
      <c r="BX192" s="128"/>
      <c r="BY192" s="128"/>
      <c r="BZ192" s="135"/>
      <c r="CA192" s="135"/>
      <c r="CB192" s="135"/>
      <c r="CC192" s="135"/>
      <c r="CD192" s="135"/>
      <c r="CE192" s="135"/>
      <c r="CF192" s="123"/>
      <c r="CH192" s="123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8"/>
    </row>
    <row r="193" spans="1:108" s="131" customFormat="1" ht="12.75" hidden="1" customHeight="1">
      <c r="A193" s="126" t="s">
        <v>226</v>
      </c>
      <c r="B193" s="124"/>
      <c r="C193" s="126" t="s">
        <v>45</v>
      </c>
      <c r="D193" s="121"/>
      <c r="E193" s="53">
        <f t="shared" si="54"/>
        <v>0</v>
      </c>
      <c r="F193" s="53"/>
      <c r="G193" s="53">
        <v>0</v>
      </c>
      <c r="H193" s="53"/>
      <c r="I193" s="53">
        <v>0</v>
      </c>
      <c r="J193" s="53"/>
      <c r="K193" s="53">
        <f t="shared" si="49"/>
        <v>0</v>
      </c>
      <c r="L193" s="53"/>
      <c r="M193" s="53">
        <v>0</v>
      </c>
      <c r="N193" s="53"/>
      <c r="O193" s="53">
        <v>0</v>
      </c>
      <c r="P193" s="53"/>
      <c r="Q193" s="53">
        <v>0</v>
      </c>
      <c r="R193" s="53"/>
      <c r="S193" s="53">
        <v>0</v>
      </c>
      <c r="T193" s="53"/>
      <c r="U193" s="53">
        <v>0</v>
      </c>
      <c r="V193" s="53"/>
      <c r="W193" s="53">
        <f t="shared" si="50"/>
        <v>0</v>
      </c>
      <c r="X193" s="137"/>
      <c r="Y193" s="126" t="s">
        <v>226</v>
      </c>
      <c r="Z193" s="140"/>
      <c r="AA193" s="126" t="s">
        <v>45</v>
      </c>
      <c r="AB193" s="126"/>
      <c r="AC193" s="53">
        <v>0</v>
      </c>
      <c r="AD193" s="53"/>
      <c r="AE193" s="53">
        <v>0</v>
      </c>
      <c r="AF193" s="53"/>
      <c r="AG193" s="53">
        <v>0</v>
      </c>
      <c r="AH193" s="53"/>
      <c r="AI193" s="45">
        <f t="shared" si="51"/>
        <v>0</v>
      </c>
      <c r="AJ193" s="45"/>
      <c r="AK193" s="53">
        <v>0</v>
      </c>
      <c r="AL193" s="45"/>
      <c r="AM193" s="53">
        <v>0</v>
      </c>
      <c r="AN193" s="53"/>
      <c r="AO193" s="53">
        <v>0</v>
      </c>
      <c r="AP193" s="53"/>
      <c r="AQ193" s="53">
        <v>0</v>
      </c>
      <c r="AR193" s="53"/>
      <c r="AS193" s="45">
        <f t="shared" si="52"/>
        <v>0</v>
      </c>
      <c r="AT193" s="45"/>
      <c r="AU193" s="53">
        <v>0</v>
      </c>
      <c r="AV193" s="53"/>
      <c r="AW193" s="53">
        <v>0</v>
      </c>
      <c r="AX193" s="53"/>
      <c r="AY193" s="53">
        <f t="shared" si="53"/>
        <v>0</v>
      </c>
      <c r="AZ193" s="53"/>
      <c r="BA193" s="126" t="s">
        <v>226</v>
      </c>
      <c r="BB193" s="140"/>
      <c r="BC193" s="126" t="s">
        <v>45</v>
      </c>
      <c r="BD193" s="137"/>
      <c r="BE193" s="53">
        <v>0</v>
      </c>
      <c r="BF193" s="53"/>
      <c r="BG193" s="53">
        <v>0</v>
      </c>
      <c r="BH193" s="53"/>
      <c r="BI193" s="53">
        <v>0</v>
      </c>
      <c r="BJ193" s="53"/>
      <c r="BK193" s="53">
        <v>0</v>
      </c>
      <c r="BL193" s="137"/>
      <c r="BM193" s="137">
        <f t="shared" si="42"/>
        <v>0</v>
      </c>
      <c r="BN193" s="138"/>
      <c r="BR193" s="136"/>
      <c r="BS193" s="135"/>
      <c r="BT193" s="135"/>
      <c r="BU193" s="135"/>
      <c r="BV193" s="135"/>
      <c r="BW193" s="135"/>
      <c r="BX193" s="128"/>
      <c r="BY193" s="128"/>
      <c r="BZ193" s="135"/>
      <c r="CA193" s="135"/>
      <c r="CB193" s="135"/>
      <c r="CC193" s="135"/>
      <c r="CD193" s="135"/>
      <c r="CE193" s="135"/>
      <c r="CF193" s="123"/>
      <c r="CH193" s="123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8"/>
    </row>
    <row r="194" spans="1:108" s="55" customFormat="1" ht="12.75" customHeight="1">
      <c r="A194" s="35" t="s">
        <v>227</v>
      </c>
      <c r="C194" s="35" t="s">
        <v>17</v>
      </c>
      <c r="D194" s="44"/>
      <c r="E194" s="53">
        <f t="shared" si="54"/>
        <v>614742</v>
      </c>
      <c r="F194" s="53"/>
      <c r="G194" s="53">
        <v>620655</v>
      </c>
      <c r="H194" s="53"/>
      <c r="I194" s="53">
        <v>1235397</v>
      </c>
      <c r="J194" s="53"/>
      <c r="K194" s="53">
        <f t="shared" si="49"/>
        <v>68901</v>
      </c>
      <c r="L194" s="53"/>
      <c r="M194" s="53">
        <v>36819</v>
      </c>
      <c r="N194" s="53"/>
      <c r="O194" s="53">
        <v>105720</v>
      </c>
      <c r="P194" s="53"/>
      <c r="Q194" s="53">
        <v>620655</v>
      </c>
      <c r="R194" s="53"/>
      <c r="S194" s="53">
        <v>0</v>
      </c>
      <c r="T194" s="53"/>
      <c r="U194" s="53">
        <v>509022</v>
      </c>
      <c r="V194" s="53"/>
      <c r="W194" s="53">
        <f t="shared" si="50"/>
        <v>1129677</v>
      </c>
      <c r="X194" s="53"/>
      <c r="Y194" s="35" t="s">
        <v>227</v>
      </c>
      <c r="AA194" s="35" t="s">
        <v>17</v>
      </c>
      <c r="AB194" s="35"/>
      <c r="AC194" s="53">
        <v>933462</v>
      </c>
      <c r="AD194" s="53"/>
      <c r="AE194" s="53">
        <f>844801-75030</f>
        <v>769771</v>
      </c>
      <c r="AF194" s="53"/>
      <c r="AG194" s="53">
        <v>75030</v>
      </c>
      <c r="AH194" s="53"/>
      <c r="AI194" s="45">
        <f t="shared" si="51"/>
        <v>88661</v>
      </c>
      <c r="AJ194" s="45"/>
      <c r="AK194" s="53">
        <v>-212</v>
      </c>
      <c r="AL194" s="45"/>
      <c r="AM194" s="53">
        <v>0</v>
      </c>
      <c r="AN194" s="53"/>
      <c r="AO194" s="53">
        <v>0</v>
      </c>
      <c r="AP194" s="53"/>
      <c r="AQ194" s="53">
        <v>0</v>
      </c>
      <c r="AR194" s="53"/>
      <c r="AS194" s="45">
        <f t="shared" si="52"/>
        <v>88449</v>
      </c>
      <c r="AT194" s="45"/>
      <c r="AU194" s="53">
        <v>0</v>
      </c>
      <c r="AV194" s="53"/>
      <c r="AW194" s="53">
        <v>0</v>
      </c>
      <c r="AX194" s="53"/>
      <c r="AY194" s="53">
        <f t="shared" si="53"/>
        <v>545841</v>
      </c>
      <c r="AZ194" s="53"/>
      <c r="BA194" s="35" t="s">
        <v>227</v>
      </c>
      <c r="BC194" s="35" t="s">
        <v>17</v>
      </c>
      <c r="BD194" s="53"/>
      <c r="BE194" s="53">
        <v>0</v>
      </c>
      <c r="BF194" s="53"/>
      <c r="BG194" s="53">
        <v>0</v>
      </c>
      <c r="BH194" s="53"/>
      <c r="BI194" s="53">
        <v>0</v>
      </c>
      <c r="BJ194" s="53"/>
      <c r="BK194" s="53">
        <v>36819</v>
      </c>
      <c r="BL194" s="53"/>
      <c r="BM194" s="53">
        <f t="shared" si="42"/>
        <v>36819</v>
      </c>
      <c r="BN194" s="54" t="s">
        <v>347</v>
      </c>
      <c r="BR194" s="65"/>
      <c r="BS194" s="53"/>
      <c r="BT194" s="53"/>
      <c r="BU194" s="53"/>
      <c r="BV194" s="53"/>
      <c r="BW194" s="53"/>
      <c r="BX194" s="45"/>
      <c r="BY194" s="45"/>
      <c r="BZ194" s="53"/>
      <c r="CA194" s="53"/>
      <c r="CB194" s="53"/>
      <c r="CC194" s="53"/>
      <c r="CD194" s="53"/>
      <c r="CE194" s="53"/>
      <c r="CF194" s="35"/>
      <c r="CH194" s="35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4"/>
    </row>
    <row r="195" spans="1:108" s="55" customFormat="1" ht="12.75" customHeight="1">
      <c r="A195" s="35" t="s">
        <v>228</v>
      </c>
      <c r="B195" s="51"/>
      <c r="C195" s="35" t="s">
        <v>153</v>
      </c>
      <c r="D195" s="44"/>
      <c r="E195" s="53">
        <f t="shared" si="54"/>
        <v>1054772</v>
      </c>
      <c r="F195" s="53"/>
      <c r="G195" s="53">
        <v>7365745</v>
      </c>
      <c r="H195" s="53"/>
      <c r="I195" s="53">
        <v>8420517</v>
      </c>
      <c r="J195" s="53"/>
      <c r="K195" s="53">
        <f t="shared" si="49"/>
        <v>283338</v>
      </c>
      <c r="L195" s="53"/>
      <c r="M195" s="53">
        <v>716292</v>
      </c>
      <c r="N195" s="53"/>
      <c r="O195" s="53">
        <v>999630</v>
      </c>
      <c r="P195" s="53"/>
      <c r="Q195" s="53">
        <v>6437710</v>
      </c>
      <c r="R195" s="53"/>
      <c r="S195" s="53">
        <v>0</v>
      </c>
      <c r="T195" s="53"/>
      <c r="U195" s="53">
        <v>983177</v>
      </c>
      <c r="V195" s="53"/>
      <c r="W195" s="53">
        <f t="shared" si="50"/>
        <v>7420887</v>
      </c>
      <c r="X195" s="53"/>
      <c r="Y195" s="35" t="s">
        <v>228</v>
      </c>
      <c r="AA195" s="35" t="s">
        <v>153</v>
      </c>
      <c r="AB195" s="35"/>
      <c r="AC195" s="53">
        <v>1469231</v>
      </c>
      <c r="AD195" s="53"/>
      <c r="AE195" s="53">
        <f>1386679-358391</f>
        <v>1028288</v>
      </c>
      <c r="AF195" s="53"/>
      <c r="AG195" s="53">
        <v>358391</v>
      </c>
      <c r="AH195" s="53"/>
      <c r="AI195" s="45">
        <f t="shared" si="51"/>
        <v>82552</v>
      </c>
      <c r="AJ195" s="45"/>
      <c r="AK195" s="53">
        <v>-8880</v>
      </c>
      <c r="AL195" s="45"/>
      <c r="AM195" s="53">
        <v>0</v>
      </c>
      <c r="AN195" s="53"/>
      <c r="AO195" s="53">
        <v>0</v>
      </c>
      <c r="AP195" s="53"/>
      <c r="AQ195" s="53">
        <v>0</v>
      </c>
      <c r="AR195" s="53"/>
      <c r="AS195" s="45">
        <f t="shared" si="52"/>
        <v>73672</v>
      </c>
      <c r="AT195" s="45"/>
      <c r="AU195" s="53">
        <v>0</v>
      </c>
      <c r="AV195" s="53"/>
      <c r="AW195" s="53">
        <v>0</v>
      </c>
      <c r="AX195" s="53"/>
      <c r="AY195" s="53">
        <f t="shared" si="53"/>
        <v>771434</v>
      </c>
      <c r="AZ195" s="53"/>
      <c r="BA195" s="35" t="s">
        <v>228</v>
      </c>
      <c r="BC195" s="35" t="s">
        <v>153</v>
      </c>
      <c r="BD195" s="53"/>
      <c r="BE195" s="53">
        <f>686963+241072</f>
        <v>928035</v>
      </c>
      <c r="BF195" s="53"/>
      <c r="BG195" s="53">
        <v>0</v>
      </c>
      <c r="BH195" s="53"/>
      <c r="BI195" s="53">
        <v>0</v>
      </c>
      <c r="BJ195" s="53"/>
      <c r="BK195" s="53">
        <f>29329+6863</f>
        <v>36192</v>
      </c>
      <c r="BL195" s="53"/>
      <c r="BM195" s="53">
        <f t="shared" si="42"/>
        <v>964227</v>
      </c>
      <c r="BN195" s="54" t="s">
        <v>347</v>
      </c>
      <c r="BO195" s="55" t="s">
        <v>404</v>
      </c>
      <c r="BR195" s="51"/>
      <c r="BS195" s="53"/>
      <c r="BT195" s="53"/>
      <c r="BU195" s="53"/>
      <c r="BV195" s="53"/>
      <c r="BW195" s="53"/>
      <c r="BX195" s="45"/>
      <c r="BY195" s="45"/>
      <c r="BZ195" s="53"/>
      <c r="CA195" s="53"/>
      <c r="CB195" s="53"/>
      <c r="CC195" s="53"/>
      <c r="CD195" s="53"/>
      <c r="CE195" s="53"/>
      <c r="CF195" s="35"/>
      <c r="CH195" s="35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4"/>
    </row>
    <row r="196" spans="1:108" s="55" customFormat="1" ht="12.75" customHeight="1">
      <c r="A196" s="35" t="s">
        <v>229</v>
      </c>
      <c r="B196" s="51"/>
      <c r="C196" s="35" t="s">
        <v>228</v>
      </c>
      <c r="D196" s="44"/>
      <c r="E196" s="53">
        <f t="shared" si="54"/>
        <v>1874575</v>
      </c>
      <c r="F196" s="53"/>
      <c r="G196" s="53">
        <v>19689943</v>
      </c>
      <c r="H196" s="53"/>
      <c r="I196" s="53">
        <v>21564518</v>
      </c>
      <c r="J196" s="53"/>
      <c r="K196" s="53">
        <f t="shared" si="49"/>
        <v>519943</v>
      </c>
      <c r="L196" s="53"/>
      <c r="M196" s="53">
        <v>5513622</v>
      </c>
      <c r="N196" s="53"/>
      <c r="O196" s="53">
        <v>6033565</v>
      </c>
      <c r="P196" s="53"/>
      <c r="Q196" s="53">
        <v>13891718</v>
      </c>
      <c r="R196" s="53"/>
      <c r="S196" s="53">
        <v>0</v>
      </c>
      <c r="T196" s="53"/>
      <c r="U196" s="53">
        <v>1639235</v>
      </c>
      <c r="V196" s="53"/>
      <c r="W196" s="53">
        <f t="shared" si="50"/>
        <v>15530953</v>
      </c>
      <c r="X196" s="53"/>
      <c r="Y196" s="35" t="s">
        <v>229</v>
      </c>
      <c r="AA196" s="35" t="s">
        <v>228</v>
      </c>
      <c r="AB196" s="35"/>
      <c r="AC196" s="53">
        <v>3180498</v>
      </c>
      <c r="AD196" s="53"/>
      <c r="AE196" s="53">
        <f>3446357-924907</f>
        <v>2521450</v>
      </c>
      <c r="AF196" s="53"/>
      <c r="AG196" s="53">
        <v>924907</v>
      </c>
      <c r="AH196" s="53"/>
      <c r="AI196" s="45">
        <f t="shared" si="51"/>
        <v>-265859</v>
      </c>
      <c r="AJ196" s="45"/>
      <c r="AK196" s="53">
        <v>-177651</v>
      </c>
      <c r="AL196" s="45"/>
      <c r="AM196" s="53">
        <v>0</v>
      </c>
      <c r="AN196" s="53"/>
      <c r="AO196" s="53">
        <v>0</v>
      </c>
      <c r="AP196" s="53"/>
      <c r="AQ196" s="53">
        <v>144993</v>
      </c>
      <c r="AR196" s="53"/>
      <c r="AS196" s="45">
        <f t="shared" si="52"/>
        <v>-298517</v>
      </c>
      <c r="AT196" s="45"/>
      <c r="AU196" s="53">
        <v>0</v>
      </c>
      <c r="AV196" s="53"/>
      <c r="AW196" s="53">
        <v>0</v>
      </c>
      <c r="AX196" s="53"/>
      <c r="AY196" s="53">
        <f t="shared" si="53"/>
        <v>1354632</v>
      </c>
      <c r="AZ196" s="53"/>
      <c r="BA196" s="35" t="s">
        <v>229</v>
      </c>
      <c r="BC196" s="35" t="s">
        <v>228</v>
      </c>
      <c r="BD196" s="53"/>
      <c r="BE196" s="53">
        <v>5395000</v>
      </c>
      <c r="BF196" s="53"/>
      <c r="BG196" s="53">
        <v>0</v>
      </c>
      <c r="BH196" s="53"/>
      <c r="BI196" s="53">
        <v>0</v>
      </c>
      <c r="BJ196" s="53"/>
      <c r="BK196" s="53">
        <f>118622+21638</f>
        <v>140260</v>
      </c>
      <c r="BL196" s="53"/>
      <c r="BM196" s="53">
        <f t="shared" si="42"/>
        <v>5535260</v>
      </c>
      <c r="BN196" s="54" t="s">
        <v>347</v>
      </c>
      <c r="BO196" s="35" t="s">
        <v>404</v>
      </c>
      <c r="BP196" s="35"/>
      <c r="BQ196" s="35"/>
      <c r="BR196" s="51"/>
      <c r="BS196" s="53"/>
      <c r="BT196" s="53"/>
      <c r="BU196" s="53"/>
      <c r="BV196" s="53"/>
      <c r="BW196" s="53"/>
      <c r="BX196" s="45"/>
      <c r="BY196" s="45"/>
      <c r="BZ196" s="53"/>
      <c r="CA196" s="53"/>
      <c r="CB196" s="53"/>
      <c r="CC196" s="53"/>
      <c r="CD196" s="53"/>
      <c r="CE196" s="53"/>
      <c r="CF196" s="35"/>
      <c r="CH196" s="35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4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</row>
    <row r="197" spans="1:108" s="140" customFormat="1" ht="12.75" hidden="1" customHeight="1">
      <c r="A197" s="126" t="s">
        <v>230</v>
      </c>
      <c r="B197" s="124"/>
      <c r="C197" s="126" t="s">
        <v>45</v>
      </c>
      <c r="D197" s="121"/>
      <c r="E197" s="53">
        <f t="shared" si="54"/>
        <v>0</v>
      </c>
      <c r="F197" s="53"/>
      <c r="G197" s="53">
        <v>0</v>
      </c>
      <c r="H197" s="53"/>
      <c r="I197" s="53">
        <v>0</v>
      </c>
      <c r="J197" s="53"/>
      <c r="K197" s="53">
        <f t="shared" si="49"/>
        <v>0</v>
      </c>
      <c r="L197" s="53"/>
      <c r="M197" s="53">
        <v>0</v>
      </c>
      <c r="N197" s="53"/>
      <c r="O197" s="53">
        <v>0</v>
      </c>
      <c r="P197" s="53"/>
      <c r="Q197" s="53">
        <v>0</v>
      </c>
      <c r="R197" s="53"/>
      <c r="S197" s="53">
        <v>0</v>
      </c>
      <c r="T197" s="53"/>
      <c r="U197" s="53">
        <v>0</v>
      </c>
      <c r="V197" s="53"/>
      <c r="W197" s="53">
        <f t="shared" si="50"/>
        <v>0</v>
      </c>
      <c r="X197" s="137"/>
      <c r="Y197" s="126" t="s">
        <v>230</v>
      </c>
      <c r="AA197" s="126" t="s">
        <v>45</v>
      </c>
      <c r="AB197" s="126"/>
      <c r="AC197" s="53">
        <v>0</v>
      </c>
      <c r="AD197" s="53"/>
      <c r="AE197" s="53">
        <v>0</v>
      </c>
      <c r="AF197" s="53"/>
      <c r="AG197" s="53">
        <v>0</v>
      </c>
      <c r="AH197" s="53"/>
      <c r="AI197" s="45">
        <f t="shared" si="51"/>
        <v>0</v>
      </c>
      <c r="AJ197" s="45"/>
      <c r="AK197" s="53">
        <v>0</v>
      </c>
      <c r="AL197" s="45"/>
      <c r="AM197" s="53">
        <v>0</v>
      </c>
      <c r="AN197" s="53"/>
      <c r="AO197" s="53">
        <v>0</v>
      </c>
      <c r="AP197" s="53"/>
      <c r="AQ197" s="53">
        <v>0</v>
      </c>
      <c r="AR197" s="53"/>
      <c r="AS197" s="45">
        <f t="shared" si="52"/>
        <v>0</v>
      </c>
      <c r="AT197" s="45"/>
      <c r="AU197" s="53">
        <v>0</v>
      </c>
      <c r="AV197" s="53"/>
      <c r="AW197" s="53">
        <v>0</v>
      </c>
      <c r="AX197" s="53"/>
      <c r="AY197" s="53">
        <f t="shared" si="53"/>
        <v>0</v>
      </c>
      <c r="AZ197" s="53"/>
      <c r="BA197" s="126" t="s">
        <v>230</v>
      </c>
      <c r="BC197" s="126" t="s">
        <v>45</v>
      </c>
      <c r="BD197" s="137"/>
      <c r="BE197" s="53">
        <v>0</v>
      </c>
      <c r="BF197" s="53"/>
      <c r="BG197" s="53">
        <v>0</v>
      </c>
      <c r="BH197" s="53"/>
      <c r="BI197" s="53">
        <v>0</v>
      </c>
      <c r="BJ197" s="53"/>
      <c r="BK197" s="53">
        <v>0</v>
      </c>
      <c r="BL197" s="137"/>
      <c r="BM197" s="137">
        <f t="shared" si="42"/>
        <v>0</v>
      </c>
      <c r="BN197" s="139" t="s">
        <v>347</v>
      </c>
      <c r="BR197" s="124"/>
      <c r="BS197" s="137"/>
      <c r="BT197" s="137"/>
      <c r="BU197" s="137"/>
      <c r="BV197" s="137"/>
      <c r="BW197" s="137"/>
      <c r="BX197" s="127"/>
      <c r="BY197" s="127"/>
      <c r="BZ197" s="137"/>
      <c r="CA197" s="137"/>
      <c r="CB197" s="137"/>
      <c r="CC197" s="137"/>
      <c r="CD197" s="137"/>
      <c r="CE197" s="137"/>
      <c r="CF197" s="126"/>
      <c r="CH197" s="126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9"/>
    </row>
    <row r="198" spans="1:108" s="140" customFormat="1" ht="12.75" hidden="1" customHeight="1">
      <c r="A198" s="126" t="s">
        <v>231</v>
      </c>
      <c r="B198" s="124"/>
      <c r="C198" s="126" t="s">
        <v>27</v>
      </c>
      <c r="D198" s="121"/>
      <c r="E198" s="53">
        <f t="shared" si="54"/>
        <v>0</v>
      </c>
      <c r="F198" s="53"/>
      <c r="G198" s="53">
        <v>0</v>
      </c>
      <c r="H198" s="53"/>
      <c r="I198" s="53">
        <v>0</v>
      </c>
      <c r="J198" s="53"/>
      <c r="K198" s="53">
        <f t="shared" si="49"/>
        <v>0</v>
      </c>
      <c r="L198" s="53"/>
      <c r="M198" s="53">
        <v>0</v>
      </c>
      <c r="N198" s="53"/>
      <c r="O198" s="53">
        <v>0</v>
      </c>
      <c r="P198" s="53"/>
      <c r="Q198" s="53">
        <v>0</v>
      </c>
      <c r="R198" s="53"/>
      <c r="S198" s="53">
        <v>0</v>
      </c>
      <c r="T198" s="53"/>
      <c r="U198" s="53">
        <v>0</v>
      </c>
      <c r="V198" s="53"/>
      <c r="W198" s="53">
        <f t="shared" si="50"/>
        <v>0</v>
      </c>
      <c r="X198" s="137"/>
      <c r="Y198" s="126" t="s">
        <v>231</v>
      </c>
      <c r="AA198" s="126" t="s">
        <v>27</v>
      </c>
      <c r="AB198" s="126"/>
      <c r="AC198" s="53">
        <v>0</v>
      </c>
      <c r="AD198" s="53"/>
      <c r="AE198" s="53">
        <v>0</v>
      </c>
      <c r="AF198" s="53"/>
      <c r="AG198" s="53">
        <v>0</v>
      </c>
      <c r="AH198" s="53"/>
      <c r="AI198" s="45">
        <f t="shared" si="51"/>
        <v>0</v>
      </c>
      <c r="AJ198" s="45"/>
      <c r="AK198" s="53">
        <v>0</v>
      </c>
      <c r="AL198" s="45"/>
      <c r="AM198" s="53">
        <v>0</v>
      </c>
      <c r="AN198" s="53"/>
      <c r="AO198" s="53">
        <v>0</v>
      </c>
      <c r="AP198" s="53"/>
      <c r="AQ198" s="53">
        <v>0</v>
      </c>
      <c r="AR198" s="53"/>
      <c r="AS198" s="45">
        <f t="shared" si="52"/>
        <v>0</v>
      </c>
      <c r="AT198" s="45"/>
      <c r="AU198" s="53">
        <v>0</v>
      </c>
      <c r="AV198" s="53"/>
      <c r="AW198" s="53">
        <v>0</v>
      </c>
      <c r="AX198" s="53"/>
      <c r="AY198" s="53">
        <f t="shared" si="53"/>
        <v>0</v>
      </c>
      <c r="AZ198" s="53"/>
      <c r="BA198" s="126" t="s">
        <v>231</v>
      </c>
      <c r="BC198" s="126" t="s">
        <v>27</v>
      </c>
      <c r="BD198" s="137"/>
      <c r="BE198" s="53">
        <v>0</v>
      </c>
      <c r="BF198" s="53"/>
      <c r="BG198" s="53">
        <v>0</v>
      </c>
      <c r="BH198" s="53"/>
      <c r="BI198" s="53">
        <v>0</v>
      </c>
      <c r="BJ198" s="53"/>
      <c r="BK198" s="53">
        <v>0</v>
      </c>
      <c r="BL198" s="137"/>
      <c r="BM198" s="137">
        <f t="shared" si="42"/>
        <v>0</v>
      </c>
      <c r="BN198" s="139" t="s">
        <v>347</v>
      </c>
      <c r="BR198" s="124"/>
      <c r="BS198" s="137"/>
      <c r="BT198" s="137"/>
      <c r="BU198" s="137"/>
      <c r="BV198" s="137"/>
      <c r="BW198" s="127"/>
      <c r="BX198" s="127"/>
      <c r="BY198" s="137"/>
      <c r="BZ198" s="137"/>
      <c r="CA198" s="137"/>
      <c r="CB198" s="137"/>
      <c r="CC198" s="137"/>
      <c r="CD198" s="137"/>
      <c r="CE198" s="137"/>
      <c r="CF198" s="126"/>
      <c r="CH198" s="126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9"/>
    </row>
    <row r="199" spans="1:108" s="140" customFormat="1" ht="12.75" hidden="1" customHeight="1">
      <c r="A199" s="126" t="s">
        <v>232</v>
      </c>
      <c r="B199" s="124"/>
      <c r="C199" s="126" t="s">
        <v>27</v>
      </c>
      <c r="D199" s="121"/>
      <c r="E199" s="53">
        <f t="shared" si="54"/>
        <v>0</v>
      </c>
      <c r="F199" s="53"/>
      <c r="G199" s="53">
        <v>0</v>
      </c>
      <c r="H199" s="53"/>
      <c r="I199" s="53">
        <v>0</v>
      </c>
      <c r="J199" s="53"/>
      <c r="K199" s="53">
        <f t="shared" si="49"/>
        <v>0</v>
      </c>
      <c r="L199" s="53"/>
      <c r="M199" s="53">
        <v>0</v>
      </c>
      <c r="N199" s="53"/>
      <c r="O199" s="53">
        <v>0</v>
      </c>
      <c r="P199" s="53"/>
      <c r="Q199" s="53">
        <v>0</v>
      </c>
      <c r="R199" s="53"/>
      <c r="S199" s="53">
        <v>0</v>
      </c>
      <c r="T199" s="53"/>
      <c r="U199" s="53">
        <v>0</v>
      </c>
      <c r="V199" s="53"/>
      <c r="W199" s="53">
        <f t="shared" si="50"/>
        <v>0</v>
      </c>
      <c r="X199" s="137"/>
      <c r="Y199" s="126" t="s">
        <v>232</v>
      </c>
      <c r="AA199" s="126" t="s">
        <v>27</v>
      </c>
      <c r="AB199" s="126"/>
      <c r="AC199" s="53">
        <v>0</v>
      </c>
      <c r="AD199" s="53"/>
      <c r="AE199" s="53">
        <v>0</v>
      </c>
      <c r="AF199" s="53"/>
      <c r="AG199" s="53">
        <v>0</v>
      </c>
      <c r="AH199" s="53"/>
      <c r="AI199" s="45">
        <f t="shared" si="51"/>
        <v>0</v>
      </c>
      <c r="AJ199" s="45"/>
      <c r="AK199" s="53">
        <v>0</v>
      </c>
      <c r="AL199" s="45"/>
      <c r="AM199" s="53">
        <v>0</v>
      </c>
      <c r="AN199" s="53"/>
      <c r="AO199" s="53">
        <v>0</v>
      </c>
      <c r="AP199" s="53"/>
      <c r="AQ199" s="53">
        <v>0</v>
      </c>
      <c r="AR199" s="53"/>
      <c r="AS199" s="45">
        <f t="shared" si="52"/>
        <v>0</v>
      </c>
      <c r="AT199" s="45"/>
      <c r="AU199" s="53">
        <v>0</v>
      </c>
      <c r="AV199" s="53"/>
      <c r="AW199" s="53">
        <v>0</v>
      </c>
      <c r="AX199" s="53"/>
      <c r="AY199" s="53">
        <f t="shared" si="53"/>
        <v>0</v>
      </c>
      <c r="AZ199" s="53"/>
      <c r="BA199" s="126" t="s">
        <v>232</v>
      </c>
      <c r="BC199" s="126" t="s">
        <v>27</v>
      </c>
      <c r="BD199" s="137"/>
      <c r="BE199" s="53">
        <v>0</v>
      </c>
      <c r="BF199" s="53"/>
      <c r="BG199" s="53">
        <v>0</v>
      </c>
      <c r="BH199" s="53"/>
      <c r="BI199" s="53">
        <v>0</v>
      </c>
      <c r="BJ199" s="53"/>
      <c r="BK199" s="53">
        <v>0</v>
      </c>
      <c r="BL199" s="137"/>
      <c r="BM199" s="137">
        <f t="shared" si="42"/>
        <v>0</v>
      </c>
      <c r="BN199" s="139" t="s">
        <v>347</v>
      </c>
      <c r="BR199" s="124"/>
      <c r="BS199" s="137"/>
      <c r="BT199" s="137"/>
      <c r="BU199" s="137"/>
      <c r="BV199" s="137"/>
      <c r="BW199" s="137"/>
      <c r="BX199" s="127"/>
      <c r="BY199" s="127"/>
      <c r="BZ199" s="137"/>
      <c r="CA199" s="137"/>
      <c r="CB199" s="137"/>
      <c r="CC199" s="137"/>
      <c r="CD199" s="137"/>
      <c r="CE199" s="137"/>
      <c r="CF199" s="126"/>
      <c r="CH199" s="126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9"/>
    </row>
    <row r="200" spans="1:108" s="55" customFormat="1" ht="12.75" customHeight="1">
      <c r="A200" s="35" t="s">
        <v>233</v>
      </c>
      <c r="B200" s="51"/>
      <c r="C200" s="35" t="s">
        <v>111</v>
      </c>
      <c r="D200" s="44"/>
      <c r="E200" s="53">
        <f t="shared" si="54"/>
        <v>3071184</v>
      </c>
      <c r="F200" s="53"/>
      <c r="G200" s="53">
        <v>37020326</v>
      </c>
      <c r="H200" s="53"/>
      <c r="I200" s="53">
        <v>40091510</v>
      </c>
      <c r="J200" s="53"/>
      <c r="K200" s="53">
        <f t="shared" si="49"/>
        <v>932745</v>
      </c>
      <c r="L200" s="53"/>
      <c r="M200" s="53">
        <v>17522156</v>
      </c>
      <c r="N200" s="53"/>
      <c r="O200" s="53">
        <v>18454901</v>
      </c>
      <c r="P200" s="53"/>
      <c r="Q200" s="53">
        <v>16531477</v>
      </c>
      <c r="R200" s="53"/>
      <c r="S200" s="53">
        <v>2180790</v>
      </c>
      <c r="T200" s="53"/>
      <c r="U200" s="53">
        <v>2924342</v>
      </c>
      <c r="V200" s="53"/>
      <c r="W200" s="53">
        <f t="shared" si="50"/>
        <v>21636609</v>
      </c>
      <c r="X200" s="53"/>
      <c r="Y200" s="35" t="s">
        <v>233</v>
      </c>
      <c r="AA200" s="35" t="s">
        <v>111</v>
      </c>
      <c r="AB200" s="35"/>
      <c r="AC200" s="53">
        <v>2640345</v>
      </c>
      <c r="AD200" s="53"/>
      <c r="AE200" s="53">
        <f>2406300-656286</f>
        <v>1750014</v>
      </c>
      <c r="AF200" s="53"/>
      <c r="AG200" s="53">
        <v>656286</v>
      </c>
      <c r="AH200" s="53"/>
      <c r="AI200" s="45">
        <f t="shared" si="51"/>
        <v>234045</v>
      </c>
      <c r="AJ200" s="45"/>
      <c r="AK200" s="53">
        <v>-859120</v>
      </c>
      <c r="AL200" s="45"/>
      <c r="AM200" s="53">
        <v>600000</v>
      </c>
      <c r="AN200" s="53"/>
      <c r="AO200" s="53">
        <v>90755</v>
      </c>
      <c r="AP200" s="53"/>
      <c r="AQ200" s="53">
        <v>233508</v>
      </c>
      <c r="AR200" s="53"/>
      <c r="AS200" s="45">
        <f t="shared" si="52"/>
        <v>117678</v>
      </c>
      <c r="AT200" s="45"/>
      <c r="AU200" s="53">
        <v>0</v>
      </c>
      <c r="AV200" s="53"/>
      <c r="AW200" s="53">
        <v>0</v>
      </c>
      <c r="AX200" s="53"/>
      <c r="AY200" s="53">
        <f t="shared" si="53"/>
        <v>2138439</v>
      </c>
      <c r="AZ200" s="53"/>
      <c r="BA200" s="35" t="s">
        <v>233</v>
      </c>
      <c r="BC200" s="35" t="s">
        <v>111</v>
      </c>
      <c r="BD200" s="53"/>
      <c r="BE200" s="53">
        <v>0</v>
      </c>
      <c r="BF200" s="53"/>
      <c r="BG200" s="53">
        <f>17492611+815448</f>
        <v>18308059</v>
      </c>
      <c r="BH200" s="53"/>
      <c r="BI200" s="53">
        <v>0</v>
      </c>
      <c r="BJ200" s="53"/>
      <c r="BK200" s="53">
        <f>3536+29545</f>
        <v>33081</v>
      </c>
      <c r="BL200" s="53"/>
      <c r="BM200" s="53">
        <f t="shared" si="42"/>
        <v>18341140</v>
      </c>
      <c r="BN200" s="54" t="s">
        <v>347</v>
      </c>
      <c r="BR200" s="51"/>
      <c r="BS200" s="53"/>
      <c r="BT200" s="53"/>
      <c r="BU200" s="53"/>
      <c r="BV200" s="53"/>
      <c r="BW200" s="53"/>
      <c r="BX200" s="45"/>
      <c r="BY200" s="45"/>
      <c r="BZ200" s="53"/>
      <c r="CA200" s="53"/>
      <c r="CB200" s="53"/>
      <c r="CC200" s="53"/>
      <c r="CD200" s="53"/>
      <c r="CE200" s="53"/>
      <c r="CF200" s="35"/>
      <c r="CH200" s="35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4"/>
    </row>
    <row r="201" spans="1:108" s="140" customFormat="1" ht="12.75" hidden="1" customHeight="1">
      <c r="A201" s="126" t="s">
        <v>234</v>
      </c>
      <c r="B201" s="124"/>
      <c r="C201" s="126" t="s">
        <v>45</v>
      </c>
      <c r="D201" s="121"/>
      <c r="E201" s="53">
        <f t="shared" si="54"/>
        <v>0</v>
      </c>
      <c r="F201" s="53"/>
      <c r="G201" s="53">
        <v>0</v>
      </c>
      <c r="H201" s="53"/>
      <c r="I201" s="53">
        <v>0</v>
      </c>
      <c r="J201" s="53"/>
      <c r="K201" s="53">
        <f t="shared" si="49"/>
        <v>0</v>
      </c>
      <c r="L201" s="53"/>
      <c r="M201" s="53">
        <v>0</v>
      </c>
      <c r="N201" s="53"/>
      <c r="O201" s="53">
        <v>0</v>
      </c>
      <c r="P201" s="53"/>
      <c r="Q201" s="53">
        <v>0</v>
      </c>
      <c r="R201" s="53"/>
      <c r="S201" s="53">
        <v>0</v>
      </c>
      <c r="T201" s="53"/>
      <c r="U201" s="53">
        <v>0</v>
      </c>
      <c r="V201" s="53"/>
      <c r="W201" s="53">
        <f t="shared" si="50"/>
        <v>0</v>
      </c>
      <c r="X201" s="137"/>
      <c r="Y201" s="126" t="s">
        <v>234</v>
      </c>
      <c r="AA201" s="126" t="s">
        <v>45</v>
      </c>
      <c r="AB201" s="126"/>
      <c r="AC201" s="53">
        <v>0</v>
      </c>
      <c r="AD201" s="53"/>
      <c r="AE201" s="53">
        <v>0</v>
      </c>
      <c r="AF201" s="53"/>
      <c r="AG201" s="53">
        <v>0</v>
      </c>
      <c r="AH201" s="53"/>
      <c r="AI201" s="45">
        <f t="shared" si="51"/>
        <v>0</v>
      </c>
      <c r="AJ201" s="45"/>
      <c r="AK201" s="53">
        <v>0</v>
      </c>
      <c r="AL201" s="45"/>
      <c r="AM201" s="53">
        <v>0</v>
      </c>
      <c r="AN201" s="53"/>
      <c r="AO201" s="53">
        <v>0</v>
      </c>
      <c r="AP201" s="53"/>
      <c r="AQ201" s="53">
        <v>0</v>
      </c>
      <c r="AR201" s="53"/>
      <c r="AS201" s="45">
        <f t="shared" si="52"/>
        <v>0</v>
      </c>
      <c r="AT201" s="45"/>
      <c r="AU201" s="53">
        <v>0</v>
      </c>
      <c r="AV201" s="53"/>
      <c r="AW201" s="53">
        <v>0</v>
      </c>
      <c r="AX201" s="53"/>
      <c r="AY201" s="53">
        <f t="shared" si="53"/>
        <v>0</v>
      </c>
      <c r="AZ201" s="53"/>
      <c r="BA201" s="126" t="s">
        <v>234</v>
      </c>
      <c r="BC201" s="126" t="s">
        <v>45</v>
      </c>
      <c r="BD201" s="137"/>
      <c r="BE201" s="53">
        <v>0</v>
      </c>
      <c r="BF201" s="53"/>
      <c r="BG201" s="53">
        <v>0</v>
      </c>
      <c r="BH201" s="53"/>
      <c r="BI201" s="53">
        <v>0</v>
      </c>
      <c r="BJ201" s="53"/>
      <c r="BK201" s="53">
        <v>0</v>
      </c>
      <c r="BL201" s="137"/>
      <c r="BM201" s="137">
        <f t="shared" si="42"/>
        <v>0</v>
      </c>
      <c r="BN201" s="139" t="s">
        <v>347</v>
      </c>
      <c r="BR201" s="124"/>
      <c r="BS201" s="137"/>
      <c r="BT201" s="137"/>
      <c r="BU201" s="137"/>
      <c r="BV201" s="137"/>
      <c r="BW201" s="127"/>
      <c r="BX201" s="127"/>
      <c r="BY201" s="137"/>
      <c r="BZ201" s="137"/>
      <c r="CA201" s="137"/>
      <c r="CB201" s="137"/>
      <c r="CC201" s="137"/>
      <c r="CD201" s="137"/>
      <c r="CE201" s="137"/>
      <c r="CF201" s="126"/>
      <c r="CH201" s="126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9"/>
    </row>
    <row r="202" spans="1:108" s="55" customFormat="1" ht="12.75" customHeight="1">
      <c r="A202" s="35" t="s">
        <v>235</v>
      </c>
      <c r="B202" s="51"/>
      <c r="C202" s="35" t="s">
        <v>183</v>
      </c>
      <c r="D202" s="44"/>
      <c r="E202" s="53">
        <f t="shared" si="54"/>
        <v>21595315</v>
      </c>
      <c r="F202" s="53"/>
      <c r="G202" s="53">
        <v>42754999</v>
      </c>
      <c r="H202" s="53"/>
      <c r="I202" s="53">
        <v>64350314</v>
      </c>
      <c r="J202" s="53"/>
      <c r="K202" s="53">
        <f t="shared" si="49"/>
        <v>3282724</v>
      </c>
      <c r="L202" s="53"/>
      <c r="M202" s="53">
        <v>21303102</v>
      </c>
      <c r="N202" s="53"/>
      <c r="O202" s="53">
        <v>24585826</v>
      </c>
      <c r="P202" s="53"/>
      <c r="Q202" s="53">
        <v>27661919</v>
      </c>
      <c r="R202" s="53"/>
      <c r="S202" s="53">
        <v>0</v>
      </c>
      <c r="T202" s="53"/>
      <c r="U202" s="53">
        <v>12102569</v>
      </c>
      <c r="V202" s="53"/>
      <c r="W202" s="53">
        <f t="shared" si="50"/>
        <v>39764488</v>
      </c>
      <c r="X202" s="53"/>
      <c r="Y202" s="35" t="s">
        <v>235</v>
      </c>
      <c r="AA202" s="35" t="s">
        <v>183</v>
      </c>
      <c r="AB202" s="35"/>
      <c r="AC202" s="53">
        <v>10497498</v>
      </c>
      <c r="AD202" s="53"/>
      <c r="AE202" s="53">
        <f>9733062-2857070</f>
        <v>6875992</v>
      </c>
      <c r="AF202" s="53"/>
      <c r="AG202" s="53">
        <v>2857070</v>
      </c>
      <c r="AH202" s="53"/>
      <c r="AI202" s="45">
        <f t="shared" si="51"/>
        <v>764436</v>
      </c>
      <c r="AJ202" s="45"/>
      <c r="AK202" s="53">
        <v>-876054</v>
      </c>
      <c r="AL202" s="45"/>
      <c r="AM202" s="53">
        <v>0</v>
      </c>
      <c r="AN202" s="53"/>
      <c r="AO202" s="53">
        <v>0</v>
      </c>
      <c r="AP202" s="53"/>
      <c r="AQ202" s="53">
        <v>2350409</v>
      </c>
      <c r="AR202" s="53"/>
      <c r="AS202" s="45">
        <f t="shared" ref="AS202:AS251" si="55">+AI202+AK202+AM202-AO202+AQ202</f>
        <v>2238791</v>
      </c>
      <c r="AT202" s="45"/>
      <c r="AU202" s="53">
        <v>0</v>
      </c>
      <c r="AV202" s="53"/>
      <c r="AW202" s="53">
        <v>0</v>
      </c>
      <c r="AX202" s="53"/>
      <c r="AY202" s="53">
        <f t="shared" si="53"/>
        <v>18312591</v>
      </c>
      <c r="AZ202" s="53"/>
      <c r="BA202" s="35" t="s">
        <v>235</v>
      </c>
      <c r="BC202" s="35" t="s">
        <v>183</v>
      </c>
      <c r="BD202" s="53"/>
      <c r="BE202" s="53">
        <f>21035585+2427786</f>
        <v>23463371</v>
      </c>
      <c r="BF202" s="53"/>
      <c r="BG202" s="53">
        <v>0</v>
      </c>
      <c r="BH202" s="53"/>
      <c r="BI202" s="53">
        <v>0</v>
      </c>
      <c r="BJ202" s="53"/>
      <c r="BK202" s="53">
        <f>267517+50000</f>
        <v>317517</v>
      </c>
      <c r="BL202" s="53"/>
      <c r="BM202" s="53">
        <f t="shared" si="42"/>
        <v>23780888</v>
      </c>
      <c r="BN202" s="54" t="s">
        <v>347</v>
      </c>
      <c r="BO202" s="55" t="s">
        <v>404</v>
      </c>
      <c r="BR202" s="51"/>
      <c r="BS202" s="53"/>
      <c r="BT202" s="53"/>
      <c r="BU202" s="53"/>
      <c r="BV202" s="53"/>
      <c r="BW202" s="53"/>
      <c r="BX202" s="45"/>
      <c r="BY202" s="45"/>
      <c r="BZ202" s="53"/>
      <c r="CA202" s="53"/>
      <c r="CB202" s="53"/>
      <c r="CC202" s="53"/>
      <c r="CD202" s="53"/>
      <c r="CE202" s="53"/>
      <c r="CF202" s="35"/>
      <c r="CH202" s="35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4"/>
    </row>
    <row r="203" spans="1:108" s="140" customFormat="1" ht="12.75" hidden="1" customHeight="1">
      <c r="A203" s="126" t="s">
        <v>236</v>
      </c>
      <c r="B203" s="124"/>
      <c r="C203" s="126" t="s">
        <v>45</v>
      </c>
      <c r="D203" s="121"/>
      <c r="E203" s="53">
        <f t="shared" si="54"/>
        <v>0</v>
      </c>
      <c r="F203" s="53"/>
      <c r="G203" s="53">
        <v>0</v>
      </c>
      <c r="H203" s="53"/>
      <c r="I203" s="53">
        <v>0</v>
      </c>
      <c r="J203" s="53"/>
      <c r="K203" s="53">
        <f t="shared" si="49"/>
        <v>0</v>
      </c>
      <c r="L203" s="53"/>
      <c r="M203" s="53">
        <v>0</v>
      </c>
      <c r="N203" s="53"/>
      <c r="O203" s="53">
        <v>0</v>
      </c>
      <c r="P203" s="53"/>
      <c r="Q203" s="53">
        <v>0</v>
      </c>
      <c r="R203" s="53"/>
      <c r="S203" s="53">
        <v>0</v>
      </c>
      <c r="T203" s="53"/>
      <c r="U203" s="53">
        <v>0</v>
      </c>
      <c r="V203" s="53"/>
      <c r="W203" s="53">
        <f t="shared" si="50"/>
        <v>0</v>
      </c>
      <c r="X203" s="137"/>
      <c r="Y203" s="126" t="s">
        <v>236</v>
      </c>
      <c r="AA203" s="126" t="s">
        <v>45</v>
      </c>
      <c r="AB203" s="126"/>
      <c r="AC203" s="53">
        <v>0</v>
      </c>
      <c r="AD203" s="53"/>
      <c r="AE203" s="53">
        <v>0</v>
      </c>
      <c r="AF203" s="53"/>
      <c r="AG203" s="53">
        <v>0</v>
      </c>
      <c r="AH203" s="53"/>
      <c r="AI203" s="45">
        <f t="shared" si="51"/>
        <v>0</v>
      </c>
      <c r="AJ203" s="45"/>
      <c r="AK203" s="53">
        <v>0</v>
      </c>
      <c r="AL203" s="45"/>
      <c r="AM203" s="53">
        <v>0</v>
      </c>
      <c r="AN203" s="53"/>
      <c r="AO203" s="53">
        <v>0</v>
      </c>
      <c r="AP203" s="53"/>
      <c r="AQ203" s="53">
        <v>0</v>
      </c>
      <c r="AR203" s="53"/>
      <c r="AS203" s="45">
        <f t="shared" si="55"/>
        <v>0</v>
      </c>
      <c r="AT203" s="45"/>
      <c r="AU203" s="53">
        <v>0</v>
      </c>
      <c r="AV203" s="53"/>
      <c r="AW203" s="53">
        <v>0</v>
      </c>
      <c r="AX203" s="53"/>
      <c r="AY203" s="53">
        <f t="shared" si="53"/>
        <v>0</v>
      </c>
      <c r="AZ203" s="53"/>
      <c r="BA203" s="126" t="s">
        <v>236</v>
      </c>
      <c r="BC203" s="126" t="s">
        <v>45</v>
      </c>
      <c r="BD203" s="137"/>
      <c r="BE203" s="53">
        <v>0</v>
      </c>
      <c r="BF203" s="53"/>
      <c r="BG203" s="53">
        <v>0</v>
      </c>
      <c r="BH203" s="53"/>
      <c r="BI203" s="53">
        <v>0</v>
      </c>
      <c r="BJ203" s="53"/>
      <c r="BK203" s="53">
        <v>0</v>
      </c>
      <c r="BL203" s="137"/>
      <c r="BM203" s="137">
        <f t="shared" si="42"/>
        <v>0</v>
      </c>
      <c r="BN203" s="139" t="s">
        <v>347</v>
      </c>
      <c r="BR203" s="124"/>
      <c r="BS203" s="137"/>
      <c r="BT203" s="137"/>
      <c r="BU203" s="137"/>
      <c r="BV203" s="137"/>
      <c r="BW203" s="137"/>
      <c r="BX203" s="127"/>
      <c r="BY203" s="127"/>
      <c r="BZ203" s="137"/>
      <c r="CA203" s="137"/>
      <c r="CB203" s="137"/>
      <c r="CC203" s="137"/>
      <c r="CD203" s="137"/>
      <c r="CE203" s="137"/>
      <c r="CF203" s="126"/>
      <c r="CH203" s="126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9"/>
    </row>
    <row r="204" spans="1:108" s="55" customFormat="1" ht="12.75" customHeight="1">
      <c r="A204" s="35" t="s">
        <v>237</v>
      </c>
      <c r="B204" s="51"/>
      <c r="C204" s="35" t="s">
        <v>33</v>
      </c>
      <c r="D204" s="44"/>
      <c r="E204" s="53">
        <f t="shared" si="54"/>
        <v>269096</v>
      </c>
      <c r="F204" s="53"/>
      <c r="G204" s="53">
        <v>2367815</v>
      </c>
      <c r="H204" s="53"/>
      <c r="I204" s="53">
        <v>2636911</v>
      </c>
      <c r="J204" s="53"/>
      <c r="K204" s="53">
        <f t="shared" si="49"/>
        <v>175141</v>
      </c>
      <c r="L204" s="53"/>
      <c r="M204" s="53">
        <v>709701</v>
      </c>
      <c r="N204" s="53"/>
      <c r="O204" s="53">
        <v>884842</v>
      </c>
      <c r="P204" s="53"/>
      <c r="Q204" s="53">
        <v>1394848</v>
      </c>
      <c r="R204" s="53"/>
      <c r="S204" s="53">
        <v>0</v>
      </c>
      <c r="T204" s="53"/>
      <c r="U204" s="53">
        <v>357221</v>
      </c>
      <c r="V204" s="53"/>
      <c r="W204" s="53">
        <f t="shared" si="50"/>
        <v>1752069</v>
      </c>
      <c r="X204" s="53"/>
      <c r="Y204" s="35" t="s">
        <v>237</v>
      </c>
      <c r="AA204" s="35" t="s">
        <v>33</v>
      </c>
      <c r="AB204" s="35"/>
      <c r="AC204" s="53">
        <v>790308</v>
      </c>
      <c r="AD204" s="53"/>
      <c r="AE204" s="53">
        <f>977377-373614</f>
        <v>603763</v>
      </c>
      <c r="AF204" s="53"/>
      <c r="AG204" s="53">
        <v>373614</v>
      </c>
      <c r="AH204" s="53"/>
      <c r="AI204" s="45">
        <f t="shared" si="51"/>
        <v>-187069</v>
      </c>
      <c r="AJ204" s="45"/>
      <c r="AK204" s="53">
        <v>-22686</v>
      </c>
      <c r="AL204" s="45"/>
      <c r="AM204" s="53">
        <v>0</v>
      </c>
      <c r="AN204" s="53"/>
      <c r="AO204" s="53">
        <v>0</v>
      </c>
      <c r="AP204" s="53"/>
      <c r="AQ204" s="53">
        <v>0</v>
      </c>
      <c r="AR204" s="53"/>
      <c r="AS204" s="45">
        <f t="shared" si="55"/>
        <v>-209755</v>
      </c>
      <c r="AT204" s="45"/>
      <c r="AU204" s="53">
        <v>0</v>
      </c>
      <c r="AV204" s="53"/>
      <c r="AW204" s="53">
        <v>0</v>
      </c>
      <c r="AX204" s="53"/>
      <c r="AY204" s="53">
        <f t="shared" si="53"/>
        <v>93955</v>
      </c>
      <c r="AZ204" s="53"/>
      <c r="BA204" s="35" t="s">
        <v>237</v>
      </c>
      <c r="BC204" s="35" t="s">
        <v>33</v>
      </c>
      <c r="BD204" s="53"/>
      <c r="BE204" s="53">
        <f>284922+40000</f>
        <v>324922</v>
      </c>
      <c r="BF204" s="53"/>
      <c r="BG204" s="53">
        <v>0</v>
      </c>
      <c r="BH204" s="53"/>
      <c r="BI204" s="53">
        <f>115960+5278</f>
        <v>121238</v>
      </c>
      <c r="BJ204" s="53"/>
      <c r="BK204" s="53">
        <f>12565+979</f>
        <v>13544</v>
      </c>
      <c r="BL204" s="53"/>
      <c r="BM204" s="53">
        <f t="shared" si="42"/>
        <v>459704</v>
      </c>
      <c r="BN204" s="54" t="s">
        <v>347</v>
      </c>
      <c r="BR204" s="51"/>
      <c r="BS204" s="53"/>
      <c r="BT204" s="53"/>
      <c r="BU204" s="53"/>
      <c r="BV204" s="53"/>
      <c r="BW204" s="53"/>
      <c r="BX204" s="45"/>
      <c r="BY204" s="45"/>
      <c r="BZ204" s="53"/>
      <c r="CA204" s="53"/>
      <c r="CB204" s="53"/>
      <c r="CC204" s="53"/>
      <c r="CD204" s="53"/>
      <c r="CE204" s="53"/>
      <c r="CF204" s="35"/>
      <c r="CH204" s="35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4"/>
    </row>
    <row r="205" spans="1:108" s="55" customFormat="1" ht="12.75" customHeight="1">
      <c r="A205" s="35" t="s">
        <v>238</v>
      </c>
      <c r="C205" s="35" t="s">
        <v>239</v>
      </c>
      <c r="D205" s="44"/>
      <c r="E205" s="53">
        <f t="shared" si="54"/>
        <v>2787012</v>
      </c>
      <c r="F205" s="53"/>
      <c r="G205" s="53">
        <v>16166003</v>
      </c>
      <c r="H205" s="53"/>
      <c r="I205" s="53">
        <v>18953015</v>
      </c>
      <c r="J205" s="53"/>
      <c r="K205" s="53">
        <f t="shared" si="49"/>
        <v>454338</v>
      </c>
      <c r="L205" s="53"/>
      <c r="M205" s="53">
        <f>61490+10573990</f>
        <v>10635480</v>
      </c>
      <c r="N205" s="53"/>
      <c r="O205" s="53">
        <v>11089818</v>
      </c>
      <c r="P205" s="53"/>
      <c r="Q205" s="53">
        <v>5170296</v>
      </c>
      <c r="R205" s="53"/>
      <c r="S205" s="53">
        <v>0</v>
      </c>
      <c r="T205" s="53"/>
      <c r="U205" s="53">
        <v>2692901</v>
      </c>
      <c r="V205" s="53"/>
      <c r="W205" s="53">
        <f t="shared" si="50"/>
        <v>7863197</v>
      </c>
      <c r="X205" s="53"/>
      <c r="Y205" s="35" t="s">
        <v>238</v>
      </c>
      <c r="AA205" s="35" t="s">
        <v>239</v>
      </c>
      <c r="AB205" s="35"/>
      <c r="AC205" s="53">
        <v>2139148</v>
      </c>
      <c r="AD205" s="53"/>
      <c r="AE205" s="53">
        <f>1545642-489110</f>
        <v>1056532</v>
      </c>
      <c r="AF205" s="53"/>
      <c r="AG205" s="53">
        <v>489110</v>
      </c>
      <c r="AH205" s="53"/>
      <c r="AI205" s="45">
        <f t="shared" si="51"/>
        <v>593506</v>
      </c>
      <c r="AJ205" s="45"/>
      <c r="AK205" s="53">
        <v>-344431</v>
      </c>
      <c r="AL205" s="45"/>
      <c r="AM205" s="53">
        <v>0</v>
      </c>
      <c r="AN205" s="53"/>
      <c r="AO205" s="53">
        <v>0</v>
      </c>
      <c r="AP205" s="53"/>
      <c r="AQ205" s="53">
        <v>0</v>
      </c>
      <c r="AR205" s="53"/>
      <c r="AS205" s="45">
        <f t="shared" si="55"/>
        <v>249075</v>
      </c>
      <c r="AT205" s="45"/>
      <c r="AU205" s="53">
        <v>0</v>
      </c>
      <c r="AV205" s="53"/>
      <c r="AW205" s="53">
        <v>0</v>
      </c>
      <c r="AX205" s="53"/>
      <c r="AY205" s="53">
        <f t="shared" si="53"/>
        <v>2332674</v>
      </c>
      <c r="AZ205" s="53"/>
      <c r="BA205" s="35" t="s">
        <v>238</v>
      </c>
      <c r="BC205" s="35" t="s">
        <v>239</v>
      </c>
      <c r="BD205" s="53"/>
      <c r="BE205" s="53">
        <v>0</v>
      </c>
      <c r="BF205" s="53"/>
      <c r="BG205" s="53">
        <v>0</v>
      </c>
      <c r="BH205" s="53"/>
      <c r="BI205" s="53">
        <f>10573990+421717</f>
        <v>10995707</v>
      </c>
      <c r="BJ205" s="53"/>
      <c r="BK205" s="53">
        <f>61490+13165</f>
        <v>74655</v>
      </c>
      <c r="BL205" s="53"/>
      <c r="BM205" s="53">
        <f t="shared" si="42"/>
        <v>11070362</v>
      </c>
      <c r="BN205" s="54" t="s">
        <v>347</v>
      </c>
      <c r="BR205" s="51"/>
      <c r="BS205" s="53"/>
      <c r="BT205" s="53"/>
      <c r="BU205" s="53"/>
      <c r="BV205" s="53"/>
      <c r="BW205" s="53"/>
      <c r="BX205" s="45"/>
      <c r="BY205" s="45"/>
      <c r="BZ205" s="53"/>
      <c r="CA205" s="53"/>
      <c r="CB205" s="53"/>
      <c r="CC205" s="53"/>
      <c r="CD205" s="53"/>
      <c r="CE205" s="53"/>
      <c r="CF205" s="35"/>
      <c r="CH205" s="35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4"/>
    </row>
    <row r="206" spans="1:108" s="55" customFormat="1" ht="12.75" customHeight="1">
      <c r="A206" s="35" t="s">
        <v>486</v>
      </c>
      <c r="B206" s="51"/>
      <c r="C206" s="35" t="s">
        <v>249</v>
      </c>
      <c r="D206" s="44"/>
      <c r="E206" s="53">
        <f t="shared" si="54"/>
        <v>6000524</v>
      </c>
      <c r="F206" s="53"/>
      <c r="G206" s="53">
        <v>14833805</v>
      </c>
      <c r="H206" s="53"/>
      <c r="I206" s="53">
        <v>20834329</v>
      </c>
      <c r="J206" s="53"/>
      <c r="K206" s="53">
        <f t="shared" si="49"/>
        <v>1704967</v>
      </c>
      <c r="L206" s="53"/>
      <c r="M206" s="53">
        <v>11859053</v>
      </c>
      <c r="N206" s="53"/>
      <c r="O206" s="53">
        <v>13564020</v>
      </c>
      <c r="P206" s="53"/>
      <c r="Q206" s="53">
        <v>2649158</v>
      </c>
      <c r="R206" s="53"/>
      <c r="S206" s="53">
        <v>1097874</v>
      </c>
      <c r="T206" s="53"/>
      <c r="U206" s="53">
        <v>3523277</v>
      </c>
      <c r="V206" s="53"/>
      <c r="W206" s="53">
        <f t="shared" si="50"/>
        <v>7270309</v>
      </c>
      <c r="X206" s="53"/>
      <c r="Y206" s="35" t="s">
        <v>486</v>
      </c>
      <c r="AA206" s="35" t="s">
        <v>249</v>
      </c>
      <c r="AB206" s="35"/>
      <c r="AC206" s="53">
        <v>5327028</v>
      </c>
      <c r="AD206" s="53"/>
      <c r="AE206" s="53">
        <f>3568907-338798</f>
        <v>3230109</v>
      </c>
      <c r="AF206" s="53"/>
      <c r="AG206" s="53">
        <v>338798</v>
      </c>
      <c r="AH206" s="53"/>
      <c r="AI206" s="45">
        <f t="shared" si="51"/>
        <v>1758121</v>
      </c>
      <c r="AJ206" s="45"/>
      <c r="AK206" s="53">
        <v>-666795</v>
      </c>
      <c r="AL206" s="45"/>
      <c r="AM206" s="53">
        <v>0</v>
      </c>
      <c r="AN206" s="53"/>
      <c r="AO206" s="53">
        <v>0</v>
      </c>
      <c r="AP206" s="53"/>
      <c r="AQ206" s="53">
        <v>0</v>
      </c>
      <c r="AR206" s="53"/>
      <c r="AS206" s="45">
        <f t="shared" si="55"/>
        <v>1091326</v>
      </c>
      <c r="AT206" s="45"/>
      <c r="AU206" s="53">
        <v>0</v>
      </c>
      <c r="AV206" s="53"/>
      <c r="AW206" s="53">
        <v>0</v>
      </c>
      <c r="AX206" s="53"/>
      <c r="AY206" s="53">
        <f t="shared" si="53"/>
        <v>4295557</v>
      </c>
      <c r="AZ206" s="53"/>
      <c r="BA206" s="35" t="s">
        <v>486</v>
      </c>
      <c r="BC206" s="35" t="s">
        <v>249</v>
      </c>
      <c r="BD206" s="53"/>
      <c r="BE206" s="53">
        <f>1069750+63250</f>
        <v>1133000</v>
      </c>
      <c r="BF206" s="53"/>
      <c r="BG206" s="53">
        <v>0</v>
      </c>
      <c r="BH206" s="53"/>
      <c r="BI206" s="53">
        <v>10927969</v>
      </c>
      <c r="BJ206" s="53"/>
      <c r="BK206" s="53">
        <f>44584+71765+10918+16982</f>
        <v>144249</v>
      </c>
      <c r="BL206" s="53"/>
      <c r="BM206" s="53">
        <f>SUM(BE206:BK206)</f>
        <v>12205218</v>
      </c>
      <c r="BN206" s="54" t="s">
        <v>347</v>
      </c>
      <c r="BR206" s="51"/>
      <c r="BS206" s="53"/>
      <c r="BT206" s="53"/>
      <c r="BU206" s="53"/>
      <c r="BV206" s="53"/>
      <c r="BW206" s="53"/>
      <c r="BX206" s="45"/>
      <c r="BY206" s="45"/>
      <c r="BZ206" s="53"/>
      <c r="CA206" s="53"/>
      <c r="CB206" s="53"/>
      <c r="CC206" s="53"/>
      <c r="CD206" s="53"/>
      <c r="CE206" s="53"/>
      <c r="CF206" s="44"/>
      <c r="CH206" s="44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4"/>
    </row>
    <row r="207" spans="1:108" s="140" customFormat="1" ht="12.75" hidden="1" customHeight="1">
      <c r="A207" s="126" t="s">
        <v>240</v>
      </c>
      <c r="B207" s="124"/>
      <c r="C207" s="126" t="s">
        <v>13</v>
      </c>
      <c r="D207" s="121"/>
      <c r="E207" s="53">
        <f t="shared" si="54"/>
        <v>0</v>
      </c>
      <c r="F207" s="53"/>
      <c r="G207" s="53">
        <v>0</v>
      </c>
      <c r="H207" s="53"/>
      <c r="I207" s="53">
        <v>0</v>
      </c>
      <c r="J207" s="53"/>
      <c r="K207" s="53">
        <f t="shared" si="49"/>
        <v>0</v>
      </c>
      <c r="L207" s="53"/>
      <c r="M207" s="53">
        <v>0</v>
      </c>
      <c r="N207" s="53"/>
      <c r="O207" s="53">
        <v>0</v>
      </c>
      <c r="P207" s="53"/>
      <c r="Q207" s="53">
        <v>0</v>
      </c>
      <c r="R207" s="53"/>
      <c r="S207" s="53">
        <v>0</v>
      </c>
      <c r="T207" s="53"/>
      <c r="U207" s="53">
        <v>0</v>
      </c>
      <c r="V207" s="53"/>
      <c r="W207" s="53">
        <f t="shared" si="50"/>
        <v>0</v>
      </c>
      <c r="X207" s="137"/>
      <c r="Y207" s="126" t="s">
        <v>240</v>
      </c>
      <c r="AA207" s="126" t="s">
        <v>13</v>
      </c>
      <c r="AB207" s="126"/>
      <c r="AC207" s="53">
        <v>0</v>
      </c>
      <c r="AD207" s="53"/>
      <c r="AE207" s="53">
        <v>0</v>
      </c>
      <c r="AF207" s="53"/>
      <c r="AG207" s="53">
        <v>0</v>
      </c>
      <c r="AH207" s="53"/>
      <c r="AI207" s="45">
        <f t="shared" si="51"/>
        <v>0</v>
      </c>
      <c r="AJ207" s="45"/>
      <c r="AK207" s="53">
        <v>0</v>
      </c>
      <c r="AL207" s="45"/>
      <c r="AM207" s="53">
        <v>0</v>
      </c>
      <c r="AN207" s="53"/>
      <c r="AO207" s="53">
        <v>0</v>
      </c>
      <c r="AP207" s="53"/>
      <c r="AQ207" s="53">
        <v>0</v>
      </c>
      <c r="AR207" s="53"/>
      <c r="AS207" s="45">
        <f t="shared" si="55"/>
        <v>0</v>
      </c>
      <c r="AT207" s="45"/>
      <c r="AU207" s="53">
        <v>0</v>
      </c>
      <c r="AV207" s="53"/>
      <c r="AW207" s="53">
        <v>0</v>
      </c>
      <c r="AX207" s="53"/>
      <c r="AY207" s="53">
        <f t="shared" si="53"/>
        <v>0</v>
      </c>
      <c r="AZ207" s="53"/>
      <c r="BA207" s="126" t="s">
        <v>240</v>
      </c>
      <c r="BC207" s="126" t="s">
        <v>13</v>
      </c>
      <c r="BD207" s="137"/>
      <c r="BE207" s="53">
        <v>0</v>
      </c>
      <c r="BF207" s="53"/>
      <c r="BG207" s="53">
        <v>0</v>
      </c>
      <c r="BH207" s="53"/>
      <c r="BI207" s="53">
        <v>0</v>
      </c>
      <c r="BJ207" s="53"/>
      <c r="BK207" s="53">
        <v>0</v>
      </c>
      <c r="BL207" s="137"/>
      <c r="BM207" s="137">
        <f t="shared" si="42"/>
        <v>0</v>
      </c>
      <c r="BN207" s="139" t="s">
        <v>347</v>
      </c>
      <c r="BR207" s="124"/>
      <c r="BS207" s="137"/>
      <c r="BT207" s="137"/>
      <c r="BU207" s="137"/>
      <c r="BV207" s="137"/>
      <c r="BW207" s="137"/>
      <c r="BX207" s="127"/>
      <c r="BY207" s="127"/>
      <c r="BZ207" s="137"/>
      <c r="CA207" s="137"/>
      <c r="CB207" s="137"/>
      <c r="CC207" s="137"/>
      <c r="CD207" s="137"/>
      <c r="CE207" s="137"/>
      <c r="CF207" s="121"/>
      <c r="CH207" s="121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9"/>
    </row>
    <row r="208" spans="1:108" s="140" customFormat="1" ht="12.75" hidden="1" customHeight="1">
      <c r="A208" s="126" t="s">
        <v>241</v>
      </c>
      <c r="B208" s="124"/>
      <c r="C208" s="126" t="s">
        <v>22</v>
      </c>
      <c r="D208" s="121"/>
      <c r="E208" s="53">
        <f t="shared" si="54"/>
        <v>0</v>
      </c>
      <c r="F208" s="53"/>
      <c r="G208" s="53">
        <v>0</v>
      </c>
      <c r="H208" s="53"/>
      <c r="I208" s="53">
        <v>0</v>
      </c>
      <c r="J208" s="53"/>
      <c r="K208" s="53">
        <f t="shared" si="49"/>
        <v>0</v>
      </c>
      <c r="L208" s="53"/>
      <c r="M208" s="53">
        <v>0</v>
      </c>
      <c r="N208" s="53"/>
      <c r="O208" s="53">
        <v>0</v>
      </c>
      <c r="P208" s="53"/>
      <c r="Q208" s="53">
        <v>0</v>
      </c>
      <c r="R208" s="53"/>
      <c r="S208" s="53">
        <v>0</v>
      </c>
      <c r="T208" s="53"/>
      <c r="U208" s="53">
        <v>0</v>
      </c>
      <c r="V208" s="53"/>
      <c r="W208" s="53">
        <f t="shared" si="50"/>
        <v>0</v>
      </c>
      <c r="X208" s="137"/>
      <c r="Y208" s="126" t="s">
        <v>241</v>
      </c>
      <c r="AA208" s="126" t="s">
        <v>22</v>
      </c>
      <c r="AB208" s="126"/>
      <c r="AC208" s="53">
        <v>0</v>
      </c>
      <c r="AD208" s="53"/>
      <c r="AE208" s="53">
        <v>0</v>
      </c>
      <c r="AF208" s="53"/>
      <c r="AG208" s="53">
        <v>0</v>
      </c>
      <c r="AH208" s="53"/>
      <c r="AI208" s="45">
        <f t="shared" si="51"/>
        <v>0</v>
      </c>
      <c r="AJ208" s="45"/>
      <c r="AK208" s="53">
        <v>0</v>
      </c>
      <c r="AL208" s="45"/>
      <c r="AM208" s="53">
        <v>0</v>
      </c>
      <c r="AN208" s="53"/>
      <c r="AO208" s="53">
        <v>0</v>
      </c>
      <c r="AP208" s="53"/>
      <c r="AQ208" s="53">
        <v>0</v>
      </c>
      <c r="AR208" s="53"/>
      <c r="AS208" s="45">
        <f t="shared" si="55"/>
        <v>0</v>
      </c>
      <c r="AT208" s="45"/>
      <c r="AU208" s="53">
        <v>0</v>
      </c>
      <c r="AV208" s="53"/>
      <c r="AW208" s="53">
        <v>0</v>
      </c>
      <c r="AX208" s="53"/>
      <c r="AY208" s="53">
        <f t="shared" si="53"/>
        <v>0</v>
      </c>
      <c r="AZ208" s="53"/>
      <c r="BA208" s="126" t="s">
        <v>241</v>
      </c>
      <c r="BC208" s="126" t="s">
        <v>22</v>
      </c>
      <c r="BD208" s="137"/>
      <c r="BE208" s="53">
        <v>0</v>
      </c>
      <c r="BF208" s="53"/>
      <c r="BG208" s="53">
        <v>0</v>
      </c>
      <c r="BH208" s="53"/>
      <c r="BI208" s="53">
        <v>0</v>
      </c>
      <c r="BJ208" s="53"/>
      <c r="BK208" s="53">
        <v>0</v>
      </c>
      <c r="BL208" s="137"/>
      <c r="BM208" s="137">
        <f t="shared" si="42"/>
        <v>0</v>
      </c>
      <c r="BN208" s="139" t="s">
        <v>347</v>
      </c>
      <c r="BR208" s="124"/>
      <c r="BS208" s="137"/>
      <c r="BT208" s="137"/>
      <c r="BU208" s="137"/>
      <c r="BV208" s="137"/>
      <c r="BW208" s="137"/>
      <c r="BX208" s="127"/>
      <c r="BY208" s="127"/>
      <c r="BZ208" s="137"/>
      <c r="CA208" s="137"/>
      <c r="CB208" s="137"/>
      <c r="CC208" s="137"/>
      <c r="CD208" s="137"/>
      <c r="CE208" s="137"/>
      <c r="CF208" s="126"/>
      <c r="CH208" s="126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9"/>
    </row>
    <row r="209" spans="1:105" s="55" customFormat="1" ht="12.75" customHeight="1">
      <c r="A209" s="35" t="s">
        <v>242</v>
      </c>
      <c r="B209" s="51"/>
      <c r="C209" s="35" t="s">
        <v>27</v>
      </c>
      <c r="D209" s="44"/>
      <c r="E209" s="53">
        <f t="shared" si="54"/>
        <v>5322983</v>
      </c>
      <c r="F209" s="53"/>
      <c r="G209" s="53">
        <v>50329518</v>
      </c>
      <c r="H209" s="53"/>
      <c r="I209" s="53">
        <v>55652501</v>
      </c>
      <c r="J209" s="53"/>
      <c r="K209" s="53">
        <f t="shared" si="49"/>
        <v>451835</v>
      </c>
      <c r="L209" s="53"/>
      <c r="M209" s="53">
        <v>2686928</v>
      </c>
      <c r="N209" s="53"/>
      <c r="O209" s="53">
        <v>3138763</v>
      </c>
      <c r="P209" s="53"/>
      <c r="Q209" s="53">
        <v>47515018</v>
      </c>
      <c r="R209" s="53"/>
      <c r="S209" s="53">
        <v>0</v>
      </c>
      <c r="T209" s="53"/>
      <c r="U209" s="53">
        <v>4998720</v>
      </c>
      <c r="V209" s="53"/>
      <c r="W209" s="53">
        <f t="shared" si="50"/>
        <v>52513738</v>
      </c>
      <c r="X209" s="53"/>
      <c r="Y209" s="35" t="s">
        <v>242</v>
      </c>
      <c r="AA209" s="35" t="s">
        <v>27</v>
      </c>
      <c r="AB209" s="35"/>
      <c r="AC209" s="53">
        <v>5691848</v>
      </c>
      <c r="AD209" s="53"/>
      <c r="AE209" s="53">
        <f>6266673-2351134</f>
        <v>3915539</v>
      </c>
      <c r="AF209" s="53"/>
      <c r="AG209" s="53">
        <v>2351134</v>
      </c>
      <c r="AH209" s="53"/>
      <c r="AI209" s="45">
        <f t="shared" si="51"/>
        <v>-574825</v>
      </c>
      <c r="AJ209" s="45"/>
      <c r="AK209" s="53">
        <v>-140622</v>
      </c>
      <c r="AL209" s="45"/>
      <c r="AM209" s="53">
        <v>0</v>
      </c>
      <c r="AN209" s="53"/>
      <c r="AO209" s="53">
        <v>650000</v>
      </c>
      <c r="AP209" s="53"/>
      <c r="AQ209" s="53">
        <v>605508</v>
      </c>
      <c r="AR209" s="53"/>
      <c r="AS209" s="45">
        <f t="shared" si="55"/>
        <v>-759939</v>
      </c>
      <c r="AT209" s="45"/>
      <c r="AU209" s="53">
        <v>0</v>
      </c>
      <c r="AV209" s="53"/>
      <c r="AW209" s="53">
        <v>0</v>
      </c>
      <c r="AX209" s="53"/>
      <c r="AY209" s="53">
        <f t="shared" si="53"/>
        <v>4871148</v>
      </c>
      <c r="AZ209" s="53"/>
      <c r="BA209" s="35" t="s">
        <v>242</v>
      </c>
      <c r="BC209" s="35" t="s">
        <v>27</v>
      </c>
      <c r="BD209" s="53"/>
      <c r="BE209" s="53">
        <v>0</v>
      </c>
      <c r="BF209" s="53"/>
      <c r="BG209" s="53">
        <v>0</v>
      </c>
      <c r="BH209" s="53"/>
      <c r="BI209" s="53">
        <f>2650707+163793</f>
        <v>2814500</v>
      </c>
      <c r="BJ209" s="53"/>
      <c r="BK209" s="53">
        <f>36221+127677</f>
        <v>163898</v>
      </c>
      <c r="BL209" s="53"/>
      <c r="BM209" s="53">
        <f t="shared" si="42"/>
        <v>2978398</v>
      </c>
      <c r="BN209" s="54" t="s">
        <v>347</v>
      </c>
      <c r="BR209" s="51"/>
      <c r="BS209" s="53"/>
      <c r="BT209" s="53"/>
      <c r="BU209" s="53"/>
      <c r="BV209" s="53"/>
      <c r="BW209" s="53"/>
      <c r="BX209" s="45"/>
      <c r="BY209" s="45"/>
      <c r="BZ209" s="53"/>
      <c r="CA209" s="53"/>
      <c r="CB209" s="53"/>
      <c r="CC209" s="53"/>
      <c r="CD209" s="53"/>
      <c r="CE209" s="53"/>
      <c r="CF209" s="35"/>
      <c r="CH209" s="35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4"/>
    </row>
    <row r="210" spans="1:105" s="55" customFormat="1" ht="12.75" customHeight="1">
      <c r="A210" s="35" t="s">
        <v>243</v>
      </c>
      <c r="C210" s="35" t="s">
        <v>163</v>
      </c>
      <c r="D210" s="44"/>
      <c r="E210" s="53">
        <f t="shared" si="54"/>
        <v>1513238</v>
      </c>
      <c r="F210" s="53"/>
      <c r="G210" s="53">
        <v>11059382</v>
      </c>
      <c r="H210" s="53"/>
      <c r="I210" s="53">
        <v>12572620</v>
      </c>
      <c r="J210" s="53"/>
      <c r="K210" s="53">
        <f t="shared" si="49"/>
        <v>271189</v>
      </c>
      <c r="L210" s="53"/>
      <c r="M210" s="53">
        <v>110668</v>
      </c>
      <c r="N210" s="53"/>
      <c r="O210" s="53">
        <v>381857</v>
      </c>
      <c r="P210" s="53"/>
      <c r="Q210" s="53">
        <v>1058382</v>
      </c>
      <c r="R210" s="53"/>
      <c r="S210" s="53">
        <v>0</v>
      </c>
      <c r="T210" s="53"/>
      <c r="U210" s="53">
        <v>1131381</v>
      </c>
      <c r="V210" s="53"/>
      <c r="W210" s="53">
        <f t="shared" si="50"/>
        <v>2189763</v>
      </c>
      <c r="X210" s="53"/>
      <c r="Y210" s="35" t="s">
        <v>243</v>
      </c>
      <c r="AA210" s="35" t="s">
        <v>163</v>
      </c>
      <c r="AB210" s="35"/>
      <c r="AC210" s="53">
        <v>2285102</v>
      </c>
      <c r="AD210" s="53"/>
      <c r="AE210" s="53">
        <f>2391716-468751</f>
        <v>1922965</v>
      </c>
      <c r="AF210" s="53"/>
      <c r="AG210" s="53">
        <v>468751</v>
      </c>
      <c r="AH210" s="53"/>
      <c r="AI210" s="45">
        <f t="shared" si="51"/>
        <v>-106614</v>
      </c>
      <c r="AJ210" s="45"/>
      <c r="AK210" s="53">
        <v>14230</v>
      </c>
      <c r="AL210" s="45"/>
      <c r="AM210" s="53">
        <v>0</v>
      </c>
      <c r="AN210" s="53"/>
      <c r="AO210" s="53">
        <v>224584</v>
      </c>
      <c r="AP210" s="53"/>
      <c r="AQ210" s="53">
        <v>0</v>
      </c>
      <c r="AR210" s="53"/>
      <c r="AS210" s="45">
        <f t="shared" si="55"/>
        <v>-316968</v>
      </c>
      <c r="AT210" s="45"/>
      <c r="AU210" s="53">
        <v>0</v>
      </c>
      <c r="AV210" s="53"/>
      <c r="AW210" s="53">
        <v>0</v>
      </c>
      <c r="AX210" s="53"/>
      <c r="AY210" s="53">
        <f t="shared" ref="AY210:AY251" si="56">+E210-K210</f>
        <v>1242049</v>
      </c>
      <c r="AZ210" s="53"/>
      <c r="BA210" s="35" t="s">
        <v>243</v>
      </c>
      <c r="BC210" s="35" t="s">
        <v>163</v>
      </c>
      <c r="BD210" s="53"/>
      <c r="BE210" s="53">
        <v>0</v>
      </c>
      <c r="BF210" s="53"/>
      <c r="BG210" s="53">
        <v>0</v>
      </c>
      <c r="BH210" s="53"/>
      <c r="BI210" s="53">
        <v>0</v>
      </c>
      <c r="BJ210" s="53"/>
      <c r="BK210" s="53">
        <v>110668</v>
      </c>
      <c r="BL210" s="53"/>
      <c r="BM210" s="53">
        <f t="shared" ref="BM210" si="57">SUM(BE210:BK210)</f>
        <v>110668</v>
      </c>
      <c r="BN210" s="54" t="s">
        <v>347</v>
      </c>
      <c r="BO210" s="55" t="s">
        <v>404</v>
      </c>
      <c r="BR210" s="51"/>
      <c r="BS210" s="53"/>
      <c r="BT210" s="53"/>
      <c r="BU210" s="53"/>
      <c r="BV210" s="53"/>
      <c r="BW210" s="53"/>
      <c r="BX210" s="45"/>
      <c r="BY210" s="45"/>
      <c r="BZ210" s="53"/>
      <c r="CA210" s="53"/>
      <c r="CB210" s="53"/>
      <c r="CC210" s="53"/>
      <c r="CD210" s="53"/>
      <c r="CE210" s="53"/>
      <c r="CF210" s="35"/>
      <c r="CH210" s="35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4"/>
    </row>
    <row r="211" spans="1:105" s="55" customFormat="1" ht="12.75" customHeight="1">
      <c r="A211" s="35" t="s">
        <v>244</v>
      </c>
      <c r="B211" s="65"/>
      <c r="C211" s="35" t="s">
        <v>13</v>
      </c>
      <c r="D211" s="44"/>
      <c r="E211" s="53">
        <f t="shared" si="54"/>
        <v>4339411</v>
      </c>
      <c r="F211" s="53"/>
      <c r="G211" s="53">
        <v>4950230</v>
      </c>
      <c r="H211" s="53"/>
      <c r="I211" s="53">
        <v>9289641</v>
      </c>
      <c r="J211" s="53"/>
      <c r="K211" s="53">
        <f t="shared" si="49"/>
        <v>192881</v>
      </c>
      <c r="L211" s="53"/>
      <c r="M211" s="53">
        <v>200053</v>
      </c>
      <c r="N211" s="53"/>
      <c r="O211" s="53">
        <v>392934</v>
      </c>
      <c r="P211" s="53"/>
      <c r="Q211" s="53">
        <v>4730892</v>
      </c>
      <c r="R211" s="53"/>
      <c r="S211" s="53">
        <v>0</v>
      </c>
      <c r="T211" s="53"/>
      <c r="U211" s="53">
        <v>4165815</v>
      </c>
      <c r="V211" s="53"/>
      <c r="W211" s="53">
        <f t="shared" si="50"/>
        <v>8896707</v>
      </c>
      <c r="X211" s="53"/>
      <c r="Y211" s="35" t="s">
        <v>244</v>
      </c>
      <c r="AA211" s="35" t="s">
        <v>13</v>
      </c>
      <c r="AB211" s="35"/>
      <c r="AC211" s="53">
        <v>1735503</v>
      </c>
      <c r="AD211" s="53"/>
      <c r="AE211" s="53">
        <f>1805994-223356</f>
        <v>1582638</v>
      </c>
      <c r="AF211" s="53"/>
      <c r="AG211" s="53">
        <v>223356</v>
      </c>
      <c r="AH211" s="53"/>
      <c r="AI211" s="45">
        <f t="shared" si="51"/>
        <v>-70491</v>
      </c>
      <c r="AJ211" s="45"/>
      <c r="AK211" s="53">
        <v>-9497</v>
      </c>
      <c r="AL211" s="45"/>
      <c r="AM211" s="53">
        <v>0</v>
      </c>
      <c r="AN211" s="53"/>
      <c r="AO211" s="53">
        <v>0</v>
      </c>
      <c r="AP211" s="53"/>
      <c r="AQ211" s="53">
        <v>0</v>
      </c>
      <c r="AR211" s="53"/>
      <c r="AS211" s="45">
        <f t="shared" si="55"/>
        <v>-79988</v>
      </c>
      <c r="AT211" s="45"/>
      <c r="AU211" s="53">
        <v>0</v>
      </c>
      <c r="AV211" s="53"/>
      <c r="AW211" s="53">
        <v>0</v>
      </c>
      <c r="AX211" s="53"/>
      <c r="AY211" s="53">
        <f t="shared" si="56"/>
        <v>4146530</v>
      </c>
      <c r="AZ211" s="53"/>
      <c r="BA211" s="35" t="s">
        <v>244</v>
      </c>
      <c r="BC211" s="35" t="s">
        <v>13</v>
      </c>
      <c r="BD211" s="53"/>
      <c r="BE211" s="53">
        <v>0</v>
      </c>
      <c r="BF211" s="53"/>
      <c r="BG211" s="53">
        <v>0</v>
      </c>
      <c r="BH211" s="53"/>
      <c r="BI211" s="53">
        <v>0</v>
      </c>
      <c r="BJ211" s="53"/>
      <c r="BK211" s="53">
        <f>200053+40000+3363</f>
        <v>243416</v>
      </c>
      <c r="BL211" s="53"/>
      <c r="BM211" s="53">
        <f t="shared" ref="BM211:BM251" si="58">SUM(BE211:BK211)</f>
        <v>243416</v>
      </c>
      <c r="BN211" s="54" t="s">
        <v>347</v>
      </c>
      <c r="BR211" s="65"/>
      <c r="BS211" s="53"/>
      <c r="BT211" s="53"/>
      <c r="BU211" s="53"/>
      <c r="BV211" s="53"/>
      <c r="BW211" s="53"/>
      <c r="BX211" s="45"/>
      <c r="BY211" s="45"/>
      <c r="BZ211" s="53"/>
      <c r="CA211" s="53"/>
      <c r="CB211" s="53"/>
      <c r="CC211" s="53"/>
      <c r="CD211" s="53"/>
      <c r="CE211" s="53"/>
      <c r="CF211" s="35"/>
      <c r="CH211" s="35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4"/>
    </row>
    <row r="212" spans="1:105" s="55" customFormat="1" ht="12.75" customHeight="1">
      <c r="A212" s="35" t="s">
        <v>245</v>
      </c>
      <c r="B212" s="51"/>
      <c r="C212" s="35" t="s">
        <v>110</v>
      </c>
      <c r="D212" s="44"/>
      <c r="E212" s="53">
        <f t="shared" si="54"/>
        <v>3844362</v>
      </c>
      <c r="F212" s="53"/>
      <c r="G212" s="53">
        <v>22365610</v>
      </c>
      <c r="H212" s="53"/>
      <c r="I212" s="53">
        <v>26209972</v>
      </c>
      <c r="J212" s="53"/>
      <c r="K212" s="53">
        <f t="shared" si="49"/>
        <v>951848</v>
      </c>
      <c r="L212" s="53"/>
      <c r="M212" s="53">
        <v>10035220</v>
      </c>
      <c r="N212" s="53"/>
      <c r="O212" s="53">
        <v>10987068</v>
      </c>
      <c r="P212" s="53"/>
      <c r="Q212" s="53">
        <v>11496441</v>
      </c>
      <c r="R212" s="53"/>
      <c r="S212" s="53">
        <v>0</v>
      </c>
      <c r="T212" s="53"/>
      <c r="U212" s="53">
        <v>3826463</v>
      </c>
      <c r="V212" s="53"/>
      <c r="W212" s="53">
        <f t="shared" si="50"/>
        <v>15322904</v>
      </c>
      <c r="X212" s="53"/>
      <c r="Y212" s="35" t="s">
        <v>245</v>
      </c>
      <c r="AA212" s="35" t="s">
        <v>110</v>
      </c>
      <c r="AB212" s="35"/>
      <c r="AC212" s="53">
        <v>4008228</v>
      </c>
      <c r="AD212" s="53"/>
      <c r="AE212" s="53">
        <f>2630737-616064</f>
        <v>2014673</v>
      </c>
      <c r="AF212" s="53"/>
      <c r="AG212" s="53">
        <v>616064</v>
      </c>
      <c r="AH212" s="53"/>
      <c r="AI212" s="45">
        <f t="shared" si="51"/>
        <v>1377491</v>
      </c>
      <c r="AJ212" s="45"/>
      <c r="AK212" s="53">
        <v>-153639</v>
      </c>
      <c r="AL212" s="45"/>
      <c r="AM212" s="53">
        <v>0</v>
      </c>
      <c r="AN212" s="53"/>
      <c r="AO212" s="53">
        <v>0</v>
      </c>
      <c r="AP212" s="53"/>
      <c r="AQ212" s="53">
        <v>248276</v>
      </c>
      <c r="AR212" s="53"/>
      <c r="AS212" s="45">
        <f t="shared" si="55"/>
        <v>1472128</v>
      </c>
      <c r="AT212" s="45"/>
      <c r="AU212" s="53">
        <v>0</v>
      </c>
      <c r="AV212" s="53"/>
      <c r="AW212" s="53">
        <v>0</v>
      </c>
      <c r="AX212" s="53"/>
      <c r="AY212" s="53">
        <f t="shared" si="56"/>
        <v>2892514</v>
      </c>
      <c r="AZ212" s="53"/>
      <c r="BA212" s="35" t="s">
        <v>245</v>
      </c>
      <c r="BC212" s="35" t="s">
        <v>110</v>
      </c>
      <c r="BD212" s="53"/>
      <c r="BE212" s="53">
        <f>9740000+120569+750000</f>
        <v>10610569</v>
      </c>
      <c r="BF212" s="53"/>
      <c r="BG212" s="53">
        <v>0</v>
      </c>
      <c r="BH212" s="53"/>
      <c r="BI212" s="53">
        <v>0</v>
      </c>
      <c r="BJ212" s="53"/>
      <c r="BK212" s="53">
        <f>174651+93089</f>
        <v>267740</v>
      </c>
      <c r="BL212" s="53"/>
      <c r="BM212" s="53">
        <f t="shared" si="58"/>
        <v>10878309</v>
      </c>
      <c r="BN212" s="54" t="s">
        <v>347</v>
      </c>
      <c r="BR212" s="51"/>
      <c r="BS212" s="53"/>
      <c r="BT212" s="53"/>
      <c r="BU212" s="53"/>
      <c r="BV212" s="53"/>
      <c r="BW212" s="53"/>
      <c r="BX212" s="45"/>
      <c r="BY212" s="45"/>
      <c r="BZ212" s="53"/>
      <c r="CA212" s="53"/>
      <c r="CB212" s="53"/>
      <c r="CC212" s="53"/>
      <c r="CD212" s="53"/>
      <c r="CE212" s="53"/>
      <c r="CF212" s="44"/>
      <c r="CH212" s="35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4"/>
    </row>
    <row r="213" spans="1:105" s="55" customFormat="1" ht="12.75" customHeight="1">
      <c r="A213" s="35" t="s">
        <v>246</v>
      </c>
      <c r="B213" s="51"/>
      <c r="C213" s="35" t="s">
        <v>209</v>
      </c>
      <c r="D213" s="44"/>
      <c r="E213" s="53">
        <f t="shared" si="54"/>
        <v>1350729</v>
      </c>
      <c r="F213" s="53"/>
      <c r="G213" s="53">
        <v>11819913</v>
      </c>
      <c r="H213" s="53"/>
      <c r="I213" s="53">
        <v>13170642</v>
      </c>
      <c r="J213" s="53"/>
      <c r="K213" s="53">
        <f t="shared" si="49"/>
        <v>129558</v>
      </c>
      <c r="L213" s="53"/>
      <c r="M213" s="53">
        <v>589550</v>
      </c>
      <c r="N213" s="53"/>
      <c r="O213" s="53">
        <v>719108</v>
      </c>
      <c r="P213" s="53"/>
      <c r="Q213" s="53">
        <v>4815136</v>
      </c>
      <c r="R213" s="53"/>
      <c r="S213" s="53">
        <v>0</v>
      </c>
      <c r="T213" s="53"/>
      <c r="U213" s="53">
        <v>7636398</v>
      </c>
      <c r="V213" s="53"/>
      <c r="W213" s="53">
        <f t="shared" si="50"/>
        <v>12451534</v>
      </c>
      <c r="X213" s="53"/>
      <c r="Y213" s="35" t="s">
        <v>246</v>
      </c>
      <c r="AA213" s="35" t="s">
        <v>209</v>
      </c>
      <c r="AB213" s="35"/>
      <c r="AC213" s="53">
        <v>1293883</v>
      </c>
      <c r="AD213" s="53"/>
      <c r="AE213" s="53">
        <f>1281883-261774</f>
        <v>1020109</v>
      </c>
      <c r="AF213" s="53"/>
      <c r="AG213" s="53">
        <v>261774</v>
      </c>
      <c r="AH213" s="53"/>
      <c r="AI213" s="45">
        <f t="shared" si="51"/>
        <v>12000</v>
      </c>
      <c r="AJ213" s="45"/>
      <c r="AK213" s="53">
        <v>812777</v>
      </c>
      <c r="AL213" s="45"/>
      <c r="AM213" s="53">
        <v>0</v>
      </c>
      <c r="AN213" s="53"/>
      <c r="AO213" s="53">
        <v>6847</v>
      </c>
      <c r="AP213" s="53"/>
      <c r="AQ213" s="53">
        <v>35592</v>
      </c>
      <c r="AR213" s="53"/>
      <c r="AS213" s="45">
        <f t="shared" si="55"/>
        <v>853522</v>
      </c>
      <c r="AT213" s="45"/>
      <c r="AU213" s="53">
        <v>0</v>
      </c>
      <c r="AV213" s="53"/>
      <c r="AW213" s="53">
        <v>0</v>
      </c>
      <c r="AX213" s="53"/>
      <c r="AY213" s="53">
        <f t="shared" si="56"/>
        <v>1221171</v>
      </c>
      <c r="AZ213" s="53"/>
      <c r="BA213" s="35" t="s">
        <v>246</v>
      </c>
      <c r="BC213" s="35" t="s">
        <v>209</v>
      </c>
      <c r="BD213" s="53"/>
      <c r="BE213" s="53">
        <f>175000+50000</f>
        <v>225000</v>
      </c>
      <c r="BF213" s="53"/>
      <c r="BG213" s="53">
        <v>0</v>
      </c>
      <c r="BH213" s="53"/>
      <c r="BI213" s="53">
        <v>397680</v>
      </c>
      <c r="BJ213" s="53"/>
      <c r="BK213" s="53">
        <f>6580+16870</f>
        <v>23450</v>
      </c>
      <c r="BL213" s="53"/>
      <c r="BM213" s="53">
        <f t="shared" si="58"/>
        <v>646130</v>
      </c>
      <c r="BN213" s="54" t="s">
        <v>347</v>
      </c>
      <c r="BR213" s="51"/>
      <c r="BS213" s="53"/>
      <c r="BT213" s="53"/>
      <c r="BU213" s="53"/>
      <c r="BV213" s="53"/>
      <c r="BW213" s="53"/>
      <c r="BX213" s="45"/>
      <c r="BY213" s="45"/>
      <c r="BZ213" s="53"/>
      <c r="CA213" s="53"/>
      <c r="CB213" s="53"/>
      <c r="CC213" s="53"/>
      <c r="CD213" s="53"/>
      <c r="CE213" s="53"/>
      <c r="CF213" s="35"/>
      <c r="CH213" s="35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4"/>
    </row>
    <row r="214" spans="1:105" s="55" customFormat="1" ht="12.75" customHeight="1">
      <c r="A214" s="35" t="s">
        <v>247</v>
      </c>
      <c r="C214" s="35" t="s">
        <v>163</v>
      </c>
      <c r="D214" s="44"/>
      <c r="E214" s="53">
        <f t="shared" si="54"/>
        <v>39680000</v>
      </c>
      <c r="F214" s="53"/>
      <c r="G214" s="53">
        <v>458502000</v>
      </c>
      <c r="H214" s="53"/>
      <c r="I214" s="53">
        <v>498182000</v>
      </c>
      <c r="J214" s="53"/>
      <c r="K214" s="53">
        <f t="shared" si="49"/>
        <v>31775000</v>
      </c>
      <c r="L214" s="53"/>
      <c r="M214" s="53">
        <v>229185000</v>
      </c>
      <c r="N214" s="53"/>
      <c r="O214" s="53">
        <v>260960000</v>
      </c>
      <c r="P214" s="53"/>
      <c r="Q214" s="53">
        <v>217949000</v>
      </c>
      <c r="R214" s="53"/>
      <c r="S214" s="53">
        <f>4745000+3047000</f>
        <v>7792000</v>
      </c>
      <c r="T214" s="53"/>
      <c r="U214" s="53">
        <v>11481000</v>
      </c>
      <c r="V214" s="53"/>
      <c r="W214" s="53">
        <f t="shared" si="50"/>
        <v>237222000</v>
      </c>
      <c r="X214" s="53"/>
      <c r="Y214" s="35" t="s">
        <v>247</v>
      </c>
      <c r="AA214" s="35" t="s">
        <v>163</v>
      </c>
      <c r="AB214" s="35"/>
      <c r="AC214" s="53">
        <v>57354000</v>
      </c>
      <c r="AD214" s="53"/>
      <c r="AE214" s="53">
        <f>49084000-15348000</f>
        <v>33736000</v>
      </c>
      <c r="AF214" s="53"/>
      <c r="AG214" s="53">
        <v>15348000</v>
      </c>
      <c r="AH214" s="53"/>
      <c r="AI214" s="45">
        <f t="shared" si="51"/>
        <v>8270000</v>
      </c>
      <c r="AJ214" s="45"/>
      <c r="AK214" s="53">
        <v>-3427000</v>
      </c>
      <c r="AL214" s="45"/>
      <c r="AM214" s="53">
        <v>259696000</v>
      </c>
      <c r="AN214" s="53"/>
      <c r="AO214" s="53">
        <v>259712000</v>
      </c>
      <c r="AP214" s="53"/>
      <c r="AQ214" s="53">
        <v>0</v>
      </c>
      <c r="AR214" s="53"/>
      <c r="AS214" s="45">
        <f t="shared" si="55"/>
        <v>4827000</v>
      </c>
      <c r="AT214" s="45"/>
      <c r="AU214" s="53">
        <v>0</v>
      </c>
      <c r="AV214" s="53"/>
      <c r="AW214" s="53">
        <v>0</v>
      </c>
      <c r="AX214" s="53"/>
      <c r="AY214" s="53">
        <f t="shared" si="56"/>
        <v>7905000</v>
      </c>
      <c r="AZ214" s="53"/>
      <c r="BA214" s="35" t="s">
        <v>247</v>
      </c>
      <c r="BC214" s="35" t="s">
        <v>163</v>
      </c>
      <c r="BD214" s="53"/>
      <c r="BE214" s="53">
        <f>229185000+13528000</f>
        <v>242713000</v>
      </c>
      <c r="BF214" s="53"/>
      <c r="BG214" s="53">
        <v>0</v>
      </c>
      <c r="BH214" s="53"/>
      <c r="BI214" s="53">
        <v>0</v>
      </c>
      <c r="BJ214" s="53"/>
      <c r="BK214" s="53">
        <v>0</v>
      </c>
      <c r="BL214" s="53"/>
      <c r="BM214" s="53">
        <f t="shared" si="58"/>
        <v>242713000</v>
      </c>
      <c r="BN214" s="54" t="s">
        <v>347</v>
      </c>
      <c r="BR214" s="51"/>
      <c r="BS214" s="53"/>
      <c r="BT214" s="53"/>
      <c r="BU214" s="53"/>
      <c r="BV214" s="53"/>
      <c r="BW214" s="53"/>
      <c r="BX214" s="45"/>
      <c r="BY214" s="45"/>
      <c r="BZ214" s="53"/>
      <c r="CA214" s="53"/>
      <c r="CB214" s="53"/>
      <c r="CC214" s="53"/>
      <c r="CD214" s="53"/>
      <c r="CE214" s="53"/>
      <c r="CF214" s="35"/>
      <c r="CH214" s="35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4"/>
    </row>
    <row r="215" spans="1:105" s="55" customFormat="1" ht="12.75" customHeight="1">
      <c r="A215" s="35" t="s">
        <v>248</v>
      </c>
      <c r="C215" s="35" t="s">
        <v>249</v>
      </c>
      <c r="D215" s="44"/>
      <c r="E215" s="53">
        <f t="shared" si="54"/>
        <v>399448</v>
      </c>
      <c r="F215" s="53"/>
      <c r="G215" s="53">
        <v>1935584</v>
      </c>
      <c r="H215" s="53"/>
      <c r="I215" s="53">
        <v>2335032</v>
      </c>
      <c r="J215" s="53"/>
      <c r="K215" s="53">
        <f t="shared" si="49"/>
        <v>24041</v>
      </c>
      <c r="L215" s="53"/>
      <c r="M215" s="53">
        <v>171637</v>
      </c>
      <c r="N215" s="53"/>
      <c r="O215" s="53">
        <v>195678</v>
      </c>
      <c r="P215" s="53"/>
      <c r="Q215" s="53">
        <v>1745828</v>
      </c>
      <c r="R215" s="53"/>
      <c r="S215" s="53">
        <v>0</v>
      </c>
      <c r="T215" s="53"/>
      <c r="U215" s="53">
        <v>393526</v>
      </c>
      <c r="V215" s="53"/>
      <c r="W215" s="53">
        <f t="shared" si="50"/>
        <v>2139354</v>
      </c>
      <c r="X215" s="53"/>
      <c r="Y215" s="35" t="s">
        <v>248</v>
      </c>
      <c r="AA215" s="35" t="s">
        <v>249</v>
      </c>
      <c r="AB215" s="35"/>
      <c r="AC215" s="53">
        <v>538071</v>
      </c>
      <c r="AD215" s="53"/>
      <c r="AE215" s="53">
        <f>628875-46707</f>
        <v>582168</v>
      </c>
      <c r="AF215" s="53"/>
      <c r="AG215" s="53">
        <v>46707</v>
      </c>
      <c r="AH215" s="53"/>
      <c r="AI215" s="45">
        <f t="shared" si="51"/>
        <v>-90804</v>
      </c>
      <c r="AJ215" s="45"/>
      <c r="AK215" s="53">
        <f>485992+182890-1324</f>
        <v>667558</v>
      </c>
      <c r="AL215" s="45"/>
      <c r="AM215" s="53">
        <v>0</v>
      </c>
      <c r="AN215" s="53"/>
      <c r="AO215" s="53">
        <v>0</v>
      </c>
      <c r="AP215" s="53"/>
      <c r="AQ215" s="53">
        <v>0</v>
      </c>
      <c r="AR215" s="53"/>
      <c r="AS215" s="45">
        <f t="shared" si="55"/>
        <v>576754</v>
      </c>
      <c r="AT215" s="45"/>
      <c r="AU215" s="53">
        <v>0</v>
      </c>
      <c r="AV215" s="53"/>
      <c r="AW215" s="53">
        <v>0</v>
      </c>
      <c r="AX215" s="53"/>
      <c r="AY215" s="53">
        <f t="shared" si="56"/>
        <v>375407</v>
      </c>
      <c r="AZ215" s="53"/>
      <c r="BA215" s="35" t="s">
        <v>248</v>
      </c>
      <c r="BC215" s="35" t="s">
        <v>249</v>
      </c>
      <c r="BD215" s="53"/>
      <c r="BE215" s="53">
        <v>0</v>
      </c>
      <c r="BF215" s="53"/>
      <c r="BG215" s="53">
        <v>0</v>
      </c>
      <c r="BH215" s="53"/>
      <c r="BI215" s="53">
        <f>170619+19138</f>
        <v>189757</v>
      </c>
      <c r="BJ215" s="53"/>
      <c r="BK215" s="53">
        <f>1018+466</f>
        <v>1484</v>
      </c>
      <c r="BL215" s="53"/>
      <c r="BM215" s="53">
        <f t="shared" si="58"/>
        <v>191241</v>
      </c>
      <c r="BN215" s="54" t="s">
        <v>347</v>
      </c>
      <c r="BR215" s="51"/>
      <c r="BS215" s="53"/>
      <c r="BT215" s="53"/>
      <c r="BU215" s="53"/>
      <c r="BV215" s="53"/>
      <c r="BW215" s="53"/>
      <c r="BX215" s="45"/>
      <c r="BY215" s="45"/>
      <c r="BZ215" s="53"/>
      <c r="CA215" s="53"/>
      <c r="CB215" s="53"/>
      <c r="CC215" s="53"/>
      <c r="CD215" s="53"/>
      <c r="CE215" s="53"/>
      <c r="CF215" s="35"/>
      <c r="CH215" s="35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4"/>
    </row>
    <row r="216" spans="1:105" s="55" customFormat="1" ht="12.75" customHeight="1">
      <c r="A216" s="35" t="s">
        <v>250</v>
      </c>
      <c r="B216" s="51"/>
      <c r="C216" s="35" t="s">
        <v>103</v>
      </c>
      <c r="D216" s="44"/>
      <c r="E216" s="53">
        <f t="shared" si="54"/>
        <v>1311768</v>
      </c>
      <c r="F216" s="53"/>
      <c r="G216" s="53">
        <v>912688</v>
      </c>
      <c r="H216" s="53"/>
      <c r="I216" s="53">
        <v>2224456</v>
      </c>
      <c r="J216" s="53"/>
      <c r="K216" s="53">
        <f t="shared" si="49"/>
        <v>127011</v>
      </c>
      <c r="L216" s="53"/>
      <c r="M216" s="53">
        <v>788282</v>
      </c>
      <c r="N216" s="53"/>
      <c r="O216" s="53">
        <v>915293</v>
      </c>
      <c r="P216" s="53"/>
      <c r="Q216" s="53">
        <v>746314</v>
      </c>
      <c r="R216" s="53"/>
      <c r="S216" s="53">
        <v>0</v>
      </c>
      <c r="T216" s="53"/>
      <c r="U216" s="53">
        <v>562849</v>
      </c>
      <c r="V216" s="53"/>
      <c r="W216" s="53">
        <f t="shared" ref="W216:W251" si="59">SUM(Q216:U216)</f>
        <v>1309163</v>
      </c>
      <c r="X216" s="53"/>
      <c r="Y216" s="35" t="s">
        <v>250</v>
      </c>
      <c r="AA216" s="35" t="s">
        <v>103</v>
      </c>
      <c r="AB216" s="35"/>
      <c r="AC216" s="53">
        <v>1413786</v>
      </c>
      <c r="AD216" s="53"/>
      <c r="AE216" s="53">
        <f>1227571-44579</f>
        <v>1182992</v>
      </c>
      <c r="AF216" s="53"/>
      <c r="AG216" s="53">
        <v>44579</v>
      </c>
      <c r="AH216" s="53"/>
      <c r="AI216" s="45">
        <f t="shared" si="51"/>
        <v>186215</v>
      </c>
      <c r="AJ216" s="45"/>
      <c r="AK216" s="53">
        <v>148791</v>
      </c>
      <c r="AL216" s="45"/>
      <c r="AM216" s="53">
        <v>0</v>
      </c>
      <c r="AN216" s="53"/>
      <c r="AO216" s="53">
        <v>0</v>
      </c>
      <c r="AP216" s="53"/>
      <c r="AQ216" s="53">
        <v>0</v>
      </c>
      <c r="AR216" s="53"/>
      <c r="AS216" s="45">
        <f t="shared" si="55"/>
        <v>335006</v>
      </c>
      <c r="AT216" s="45"/>
      <c r="AU216" s="53">
        <v>0</v>
      </c>
      <c r="AV216" s="53"/>
      <c r="AW216" s="53">
        <v>0</v>
      </c>
      <c r="AX216" s="53"/>
      <c r="AY216" s="53">
        <f t="shared" si="56"/>
        <v>1184757</v>
      </c>
      <c r="AZ216" s="53"/>
      <c r="BA216" s="35" t="s">
        <v>250</v>
      </c>
      <c r="BC216" s="35" t="s">
        <v>103</v>
      </c>
      <c r="BD216" s="53"/>
      <c r="BE216" s="53">
        <v>0</v>
      </c>
      <c r="BF216" s="53"/>
      <c r="BG216" s="53">
        <v>0</v>
      </c>
      <c r="BH216" s="53"/>
      <c r="BI216" s="53">
        <f>767700+42650</f>
        <v>810350</v>
      </c>
      <c r="BJ216" s="53"/>
      <c r="BK216" s="53">
        <f>20582+9555</f>
        <v>30137</v>
      </c>
      <c r="BL216" s="53"/>
      <c r="BM216" s="53">
        <f t="shared" si="58"/>
        <v>840487</v>
      </c>
      <c r="BN216" s="54" t="s">
        <v>347</v>
      </c>
      <c r="BR216" s="51"/>
      <c r="BS216" s="53"/>
      <c r="BT216" s="53"/>
      <c r="BU216" s="53"/>
      <c r="BV216" s="53"/>
      <c r="BW216" s="53"/>
      <c r="BX216" s="45"/>
      <c r="BY216" s="45"/>
      <c r="BZ216" s="53"/>
      <c r="CA216" s="53"/>
      <c r="CB216" s="53"/>
      <c r="CC216" s="53"/>
      <c r="CD216" s="53"/>
      <c r="CE216" s="53"/>
      <c r="CF216" s="35"/>
      <c r="CH216" s="35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4"/>
    </row>
    <row r="217" spans="1:105" s="140" customFormat="1" ht="12.75" hidden="1" customHeight="1">
      <c r="A217" s="126" t="s">
        <v>251</v>
      </c>
      <c r="B217" s="124"/>
      <c r="C217" s="126" t="s">
        <v>66</v>
      </c>
      <c r="D217" s="121"/>
      <c r="E217" s="137">
        <f t="shared" si="54"/>
        <v>0</v>
      </c>
      <c r="F217" s="137"/>
      <c r="G217" s="137">
        <v>0</v>
      </c>
      <c r="H217" s="137"/>
      <c r="I217" s="137">
        <v>0</v>
      </c>
      <c r="J217" s="137"/>
      <c r="K217" s="137">
        <f t="shared" si="49"/>
        <v>0</v>
      </c>
      <c r="L217" s="137"/>
      <c r="M217" s="137">
        <v>0</v>
      </c>
      <c r="N217" s="137"/>
      <c r="O217" s="137">
        <v>0</v>
      </c>
      <c r="P217" s="137"/>
      <c r="Q217" s="137">
        <v>0</v>
      </c>
      <c r="R217" s="137"/>
      <c r="S217" s="137">
        <v>0</v>
      </c>
      <c r="T217" s="137"/>
      <c r="U217" s="137">
        <v>0</v>
      </c>
      <c r="V217" s="137"/>
      <c r="W217" s="137">
        <f t="shared" si="59"/>
        <v>0</v>
      </c>
      <c r="X217" s="137"/>
      <c r="Y217" s="126" t="s">
        <v>251</v>
      </c>
      <c r="AA217" s="126" t="s">
        <v>66</v>
      </c>
      <c r="AB217" s="126"/>
      <c r="AC217" s="137">
        <v>0</v>
      </c>
      <c r="AD217" s="137"/>
      <c r="AE217" s="137">
        <v>0</v>
      </c>
      <c r="AF217" s="137"/>
      <c r="AG217" s="137">
        <v>0</v>
      </c>
      <c r="AH217" s="137"/>
      <c r="AI217" s="127">
        <f t="shared" si="51"/>
        <v>0</v>
      </c>
      <c r="AJ217" s="127"/>
      <c r="AK217" s="137">
        <v>0</v>
      </c>
      <c r="AL217" s="127"/>
      <c r="AM217" s="137">
        <v>0</v>
      </c>
      <c r="AN217" s="137"/>
      <c r="AO217" s="137">
        <v>0</v>
      </c>
      <c r="AP217" s="137"/>
      <c r="AQ217" s="137">
        <v>0</v>
      </c>
      <c r="AR217" s="137"/>
      <c r="AS217" s="127">
        <f t="shared" si="55"/>
        <v>0</v>
      </c>
      <c r="AT217" s="127"/>
      <c r="AU217" s="137">
        <v>0</v>
      </c>
      <c r="AV217" s="137"/>
      <c r="AW217" s="137">
        <v>0</v>
      </c>
      <c r="AX217" s="137"/>
      <c r="AY217" s="137">
        <f t="shared" si="56"/>
        <v>0</v>
      </c>
      <c r="AZ217" s="137"/>
      <c r="BA217" s="126" t="s">
        <v>251</v>
      </c>
      <c r="BC217" s="126" t="s">
        <v>66</v>
      </c>
      <c r="BD217" s="137"/>
      <c r="BE217" s="137">
        <v>0</v>
      </c>
      <c r="BF217" s="137"/>
      <c r="BG217" s="137">
        <v>0</v>
      </c>
      <c r="BH217" s="137"/>
      <c r="BI217" s="137">
        <v>0</v>
      </c>
      <c r="BJ217" s="137"/>
      <c r="BK217" s="137">
        <v>0</v>
      </c>
      <c r="BL217" s="137"/>
      <c r="BM217" s="137">
        <f t="shared" si="58"/>
        <v>0</v>
      </c>
      <c r="BN217" s="139" t="s">
        <v>347</v>
      </c>
      <c r="BR217" s="124"/>
      <c r="BS217" s="137"/>
      <c r="BT217" s="137"/>
      <c r="BU217" s="137"/>
      <c r="BV217" s="137"/>
      <c r="BW217" s="137"/>
      <c r="BX217" s="127"/>
      <c r="BY217" s="127"/>
      <c r="BZ217" s="137"/>
      <c r="CA217" s="137"/>
      <c r="CB217" s="137"/>
      <c r="CC217" s="137"/>
      <c r="CD217" s="137"/>
      <c r="CE217" s="137"/>
      <c r="CF217" s="126"/>
      <c r="CH217" s="126"/>
      <c r="CI217" s="137"/>
      <c r="CJ217" s="137"/>
      <c r="CK217" s="137"/>
      <c r="CL217" s="137"/>
      <c r="CM217" s="137"/>
      <c r="CN217" s="137"/>
      <c r="CO217" s="137"/>
      <c r="CP217" s="137"/>
      <c r="CQ217" s="137"/>
      <c r="CR217" s="137"/>
      <c r="CS217" s="139"/>
    </row>
    <row r="218" spans="1:105" s="55" customFormat="1" ht="12.75" customHeight="1">
      <c r="A218" s="35" t="s">
        <v>252</v>
      </c>
      <c r="B218" s="51"/>
      <c r="C218" s="35" t="s">
        <v>209</v>
      </c>
      <c r="D218" s="44"/>
      <c r="E218" s="53">
        <f t="shared" si="54"/>
        <v>6967224</v>
      </c>
      <c r="F218" s="53"/>
      <c r="G218" s="53">
        <v>20598520</v>
      </c>
      <c r="H218" s="53"/>
      <c r="I218" s="53">
        <v>27565744</v>
      </c>
      <c r="J218" s="53"/>
      <c r="K218" s="53">
        <f t="shared" si="49"/>
        <v>786197</v>
      </c>
      <c r="L218" s="53"/>
      <c r="M218" s="53">
        <v>5916928</v>
      </c>
      <c r="N218" s="53"/>
      <c r="O218" s="53">
        <v>6703125</v>
      </c>
      <c r="P218" s="53"/>
      <c r="Q218" s="53">
        <v>14624307</v>
      </c>
      <c r="R218" s="53"/>
      <c r="S218" s="53">
        <v>0</v>
      </c>
      <c r="T218" s="53"/>
      <c r="U218" s="53">
        <v>6238312</v>
      </c>
      <c r="V218" s="53"/>
      <c r="W218" s="53">
        <f t="shared" si="59"/>
        <v>20862619</v>
      </c>
      <c r="X218" s="53"/>
      <c r="Y218" s="35" t="s">
        <v>252</v>
      </c>
      <c r="AA218" s="35" t="s">
        <v>209</v>
      </c>
      <c r="AB218" s="35"/>
      <c r="AC218" s="53">
        <v>3401996</v>
      </c>
      <c r="AD218" s="53"/>
      <c r="AE218" s="53">
        <f>3821662-955158</f>
        <v>2866504</v>
      </c>
      <c r="AF218" s="53"/>
      <c r="AG218" s="53">
        <v>955158</v>
      </c>
      <c r="AH218" s="53"/>
      <c r="AI218" s="45">
        <f t="shared" si="51"/>
        <v>-419666</v>
      </c>
      <c r="AJ218" s="45"/>
      <c r="AK218" s="53">
        <v>-192202</v>
      </c>
      <c r="AL218" s="45"/>
      <c r="AM218" s="53">
        <v>0</v>
      </c>
      <c r="AN218" s="53"/>
      <c r="AO218" s="53">
        <v>0</v>
      </c>
      <c r="AP218" s="53"/>
      <c r="AQ218" s="53">
        <v>79724</v>
      </c>
      <c r="AR218" s="53"/>
      <c r="AS218" s="45">
        <f t="shared" si="55"/>
        <v>-532144</v>
      </c>
      <c r="AT218" s="45"/>
      <c r="AU218" s="53">
        <v>0</v>
      </c>
      <c r="AV218" s="53"/>
      <c r="AW218" s="53">
        <v>0</v>
      </c>
      <c r="AX218" s="53"/>
      <c r="AY218" s="53">
        <f t="shared" si="56"/>
        <v>6181027</v>
      </c>
      <c r="AZ218" s="53"/>
      <c r="BA218" s="35" t="s">
        <v>252</v>
      </c>
      <c r="BC218" s="35" t="s">
        <v>209</v>
      </c>
      <c r="BD218" s="53"/>
      <c r="BE218" s="53">
        <f>5688429+607558</f>
        <v>6295987</v>
      </c>
      <c r="BF218" s="53"/>
      <c r="BG218" s="53">
        <v>0</v>
      </c>
      <c r="BH218" s="53"/>
      <c r="BI218" s="53">
        <v>0</v>
      </c>
      <c r="BJ218" s="53"/>
      <c r="BK218" s="53">
        <f>228499+76217</f>
        <v>304716</v>
      </c>
      <c r="BL218" s="53"/>
      <c r="BM218" s="53">
        <f t="shared" si="58"/>
        <v>6600703</v>
      </c>
      <c r="BN218" s="54" t="s">
        <v>347</v>
      </c>
      <c r="BO218" s="55" t="s">
        <v>405</v>
      </c>
      <c r="BR218" s="51"/>
      <c r="BS218" s="53"/>
      <c r="BT218" s="53"/>
      <c r="BU218" s="53"/>
      <c r="BV218" s="53"/>
      <c r="BW218" s="53"/>
      <c r="BX218" s="45"/>
      <c r="BY218" s="45"/>
      <c r="BZ218" s="53"/>
      <c r="CA218" s="53"/>
      <c r="CB218" s="53"/>
      <c r="CC218" s="53"/>
      <c r="CD218" s="53"/>
      <c r="CE218" s="53"/>
      <c r="CF218" s="35"/>
      <c r="CH218" s="35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4"/>
    </row>
    <row r="219" spans="1:105" s="55" customFormat="1" ht="12.75" customHeight="1">
      <c r="A219" s="35" t="s">
        <v>253</v>
      </c>
      <c r="B219" s="51"/>
      <c r="C219" s="35" t="s">
        <v>13</v>
      </c>
      <c r="D219" s="44"/>
      <c r="E219" s="53">
        <f t="shared" si="54"/>
        <v>3580642</v>
      </c>
      <c r="F219" s="53"/>
      <c r="G219" s="53">
        <v>32767950</v>
      </c>
      <c r="H219" s="53"/>
      <c r="I219" s="53">
        <v>36348592</v>
      </c>
      <c r="J219" s="53"/>
      <c r="K219" s="53">
        <f t="shared" si="49"/>
        <v>203643</v>
      </c>
      <c r="L219" s="53"/>
      <c r="M219" s="53">
        <v>266648</v>
      </c>
      <c r="N219" s="53"/>
      <c r="O219" s="53">
        <v>470291</v>
      </c>
      <c r="P219" s="53"/>
      <c r="Q219" s="53">
        <v>32757950</v>
      </c>
      <c r="R219" s="53"/>
      <c r="S219" s="53">
        <v>0</v>
      </c>
      <c r="T219" s="53"/>
      <c r="U219" s="53">
        <v>3120351</v>
      </c>
      <c r="V219" s="53"/>
      <c r="W219" s="53">
        <f t="shared" si="59"/>
        <v>35878301</v>
      </c>
      <c r="X219" s="53"/>
      <c r="Y219" s="35" t="s">
        <v>253</v>
      </c>
      <c r="AA219" s="35" t="s">
        <v>13</v>
      </c>
      <c r="AB219" s="35"/>
      <c r="AC219" s="53">
        <v>2440772</v>
      </c>
      <c r="AD219" s="53"/>
      <c r="AE219" s="53">
        <f>2496816-741316</f>
        <v>1755500</v>
      </c>
      <c r="AF219" s="53"/>
      <c r="AG219" s="53">
        <v>741316</v>
      </c>
      <c r="AH219" s="53"/>
      <c r="AI219" s="45">
        <f t="shared" si="51"/>
        <v>-56044</v>
      </c>
      <c r="AJ219" s="45"/>
      <c r="AK219" s="53">
        <v>-1436</v>
      </c>
      <c r="AL219" s="45"/>
      <c r="AM219" s="53">
        <v>0</v>
      </c>
      <c r="AN219" s="53"/>
      <c r="AO219" s="53">
        <v>0</v>
      </c>
      <c r="AP219" s="53"/>
      <c r="AQ219" s="53">
        <v>0</v>
      </c>
      <c r="AR219" s="53"/>
      <c r="AS219" s="45">
        <f t="shared" si="55"/>
        <v>-57480</v>
      </c>
      <c r="AT219" s="45"/>
      <c r="AU219" s="53">
        <v>0</v>
      </c>
      <c r="AV219" s="53"/>
      <c r="AW219" s="53">
        <v>0</v>
      </c>
      <c r="AX219" s="53"/>
      <c r="AY219" s="53">
        <f t="shared" si="56"/>
        <v>3376999</v>
      </c>
      <c r="AZ219" s="53"/>
      <c r="BA219" s="35" t="s">
        <v>253</v>
      </c>
      <c r="BC219" s="35" t="s">
        <v>13</v>
      </c>
      <c r="BD219" s="53"/>
      <c r="BE219" s="53">
        <v>0</v>
      </c>
      <c r="BF219" s="53"/>
      <c r="BG219" s="53">
        <v>0</v>
      </c>
      <c r="BH219" s="53"/>
      <c r="BI219" s="53">
        <v>0</v>
      </c>
      <c r="BJ219" s="53"/>
      <c r="BK219" s="53">
        <f>266648+86651</f>
        <v>353299</v>
      </c>
      <c r="BL219" s="53"/>
      <c r="BM219" s="53">
        <f>SUM(BE219:BK219)</f>
        <v>353299</v>
      </c>
      <c r="BN219" s="54" t="s">
        <v>347</v>
      </c>
      <c r="BO219" s="35"/>
      <c r="BP219" s="35"/>
      <c r="BQ219" s="35"/>
      <c r="BR219" s="51"/>
      <c r="BS219" s="53"/>
      <c r="BT219" s="53"/>
      <c r="BU219" s="53"/>
      <c r="BV219" s="53"/>
      <c r="BW219" s="45"/>
      <c r="BX219" s="45"/>
      <c r="BY219" s="53"/>
      <c r="BZ219" s="53"/>
      <c r="CA219" s="53"/>
      <c r="CB219" s="53"/>
      <c r="CC219" s="53"/>
      <c r="CD219" s="53"/>
      <c r="CE219" s="53"/>
      <c r="CF219" s="35"/>
      <c r="CH219" s="35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4"/>
      <c r="CT219" s="35"/>
      <c r="CU219" s="35"/>
      <c r="CV219" s="35"/>
      <c r="CW219" s="35"/>
      <c r="CX219" s="35"/>
      <c r="CY219" s="35"/>
      <c r="CZ219" s="35"/>
      <c r="DA219" s="35"/>
    </row>
    <row r="220" spans="1:105" s="140" customFormat="1" ht="12.75" hidden="1" customHeight="1">
      <c r="A220" s="126" t="s">
        <v>254</v>
      </c>
      <c r="B220" s="124"/>
      <c r="C220" s="126" t="s">
        <v>89</v>
      </c>
      <c r="D220" s="121"/>
      <c r="E220" s="53">
        <f t="shared" si="54"/>
        <v>0</v>
      </c>
      <c r="F220" s="53"/>
      <c r="G220" s="53">
        <v>0</v>
      </c>
      <c r="H220" s="53"/>
      <c r="I220" s="53">
        <v>0</v>
      </c>
      <c r="J220" s="53"/>
      <c r="K220" s="53">
        <f t="shared" si="49"/>
        <v>0</v>
      </c>
      <c r="L220" s="53"/>
      <c r="M220" s="53">
        <v>0</v>
      </c>
      <c r="N220" s="53"/>
      <c r="O220" s="53">
        <v>0</v>
      </c>
      <c r="P220" s="53"/>
      <c r="Q220" s="53">
        <v>0</v>
      </c>
      <c r="R220" s="53"/>
      <c r="S220" s="53">
        <v>0</v>
      </c>
      <c r="T220" s="53"/>
      <c r="U220" s="53">
        <v>0</v>
      </c>
      <c r="V220" s="53"/>
      <c r="W220" s="53">
        <f t="shared" si="59"/>
        <v>0</v>
      </c>
      <c r="X220" s="137"/>
      <c r="Y220" s="126" t="s">
        <v>254</v>
      </c>
      <c r="AA220" s="126" t="s">
        <v>89</v>
      </c>
      <c r="AB220" s="126"/>
      <c r="AC220" s="53">
        <v>0</v>
      </c>
      <c r="AD220" s="53"/>
      <c r="AE220" s="53">
        <v>0</v>
      </c>
      <c r="AF220" s="53"/>
      <c r="AG220" s="53">
        <v>0</v>
      </c>
      <c r="AH220" s="53"/>
      <c r="AI220" s="45">
        <f t="shared" si="51"/>
        <v>0</v>
      </c>
      <c r="AJ220" s="45"/>
      <c r="AK220" s="53">
        <v>0</v>
      </c>
      <c r="AL220" s="45"/>
      <c r="AM220" s="53">
        <v>0</v>
      </c>
      <c r="AN220" s="53"/>
      <c r="AO220" s="53">
        <v>0</v>
      </c>
      <c r="AP220" s="53"/>
      <c r="AQ220" s="53">
        <v>0</v>
      </c>
      <c r="AR220" s="53"/>
      <c r="AS220" s="45">
        <f t="shared" si="55"/>
        <v>0</v>
      </c>
      <c r="AT220" s="45"/>
      <c r="AU220" s="53">
        <v>0</v>
      </c>
      <c r="AV220" s="53"/>
      <c r="AW220" s="53">
        <v>0</v>
      </c>
      <c r="AX220" s="53"/>
      <c r="AY220" s="53">
        <f t="shared" si="56"/>
        <v>0</v>
      </c>
      <c r="AZ220" s="53"/>
      <c r="BA220" s="126" t="s">
        <v>254</v>
      </c>
      <c r="BC220" s="126" t="s">
        <v>89</v>
      </c>
      <c r="BD220" s="137"/>
      <c r="BE220" s="53">
        <v>0</v>
      </c>
      <c r="BF220" s="53"/>
      <c r="BG220" s="53">
        <v>0</v>
      </c>
      <c r="BH220" s="53"/>
      <c r="BI220" s="53">
        <v>0</v>
      </c>
      <c r="BJ220" s="53"/>
      <c r="BK220" s="53">
        <v>0</v>
      </c>
      <c r="BL220" s="137"/>
      <c r="BM220" s="137">
        <f t="shared" si="58"/>
        <v>0</v>
      </c>
      <c r="BN220" s="139" t="s">
        <v>347</v>
      </c>
      <c r="BO220" s="126"/>
      <c r="BR220" s="124"/>
      <c r="BS220" s="137"/>
      <c r="BT220" s="137"/>
      <c r="BU220" s="137"/>
      <c r="BV220" s="137"/>
      <c r="BW220" s="127"/>
      <c r="BX220" s="127"/>
      <c r="BY220" s="137"/>
      <c r="BZ220" s="137"/>
      <c r="CA220" s="137"/>
      <c r="CB220" s="137"/>
      <c r="CC220" s="137"/>
      <c r="CD220" s="137"/>
      <c r="CE220" s="137"/>
      <c r="CF220" s="126"/>
      <c r="CH220" s="126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9"/>
      <c r="CT220" s="126"/>
    </row>
    <row r="221" spans="1:105" s="55" customFormat="1" ht="12.75" customHeight="1">
      <c r="A221" s="35" t="s">
        <v>159</v>
      </c>
      <c r="C221" s="35" t="s">
        <v>66</v>
      </c>
      <c r="D221" s="44"/>
      <c r="E221" s="53">
        <f t="shared" si="54"/>
        <v>308790</v>
      </c>
      <c r="F221" s="53"/>
      <c r="G221" s="53">
        <v>5155775</v>
      </c>
      <c r="H221" s="53"/>
      <c r="I221" s="53">
        <v>5464565</v>
      </c>
      <c r="J221" s="53"/>
      <c r="K221" s="53">
        <f t="shared" si="49"/>
        <v>816389</v>
      </c>
      <c r="L221" s="53"/>
      <c r="M221" s="53">
        <v>527576</v>
      </c>
      <c r="N221" s="53"/>
      <c r="O221" s="53">
        <v>1343965</v>
      </c>
      <c r="P221" s="53"/>
      <c r="Q221" s="53">
        <v>3866571</v>
      </c>
      <c r="R221" s="53"/>
      <c r="S221" s="53">
        <v>0</v>
      </c>
      <c r="T221" s="53"/>
      <c r="U221" s="53">
        <v>254029</v>
      </c>
      <c r="V221" s="53"/>
      <c r="W221" s="53">
        <f t="shared" si="59"/>
        <v>4120600</v>
      </c>
      <c r="X221" s="53"/>
      <c r="Y221" s="35" t="s">
        <v>159</v>
      </c>
      <c r="AA221" s="35" t="s">
        <v>66</v>
      </c>
      <c r="AB221" s="35"/>
      <c r="AC221" s="53">
        <v>703781</v>
      </c>
      <c r="AD221" s="53"/>
      <c r="AE221" s="53">
        <f>857356-196580</f>
        <v>660776</v>
      </c>
      <c r="AF221" s="53"/>
      <c r="AG221" s="53">
        <v>196580</v>
      </c>
      <c r="AH221" s="53"/>
      <c r="AI221" s="45">
        <f t="shared" si="51"/>
        <v>-153575</v>
      </c>
      <c r="AJ221" s="45"/>
      <c r="AK221" s="53">
        <v>-15479</v>
      </c>
      <c r="AL221" s="45"/>
      <c r="AM221" s="53">
        <v>0</v>
      </c>
      <c r="AN221" s="53"/>
      <c r="AO221" s="53">
        <v>0</v>
      </c>
      <c r="AP221" s="53"/>
      <c r="AQ221" s="53">
        <v>0</v>
      </c>
      <c r="AR221" s="53"/>
      <c r="AS221" s="45">
        <f t="shared" si="55"/>
        <v>-169054</v>
      </c>
      <c r="AT221" s="45"/>
      <c r="AU221" s="53">
        <v>0</v>
      </c>
      <c r="AV221" s="53"/>
      <c r="AW221" s="53">
        <v>0</v>
      </c>
      <c r="AX221" s="53"/>
      <c r="AY221" s="53">
        <f t="shared" si="56"/>
        <v>-507599</v>
      </c>
      <c r="AZ221" s="53"/>
      <c r="BA221" s="35" t="s">
        <v>159</v>
      </c>
      <c r="BC221" s="35" t="s">
        <v>66</v>
      </c>
      <c r="BD221" s="53"/>
      <c r="BE221" s="53">
        <v>0</v>
      </c>
      <c r="BF221" s="53"/>
      <c r="BG221" s="53">
        <v>0</v>
      </c>
      <c r="BH221" s="53"/>
      <c r="BI221" s="53">
        <f>496571+31300</f>
        <v>527871</v>
      </c>
      <c r="BJ221" s="53"/>
      <c r="BK221" s="53">
        <f>31005+9655</f>
        <v>40660</v>
      </c>
      <c r="BL221" s="53"/>
      <c r="BM221" s="53">
        <f>SUM(BE221:BK221)</f>
        <v>568531</v>
      </c>
      <c r="BN221" s="54" t="s">
        <v>347</v>
      </c>
      <c r="BR221" s="51"/>
      <c r="BS221" s="53"/>
      <c r="BT221" s="53"/>
      <c r="BU221" s="53"/>
      <c r="BV221" s="53"/>
      <c r="BW221" s="53"/>
      <c r="BX221" s="45"/>
      <c r="BY221" s="45"/>
      <c r="BZ221" s="53"/>
      <c r="CA221" s="53"/>
      <c r="CB221" s="53"/>
      <c r="CC221" s="53"/>
      <c r="CD221" s="53"/>
      <c r="CE221" s="53"/>
      <c r="CF221" s="35"/>
      <c r="CH221" s="35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4"/>
    </row>
    <row r="222" spans="1:105" s="140" customFormat="1" ht="12.75" hidden="1" customHeight="1">
      <c r="A222" s="126" t="s">
        <v>255</v>
      </c>
      <c r="B222" s="124"/>
      <c r="C222" s="126" t="s">
        <v>27</v>
      </c>
      <c r="D222" s="121"/>
      <c r="E222" s="53">
        <f t="shared" si="54"/>
        <v>0</v>
      </c>
      <c r="F222" s="53"/>
      <c r="G222" s="53">
        <v>0</v>
      </c>
      <c r="H222" s="53"/>
      <c r="I222" s="53">
        <v>0</v>
      </c>
      <c r="J222" s="53"/>
      <c r="K222" s="53">
        <f t="shared" si="49"/>
        <v>0</v>
      </c>
      <c r="L222" s="53"/>
      <c r="M222" s="53">
        <v>0</v>
      </c>
      <c r="N222" s="53"/>
      <c r="O222" s="53">
        <v>0</v>
      </c>
      <c r="P222" s="53"/>
      <c r="Q222" s="53">
        <v>0</v>
      </c>
      <c r="R222" s="53"/>
      <c r="S222" s="53">
        <v>0</v>
      </c>
      <c r="T222" s="53"/>
      <c r="U222" s="53">
        <v>0</v>
      </c>
      <c r="V222" s="53"/>
      <c r="W222" s="53">
        <f t="shared" si="59"/>
        <v>0</v>
      </c>
      <c r="X222" s="137"/>
      <c r="Y222" s="126" t="s">
        <v>255</v>
      </c>
      <c r="AA222" s="126" t="s">
        <v>27</v>
      </c>
      <c r="AB222" s="126"/>
      <c r="AC222" s="53">
        <v>0</v>
      </c>
      <c r="AD222" s="53"/>
      <c r="AE222" s="53">
        <v>0</v>
      </c>
      <c r="AF222" s="53"/>
      <c r="AG222" s="53">
        <v>0</v>
      </c>
      <c r="AH222" s="53"/>
      <c r="AI222" s="45">
        <f t="shared" si="51"/>
        <v>0</v>
      </c>
      <c r="AJ222" s="45"/>
      <c r="AK222" s="53">
        <v>0</v>
      </c>
      <c r="AL222" s="45"/>
      <c r="AM222" s="53">
        <v>0</v>
      </c>
      <c r="AN222" s="53"/>
      <c r="AO222" s="53">
        <v>0</v>
      </c>
      <c r="AP222" s="53"/>
      <c r="AQ222" s="53">
        <v>0</v>
      </c>
      <c r="AR222" s="53"/>
      <c r="AS222" s="45">
        <f t="shared" si="55"/>
        <v>0</v>
      </c>
      <c r="AT222" s="45"/>
      <c r="AU222" s="53">
        <v>0</v>
      </c>
      <c r="AV222" s="53"/>
      <c r="AW222" s="53">
        <v>0</v>
      </c>
      <c r="AX222" s="53"/>
      <c r="AY222" s="53">
        <f t="shared" si="56"/>
        <v>0</v>
      </c>
      <c r="AZ222" s="53"/>
      <c r="BA222" s="126" t="s">
        <v>255</v>
      </c>
      <c r="BC222" s="126" t="s">
        <v>27</v>
      </c>
      <c r="BD222" s="137"/>
      <c r="BE222" s="53">
        <v>0</v>
      </c>
      <c r="BF222" s="53"/>
      <c r="BG222" s="53">
        <v>0</v>
      </c>
      <c r="BH222" s="53"/>
      <c r="BI222" s="53">
        <v>0</v>
      </c>
      <c r="BJ222" s="53"/>
      <c r="BK222" s="53">
        <v>0</v>
      </c>
      <c r="BL222" s="137"/>
      <c r="BM222" s="137">
        <f t="shared" si="58"/>
        <v>0</v>
      </c>
      <c r="BN222" s="139" t="s">
        <v>347</v>
      </c>
      <c r="BR222" s="124"/>
      <c r="BS222" s="137"/>
      <c r="BT222" s="137"/>
      <c r="BU222" s="137"/>
      <c r="BV222" s="137"/>
      <c r="BW222" s="137"/>
      <c r="BX222" s="127"/>
      <c r="BY222" s="127"/>
      <c r="BZ222" s="137"/>
      <c r="CA222" s="137"/>
      <c r="CB222" s="137"/>
      <c r="CC222" s="137"/>
      <c r="CD222" s="137"/>
      <c r="CE222" s="137"/>
      <c r="CF222" s="126"/>
      <c r="CH222" s="126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9"/>
    </row>
    <row r="223" spans="1:105" s="55" customFormat="1" ht="12.75" customHeight="1">
      <c r="A223" s="35" t="s">
        <v>256</v>
      </c>
      <c r="C223" s="35" t="s">
        <v>43</v>
      </c>
      <c r="D223" s="44"/>
      <c r="E223" s="53">
        <f t="shared" si="54"/>
        <v>290428</v>
      </c>
      <c r="F223" s="53"/>
      <c r="G223" s="53">
        <v>4442932</v>
      </c>
      <c r="H223" s="53"/>
      <c r="I223" s="53">
        <v>4733360</v>
      </c>
      <c r="J223" s="53"/>
      <c r="K223" s="53">
        <f t="shared" si="49"/>
        <v>186007</v>
      </c>
      <c r="L223" s="53"/>
      <c r="M223" s="53">
        <v>554907</v>
      </c>
      <c r="N223" s="53"/>
      <c r="O223" s="53">
        <v>740914</v>
      </c>
      <c r="P223" s="53"/>
      <c r="Q223" s="53">
        <v>3758872</v>
      </c>
      <c r="R223" s="53"/>
      <c r="S223" s="53">
        <v>0</v>
      </c>
      <c r="T223" s="53"/>
      <c r="U223" s="53">
        <v>233574</v>
      </c>
      <c r="V223" s="53"/>
      <c r="W223" s="53">
        <f t="shared" si="59"/>
        <v>3992446</v>
      </c>
      <c r="X223" s="53"/>
      <c r="Y223" s="35" t="s">
        <v>256</v>
      </c>
      <c r="AA223" s="35" t="s">
        <v>43</v>
      </c>
      <c r="AB223" s="35"/>
      <c r="AC223" s="53">
        <v>773647</v>
      </c>
      <c r="AD223" s="53"/>
      <c r="AE223" s="53">
        <f>640209-217612</f>
        <v>422597</v>
      </c>
      <c r="AF223" s="53"/>
      <c r="AG223" s="53">
        <v>217612</v>
      </c>
      <c r="AH223" s="53"/>
      <c r="AI223" s="45">
        <f t="shared" si="51"/>
        <v>133438</v>
      </c>
      <c r="AJ223" s="45"/>
      <c r="AK223" s="53">
        <v>-25579</v>
      </c>
      <c r="AL223" s="45"/>
      <c r="AM223" s="53">
        <v>0</v>
      </c>
      <c r="AN223" s="53"/>
      <c r="AO223" s="53">
        <v>0</v>
      </c>
      <c r="AP223" s="53"/>
      <c r="AQ223" s="53">
        <v>19728</v>
      </c>
      <c r="AR223" s="53"/>
      <c r="AS223" s="45">
        <f t="shared" si="55"/>
        <v>127587</v>
      </c>
      <c r="AT223" s="45"/>
      <c r="AU223" s="53">
        <v>0</v>
      </c>
      <c r="AV223" s="53"/>
      <c r="AW223" s="53">
        <v>0</v>
      </c>
      <c r="AX223" s="53"/>
      <c r="AY223" s="53">
        <f t="shared" si="56"/>
        <v>104421</v>
      </c>
      <c r="AZ223" s="53"/>
      <c r="BA223" s="35" t="s">
        <v>256</v>
      </c>
      <c r="BC223" s="35" t="s">
        <v>43</v>
      </c>
      <c r="BD223" s="53"/>
      <c r="BE223" s="53">
        <v>0</v>
      </c>
      <c r="BF223" s="53"/>
      <c r="BG223" s="53">
        <v>0</v>
      </c>
      <c r="BH223" s="53"/>
      <c r="BI223" s="53">
        <f>533507+150553</f>
        <v>684060</v>
      </c>
      <c r="BJ223" s="53"/>
      <c r="BK223" s="53">
        <f>21400+17509</f>
        <v>38909</v>
      </c>
      <c r="BL223" s="53"/>
      <c r="BM223" s="53">
        <f>SUM(BE223:BK223)</f>
        <v>722969</v>
      </c>
      <c r="BN223" s="54" t="s">
        <v>347</v>
      </c>
      <c r="BR223" s="51"/>
      <c r="BS223" s="53"/>
      <c r="BT223" s="53"/>
      <c r="BU223" s="53"/>
      <c r="BV223" s="53"/>
      <c r="BW223" s="53"/>
      <c r="BX223" s="45"/>
      <c r="BY223" s="45"/>
      <c r="BZ223" s="53"/>
      <c r="CA223" s="53"/>
      <c r="CB223" s="53"/>
      <c r="CC223" s="53"/>
      <c r="CD223" s="53"/>
      <c r="CE223" s="53"/>
      <c r="CF223" s="35"/>
      <c r="CH223" s="35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4"/>
    </row>
    <row r="224" spans="1:105" s="55" customFormat="1" ht="12.75" customHeight="1">
      <c r="A224" s="35" t="s">
        <v>257</v>
      </c>
      <c r="B224" s="51"/>
      <c r="C224" s="35" t="s">
        <v>258</v>
      </c>
      <c r="D224" s="44"/>
      <c r="E224" s="53">
        <f t="shared" si="54"/>
        <v>101914</v>
      </c>
      <c r="F224" s="53"/>
      <c r="G224" s="53">
        <f>270820+8437910</f>
        <v>8708730</v>
      </c>
      <c r="H224" s="53"/>
      <c r="I224" s="53">
        <v>8810644</v>
      </c>
      <c r="J224" s="53"/>
      <c r="K224" s="53">
        <f t="shared" si="49"/>
        <v>103652</v>
      </c>
      <c r="L224" s="53"/>
      <c r="M224" s="53">
        <v>4430</v>
      </c>
      <c r="N224" s="53"/>
      <c r="O224" s="53">
        <v>108082</v>
      </c>
      <c r="P224" s="53"/>
      <c r="Q224" s="53">
        <v>8708730</v>
      </c>
      <c r="R224" s="53"/>
      <c r="S224" s="53">
        <v>0</v>
      </c>
      <c r="T224" s="53"/>
      <c r="U224" s="53">
        <v>-6168</v>
      </c>
      <c r="V224" s="53"/>
      <c r="W224" s="53">
        <f t="shared" si="59"/>
        <v>8702562</v>
      </c>
      <c r="X224" s="53"/>
      <c r="Y224" s="35" t="s">
        <v>257</v>
      </c>
      <c r="AA224" s="35" t="s">
        <v>258</v>
      </c>
      <c r="AB224" s="35"/>
      <c r="AC224" s="53">
        <v>834163</v>
      </c>
      <c r="AD224" s="53"/>
      <c r="AE224" s="53">
        <f>1015520-202253</f>
        <v>813267</v>
      </c>
      <c r="AF224" s="53"/>
      <c r="AG224" s="53">
        <v>202253</v>
      </c>
      <c r="AH224" s="53"/>
      <c r="AI224" s="45">
        <f t="shared" si="51"/>
        <v>-181357</v>
      </c>
      <c r="AJ224" s="45"/>
      <c r="AK224" s="53">
        <v>0</v>
      </c>
      <c r="AL224" s="45"/>
      <c r="AM224" s="53">
        <v>0</v>
      </c>
      <c r="AN224" s="53"/>
      <c r="AO224" s="53">
        <v>128220</v>
      </c>
      <c r="AP224" s="53"/>
      <c r="AQ224" s="53">
        <v>0</v>
      </c>
      <c r="AR224" s="53"/>
      <c r="AS224" s="45">
        <f t="shared" si="55"/>
        <v>-309577</v>
      </c>
      <c r="AT224" s="45"/>
      <c r="AU224" s="53">
        <v>0</v>
      </c>
      <c r="AV224" s="53"/>
      <c r="AW224" s="53">
        <v>0</v>
      </c>
      <c r="AX224" s="53"/>
      <c r="AY224" s="53">
        <f t="shared" si="56"/>
        <v>-1738</v>
      </c>
      <c r="AZ224" s="53"/>
      <c r="BA224" s="35" t="s">
        <v>257</v>
      </c>
      <c r="BC224" s="35" t="s">
        <v>258</v>
      </c>
      <c r="BD224" s="53"/>
      <c r="BE224" s="53">
        <v>0</v>
      </c>
      <c r="BF224" s="53"/>
      <c r="BG224" s="53">
        <v>0</v>
      </c>
      <c r="BH224" s="53"/>
      <c r="BI224" s="53">
        <v>0</v>
      </c>
      <c r="BJ224" s="53"/>
      <c r="BK224" s="53">
        <f>4430+6233</f>
        <v>10663</v>
      </c>
      <c r="BL224" s="53"/>
      <c r="BM224" s="53">
        <f t="shared" si="58"/>
        <v>10663</v>
      </c>
      <c r="BN224" s="54" t="s">
        <v>347</v>
      </c>
      <c r="BR224" s="51"/>
      <c r="BS224" s="53"/>
      <c r="BT224" s="53"/>
      <c r="BU224" s="53"/>
      <c r="BV224" s="53"/>
      <c r="BW224" s="53"/>
      <c r="BX224" s="45"/>
      <c r="BY224" s="45"/>
      <c r="BZ224" s="53"/>
      <c r="CA224" s="53"/>
      <c r="CB224" s="53"/>
      <c r="CC224" s="53"/>
      <c r="CD224" s="53"/>
      <c r="CE224" s="53"/>
      <c r="CF224" s="35"/>
      <c r="CH224" s="35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4"/>
    </row>
    <row r="225" spans="1:97" s="55" customFormat="1" ht="12.75" customHeight="1">
      <c r="A225" s="35" t="s">
        <v>259</v>
      </c>
      <c r="B225" s="51"/>
      <c r="C225" s="35" t="s">
        <v>369</v>
      </c>
      <c r="D225" s="44"/>
      <c r="E225" s="53">
        <f t="shared" si="54"/>
        <v>383874</v>
      </c>
      <c r="F225" s="53"/>
      <c r="G225" s="53">
        <v>5762803</v>
      </c>
      <c r="H225" s="53"/>
      <c r="I225" s="53">
        <v>6146677</v>
      </c>
      <c r="J225" s="53"/>
      <c r="K225" s="53">
        <f t="shared" si="49"/>
        <v>842421</v>
      </c>
      <c r="L225" s="53"/>
      <c r="M225" s="53">
        <v>3902308</v>
      </c>
      <c r="N225" s="53"/>
      <c r="O225" s="53">
        <v>4744729</v>
      </c>
      <c r="P225" s="53"/>
      <c r="Q225" s="53">
        <v>1220323</v>
      </c>
      <c r="R225" s="53"/>
      <c r="S225" s="53">
        <v>0</v>
      </c>
      <c r="T225" s="53"/>
      <c r="U225" s="53">
        <v>181625</v>
      </c>
      <c r="V225" s="53"/>
      <c r="W225" s="53">
        <f t="shared" si="59"/>
        <v>1401948</v>
      </c>
      <c r="X225" s="53"/>
      <c r="Y225" s="35" t="s">
        <v>259</v>
      </c>
      <c r="AA225" s="35" t="s">
        <v>369</v>
      </c>
      <c r="AB225" s="35"/>
      <c r="AC225" s="53">
        <v>2183622</v>
      </c>
      <c r="AD225" s="53"/>
      <c r="AE225" s="53">
        <f>1527664-201282</f>
        <v>1326382</v>
      </c>
      <c r="AF225" s="53"/>
      <c r="AG225" s="53">
        <v>201282</v>
      </c>
      <c r="AH225" s="53"/>
      <c r="AI225" s="45">
        <f t="shared" si="51"/>
        <v>655958</v>
      </c>
      <c r="AJ225" s="45"/>
      <c r="AK225" s="53">
        <v>-199080</v>
      </c>
      <c r="AL225" s="45"/>
      <c r="AM225" s="53">
        <v>0</v>
      </c>
      <c r="AN225" s="53"/>
      <c r="AO225" s="53">
        <v>0</v>
      </c>
      <c r="AP225" s="53"/>
      <c r="AQ225" s="53">
        <v>0</v>
      </c>
      <c r="AR225" s="53"/>
      <c r="AS225" s="45">
        <f t="shared" si="55"/>
        <v>456878</v>
      </c>
      <c r="AT225" s="45"/>
      <c r="AU225" s="53">
        <v>0</v>
      </c>
      <c r="AV225" s="53"/>
      <c r="AW225" s="53">
        <v>0</v>
      </c>
      <c r="AX225" s="53"/>
      <c r="AY225" s="53">
        <f t="shared" si="56"/>
        <v>-458547</v>
      </c>
      <c r="AZ225" s="53"/>
      <c r="BA225" s="35" t="s">
        <v>259</v>
      </c>
      <c r="BC225" s="35" t="s">
        <v>369</v>
      </c>
      <c r="BD225" s="53"/>
      <c r="BE225" s="53">
        <f>493783+21217</f>
        <v>515000</v>
      </c>
      <c r="BF225" s="53"/>
      <c r="BG225" s="53">
        <v>0</v>
      </c>
      <c r="BH225" s="53"/>
      <c r="BI225" s="53">
        <f>3379581+647202</f>
        <v>4026783</v>
      </c>
      <c r="BJ225" s="53"/>
      <c r="BK225" s="53">
        <f>28944+35738</f>
        <v>64682</v>
      </c>
      <c r="BL225" s="53"/>
      <c r="BM225" s="53">
        <f t="shared" si="58"/>
        <v>4606465</v>
      </c>
      <c r="BN225" s="54" t="s">
        <v>347</v>
      </c>
      <c r="BO225" s="55" t="s">
        <v>405</v>
      </c>
      <c r="BR225" s="51"/>
      <c r="BS225" s="53"/>
      <c r="BT225" s="53"/>
      <c r="BU225" s="53"/>
      <c r="BV225" s="53"/>
      <c r="BW225" s="45"/>
      <c r="BX225" s="45"/>
      <c r="BY225" s="53"/>
      <c r="BZ225" s="53"/>
      <c r="CA225" s="53"/>
      <c r="CB225" s="53"/>
      <c r="CC225" s="53"/>
      <c r="CD225" s="53"/>
      <c r="CE225" s="53"/>
      <c r="CF225" s="35"/>
      <c r="CH225" s="35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4"/>
    </row>
    <row r="226" spans="1:97" s="55" customFormat="1" ht="12.75" customHeight="1">
      <c r="A226" s="35" t="s">
        <v>261</v>
      </c>
      <c r="B226" s="51"/>
      <c r="C226" s="35" t="s">
        <v>66</v>
      </c>
      <c r="D226" s="44"/>
      <c r="E226" s="53">
        <f t="shared" si="54"/>
        <v>568020</v>
      </c>
      <c r="F226" s="53"/>
      <c r="G226" s="53">
        <v>17875597</v>
      </c>
      <c r="H226" s="53"/>
      <c r="I226" s="53">
        <v>18443617</v>
      </c>
      <c r="J226" s="53"/>
      <c r="K226" s="53">
        <f t="shared" si="49"/>
        <v>148367</v>
      </c>
      <c r="L226" s="53"/>
      <c r="M226" s="53">
        <v>26997</v>
      </c>
      <c r="N226" s="53"/>
      <c r="O226" s="53">
        <v>175364</v>
      </c>
      <c r="P226" s="53"/>
      <c r="Q226" s="53">
        <v>9319184</v>
      </c>
      <c r="R226" s="53"/>
      <c r="S226" s="53">
        <v>0</v>
      </c>
      <c r="T226" s="53"/>
      <c r="U226" s="53">
        <v>8949069</v>
      </c>
      <c r="V226" s="53"/>
      <c r="W226" s="53">
        <f t="shared" si="59"/>
        <v>18268253</v>
      </c>
      <c r="X226" s="53"/>
      <c r="Y226" s="35" t="s">
        <v>261</v>
      </c>
      <c r="AA226" s="35" t="s">
        <v>66</v>
      </c>
      <c r="AB226" s="35"/>
      <c r="AC226" s="53">
        <v>1365763</v>
      </c>
      <c r="AD226" s="53"/>
      <c r="AE226" s="53">
        <f>1533214-242589</f>
        <v>1290625</v>
      </c>
      <c r="AF226" s="53"/>
      <c r="AG226" s="53">
        <v>242589</v>
      </c>
      <c r="AH226" s="53"/>
      <c r="AI226" s="45">
        <f t="shared" si="51"/>
        <v>-167451</v>
      </c>
      <c r="AJ226" s="45"/>
      <c r="AK226" s="53">
        <v>1181595</v>
      </c>
      <c r="AL226" s="45"/>
      <c r="AM226" s="53">
        <v>0</v>
      </c>
      <c r="AN226" s="53"/>
      <c r="AO226" s="53">
        <v>0</v>
      </c>
      <c r="AP226" s="53"/>
      <c r="AQ226" s="53">
        <v>5052</v>
      </c>
      <c r="AR226" s="53"/>
      <c r="AS226" s="45">
        <f t="shared" si="55"/>
        <v>1019196</v>
      </c>
      <c r="AT226" s="45"/>
      <c r="AU226" s="53">
        <v>0</v>
      </c>
      <c r="AV226" s="53"/>
      <c r="AW226" s="53">
        <v>0</v>
      </c>
      <c r="AX226" s="53"/>
      <c r="AY226" s="53">
        <f t="shared" si="56"/>
        <v>419653</v>
      </c>
      <c r="AZ226" s="53"/>
      <c r="BA226" s="35" t="s">
        <v>261</v>
      </c>
      <c r="BC226" s="35" t="s">
        <v>66</v>
      </c>
      <c r="BD226" s="53"/>
      <c r="BE226" s="53">
        <v>0</v>
      </c>
      <c r="BF226" s="53"/>
      <c r="BG226" s="53">
        <v>0</v>
      </c>
      <c r="BH226" s="53"/>
      <c r="BI226" s="53">
        <v>0</v>
      </c>
      <c r="BJ226" s="53"/>
      <c r="BK226" s="53">
        <f>26997+34367</f>
        <v>61364</v>
      </c>
      <c r="BL226" s="53"/>
      <c r="BM226" s="53">
        <f t="shared" si="58"/>
        <v>61364</v>
      </c>
      <c r="BN226" s="54" t="s">
        <v>347</v>
      </c>
      <c r="BR226" s="51"/>
      <c r="BS226" s="53"/>
      <c r="BT226" s="53"/>
      <c r="BU226" s="53"/>
      <c r="BV226" s="53"/>
      <c r="BW226" s="53"/>
      <c r="BX226" s="45"/>
      <c r="BY226" s="45"/>
      <c r="BZ226" s="53"/>
      <c r="CA226" s="53"/>
      <c r="CB226" s="53"/>
      <c r="CC226" s="53"/>
      <c r="CD226" s="53"/>
      <c r="CE226" s="53"/>
      <c r="CF226" s="35"/>
      <c r="CH226" s="35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4"/>
    </row>
    <row r="227" spans="1:97" s="140" customFormat="1" ht="12.75" hidden="1" customHeight="1">
      <c r="A227" s="126" t="s">
        <v>262</v>
      </c>
      <c r="C227" s="126" t="s">
        <v>132</v>
      </c>
      <c r="D227" s="121"/>
      <c r="E227" s="137">
        <f t="shared" si="54"/>
        <v>0</v>
      </c>
      <c r="F227" s="137"/>
      <c r="G227" s="137">
        <v>0</v>
      </c>
      <c r="H227" s="137"/>
      <c r="I227" s="137">
        <v>0</v>
      </c>
      <c r="J227" s="137"/>
      <c r="K227" s="137">
        <f t="shared" si="49"/>
        <v>0</v>
      </c>
      <c r="L227" s="137"/>
      <c r="M227" s="137">
        <v>0</v>
      </c>
      <c r="N227" s="137"/>
      <c r="O227" s="137">
        <v>0</v>
      </c>
      <c r="P227" s="137"/>
      <c r="Q227" s="137">
        <v>0</v>
      </c>
      <c r="R227" s="137"/>
      <c r="S227" s="137">
        <v>0</v>
      </c>
      <c r="T227" s="137"/>
      <c r="U227" s="137">
        <v>0</v>
      </c>
      <c r="V227" s="137"/>
      <c r="W227" s="137">
        <f t="shared" ref="W227:W228" si="60">SUM(Q227:U227)</f>
        <v>0</v>
      </c>
      <c r="X227" s="137"/>
      <c r="Y227" s="126" t="s">
        <v>262</v>
      </c>
      <c r="AA227" s="126" t="s">
        <v>132</v>
      </c>
      <c r="AB227" s="126"/>
      <c r="AC227" s="137">
        <v>0</v>
      </c>
      <c r="AD227" s="137"/>
      <c r="AE227" s="137">
        <v>0</v>
      </c>
      <c r="AF227" s="137"/>
      <c r="AG227" s="137">
        <v>0</v>
      </c>
      <c r="AH227" s="137"/>
      <c r="AI227" s="127">
        <f t="shared" si="51"/>
        <v>0</v>
      </c>
      <c r="AJ227" s="127"/>
      <c r="AK227" s="137">
        <v>0</v>
      </c>
      <c r="AL227" s="127"/>
      <c r="AM227" s="137">
        <v>0</v>
      </c>
      <c r="AN227" s="137"/>
      <c r="AO227" s="137">
        <v>0</v>
      </c>
      <c r="AP227" s="137"/>
      <c r="AQ227" s="137">
        <v>0</v>
      </c>
      <c r="AR227" s="137"/>
      <c r="AS227" s="127">
        <f t="shared" ref="AS227:AS228" si="61">+AI227+AK227+AM227-AO227+AQ227</f>
        <v>0</v>
      </c>
      <c r="AT227" s="127"/>
      <c r="AU227" s="137">
        <v>0</v>
      </c>
      <c r="AV227" s="137"/>
      <c r="AW227" s="137">
        <v>0</v>
      </c>
      <c r="AX227" s="137"/>
      <c r="AY227" s="137">
        <f>+E227-K227</f>
        <v>0</v>
      </c>
      <c r="AZ227" s="137"/>
      <c r="BA227" s="126" t="s">
        <v>262</v>
      </c>
      <c r="BC227" s="126" t="s">
        <v>132</v>
      </c>
      <c r="BD227" s="137"/>
      <c r="BE227" s="137">
        <v>0</v>
      </c>
      <c r="BF227" s="137"/>
      <c r="BG227" s="137">
        <v>0</v>
      </c>
      <c r="BH227" s="137"/>
      <c r="BI227" s="137">
        <v>0</v>
      </c>
      <c r="BJ227" s="137"/>
      <c r="BK227" s="137">
        <v>0</v>
      </c>
      <c r="BL227" s="137"/>
      <c r="BM227" s="137">
        <f t="shared" ref="BM227:BM228" si="62">SUM(BE227:BK227)</f>
        <v>0</v>
      </c>
      <c r="BN227" s="139" t="s">
        <v>347</v>
      </c>
      <c r="BO227" s="140" t="s">
        <v>410</v>
      </c>
      <c r="BR227" s="124"/>
      <c r="BS227" s="137"/>
      <c r="BT227" s="137"/>
      <c r="BU227" s="137"/>
      <c r="BV227" s="137"/>
      <c r="BW227" s="137"/>
      <c r="BX227" s="127"/>
      <c r="BY227" s="127"/>
      <c r="BZ227" s="137"/>
      <c r="CA227" s="137"/>
      <c r="CB227" s="137"/>
      <c r="CC227" s="137"/>
      <c r="CD227" s="137"/>
      <c r="CE227" s="137"/>
      <c r="CF227" s="126"/>
      <c r="CH227" s="126"/>
      <c r="CI227" s="137"/>
      <c r="CJ227" s="137"/>
      <c r="CK227" s="137"/>
      <c r="CL227" s="137"/>
      <c r="CM227" s="137"/>
      <c r="CN227" s="137"/>
      <c r="CO227" s="137"/>
      <c r="CP227" s="137"/>
      <c r="CQ227" s="137"/>
      <c r="CR227" s="137"/>
      <c r="CS227" s="139"/>
    </row>
    <row r="228" spans="1:97" s="55" customFormat="1" ht="12.75" customHeight="1">
      <c r="A228" s="35" t="s">
        <v>263</v>
      </c>
      <c r="B228" s="51"/>
      <c r="C228" s="35" t="s">
        <v>53</v>
      </c>
      <c r="D228" s="44"/>
      <c r="E228" s="53">
        <f t="shared" si="54"/>
        <v>4329111</v>
      </c>
      <c r="F228" s="53"/>
      <c r="G228" s="53">
        <v>28890392</v>
      </c>
      <c r="H228" s="53"/>
      <c r="I228" s="53">
        <v>33219503</v>
      </c>
      <c r="J228" s="53"/>
      <c r="K228" s="53">
        <f t="shared" si="49"/>
        <v>1018352</v>
      </c>
      <c r="L228" s="53"/>
      <c r="M228" s="53">
        <v>19742954</v>
      </c>
      <c r="N228" s="53"/>
      <c r="O228" s="53">
        <v>20761306</v>
      </c>
      <c r="P228" s="53"/>
      <c r="Q228" s="53">
        <v>8460709</v>
      </c>
      <c r="R228" s="53"/>
      <c r="S228" s="53">
        <v>0</v>
      </c>
      <c r="T228" s="53"/>
      <c r="U228" s="53">
        <v>3997488</v>
      </c>
      <c r="V228" s="53"/>
      <c r="W228" s="53">
        <f t="shared" si="60"/>
        <v>12458197</v>
      </c>
      <c r="X228" s="53"/>
      <c r="Y228" s="35" t="s">
        <v>263</v>
      </c>
      <c r="AA228" s="35" t="s">
        <v>53</v>
      </c>
      <c r="AB228" s="35"/>
      <c r="AC228" s="53">
        <v>3145775</v>
      </c>
      <c r="AD228" s="53"/>
      <c r="AE228" s="53">
        <f>2599877-731896</f>
        <v>1867981</v>
      </c>
      <c r="AF228" s="53"/>
      <c r="AG228" s="53">
        <v>731896</v>
      </c>
      <c r="AH228" s="53"/>
      <c r="AI228" s="45">
        <f t="shared" si="51"/>
        <v>545898</v>
      </c>
      <c r="AJ228" s="45"/>
      <c r="AK228" s="53">
        <v>-656364</v>
      </c>
      <c r="AL228" s="45"/>
      <c r="AM228" s="53">
        <v>0</v>
      </c>
      <c r="AN228" s="53"/>
      <c r="AO228" s="53">
        <v>0</v>
      </c>
      <c r="AP228" s="53"/>
      <c r="AQ228" s="53">
        <v>267446</v>
      </c>
      <c r="AR228" s="53"/>
      <c r="AS228" s="45">
        <f t="shared" si="61"/>
        <v>156980</v>
      </c>
      <c r="AT228" s="45"/>
      <c r="AU228" s="53">
        <v>0</v>
      </c>
      <c r="AV228" s="53"/>
      <c r="AW228" s="53">
        <v>0</v>
      </c>
      <c r="AX228" s="53"/>
      <c r="AY228" s="53">
        <f t="shared" ref="AY228" si="63">+E228-K228</f>
        <v>3310759</v>
      </c>
      <c r="AZ228" s="53"/>
      <c r="BA228" s="35" t="s">
        <v>263</v>
      </c>
      <c r="BC228" s="35" t="s">
        <v>53</v>
      </c>
      <c r="BD228" s="53"/>
      <c r="BE228" s="53">
        <v>0</v>
      </c>
      <c r="BF228" s="53"/>
      <c r="BG228" s="53">
        <v>0</v>
      </c>
      <c r="BH228" s="53"/>
      <c r="BI228" s="53">
        <f>19504559+925124</f>
        <v>20429683</v>
      </c>
      <c r="BJ228" s="53"/>
      <c r="BK228" s="53">
        <f>238395+37146</f>
        <v>275541</v>
      </c>
      <c r="BL228" s="53"/>
      <c r="BM228" s="53">
        <f t="shared" si="62"/>
        <v>20705224</v>
      </c>
      <c r="BN228" s="54" t="s">
        <v>347</v>
      </c>
      <c r="BR228" s="51"/>
      <c r="BS228" s="53"/>
      <c r="BT228" s="53"/>
      <c r="BU228" s="53"/>
      <c r="BV228" s="53"/>
      <c r="BW228" s="53"/>
      <c r="BX228" s="45"/>
      <c r="BY228" s="45"/>
      <c r="BZ228" s="53"/>
      <c r="CA228" s="53"/>
      <c r="CB228" s="53"/>
      <c r="CC228" s="53"/>
      <c r="CD228" s="53"/>
      <c r="CE228" s="53"/>
      <c r="CF228" s="35"/>
      <c r="CH228" s="35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4"/>
    </row>
    <row r="229" spans="1:97" s="55" customFormat="1" ht="12.75" customHeight="1">
      <c r="A229" s="35" t="s">
        <v>264</v>
      </c>
      <c r="B229" s="51"/>
      <c r="C229" s="35" t="s">
        <v>239</v>
      </c>
      <c r="D229" s="44"/>
      <c r="E229" s="53">
        <f t="shared" si="54"/>
        <v>589279</v>
      </c>
      <c r="F229" s="53"/>
      <c r="G229" s="53">
        <v>15284325</v>
      </c>
      <c r="H229" s="53"/>
      <c r="I229" s="53">
        <v>15873604</v>
      </c>
      <c r="J229" s="53"/>
      <c r="K229" s="53">
        <f t="shared" si="49"/>
        <v>652508</v>
      </c>
      <c r="L229" s="53"/>
      <c r="M229" s="53">
        <v>9406758</v>
      </c>
      <c r="N229" s="53"/>
      <c r="O229" s="53">
        <v>10059266</v>
      </c>
      <c r="P229" s="53"/>
      <c r="Q229" s="53">
        <v>5073462</v>
      </c>
      <c r="R229" s="53"/>
      <c r="S229" s="53">
        <f>10260+1098551</f>
        <v>1108811</v>
      </c>
      <c r="T229" s="53"/>
      <c r="U229" s="53">
        <v>-367935</v>
      </c>
      <c r="V229" s="53"/>
      <c r="W229" s="53">
        <f t="shared" si="59"/>
        <v>5814338</v>
      </c>
      <c r="X229" s="53"/>
      <c r="Y229" s="35" t="s">
        <v>264</v>
      </c>
      <c r="AA229" s="35" t="s">
        <v>239</v>
      </c>
      <c r="AB229" s="35"/>
      <c r="AC229" s="53">
        <v>1987702</v>
      </c>
      <c r="AD229" s="53"/>
      <c r="AE229" s="53">
        <f>1778815-473085</f>
        <v>1305730</v>
      </c>
      <c r="AF229" s="53"/>
      <c r="AG229" s="53">
        <v>473085</v>
      </c>
      <c r="AH229" s="53"/>
      <c r="AI229" s="45">
        <f t="shared" si="51"/>
        <v>208887</v>
      </c>
      <c r="AJ229" s="45"/>
      <c r="AK229" s="53">
        <v>-456137</v>
      </c>
      <c r="AL229" s="45"/>
      <c r="AM229" s="53">
        <v>0</v>
      </c>
      <c r="AN229" s="53"/>
      <c r="AO229" s="53">
        <v>37301</v>
      </c>
      <c r="AP229" s="53"/>
      <c r="AQ229" s="53">
        <v>149451</v>
      </c>
      <c r="AR229" s="53"/>
      <c r="AS229" s="45">
        <f t="shared" si="55"/>
        <v>-135100</v>
      </c>
      <c r="AT229" s="45"/>
      <c r="AU229" s="53">
        <v>0</v>
      </c>
      <c r="AV229" s="53"/>
      <c r="AW229" s="53">
        <v>0</v>
      </c>
      <c r="AX229" s="53"/>
      <c r="AY229" s="53">
        <f t="shared" si="56"/>
        <v>-63229</v>
      </c>
      <c r="AZ229" s="53"/>
      <c r="BA229" s="35" t="s">
        <v>264</v>
      </c>
      <c r="BC229" s="35" t="s">
        <v>239</v>
      </c>
      <c r="BD229" s="53"/>
      <c r="BE229" s="53">
        <v>0</v>
      </c>
      <c r="BF229" s="53"/>
      <c r="BG229" s="53">
        <f>8540000+400000</f>
        <v>8940000</v>
      </c>
      <c r="BH229" s="53"/>
      <c r="BI229" s="53">
        <f>50311+712955+15575+86869</f>
        <v>865710</v>
      </c>
      <c r="BJ229" s="53"/>
      <c r="BK229" s="53">
        <f>3750+99742+2500+25973</f>
        <v>131965</v>
      </c>
      <c r="BL229" s="53"/>
      <c r="BM229" s="53">
        <f t="shared" si="58"/>
        <v>9937675</v>
      </c>
      <c r="BN229" s="54" t="s">
        <v>347</v>
      </c>
      <c r="BR229" s="51"/>
      <c r="BS229" s="53"/>
      <c r="BT229" s="53"/>
      <c r="BU229" s="53"/>
      <c r="BV229" s="53"/>
      <c r="BW229" s="53"/>
      <c r="BX229" s="45"/>
      <c r="BY229" s="45"/>
      <c r="BZ229" s="53"/>
      <c r="CA229" s="53"/>
      <c r="CB229" s="53"/>
      <c r="CC229" s="53"/>
      <c r="CD229" s="53"/>
      <c r="CE229" s="53"/>
      <c r="CF229" s="35"/>
      <c r="CH229" s="35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4"/>
    </row>
    <row r="230" spans="1:97" s="55" customFormat="1" ht="12.75" customHeight="1">
      <c r="A230" s="35" t="s">
        <v>111</v>
      </c>
      <c r="B230" s="51"/>
      <c r="C230" s="44" t="s">
        <v>80</v>
      </c>
      <c r="D230" s="44"/>
      <c r="E230" s="53">
        <f t="shared" si="54"/>
        <v>1402133</v>
      </c>
      <c r="F230" s="53"/>
      <c r="G230" s="53">
        <v>16408050</v>
      </c>
      <c r="H230" s="53"/>
      <c r="I230" s="53">
        <v>17810183</v>
      </c>
      <c r="J230" s="53"/>
      <c r="K230" s="53">
        <f t="shared" si="49"/>
        <v>2705239</v>
      </c>
      <c r="L230" s="53"/>
      <c r="M230" s="53">
        <v>9672922</v>
      </c>
      <c r="N230" s="53"/>
      <c r="O230" s="53">
        <v>12378161</v>
      </c>
      <c r="P230" s="53"/>
      <c r="Q230" s="53">
        <v>4836355</v>
      </c>
      <c r="R230" s="53"/>
      <c r="S230" s="53">
        <v>0</v>
      </c>
      <c r="T230" s="53"/>
      <c r="U230" s="53">
        <v>595667</v>
      </c>
      <c r="V230" s="53"/>
      <c r="W230" s="53">
        <f t="shared" si="59"/>
        <v>5432022</v>
      </c>
      <c r="X230" s="53"/>
      <c r="Y230" s="35" t="s">
        <v>111</v>
      </c>
      <c r="AA230" s="44" t="s">
        <v>80</v>
      </c>
      <c r="AB230" s="44"/>
      <c r="AC230" s="53">
        <v>7377857</v>
      </c>
      <c r="AD230" s="53"/>
      <c r="AE230" s="53">
        <f>6833680-690913</f>
        <v>6142767</v>
      </c>
      <c r="AF230" s="53"/>
      <c r="AG230" s="53">
        <v>690913</v>
      </c>
      <c r="AH230" s="53"/>
      <c r="AI230" s="45">
        <f t="shared" si="51"/>
        <v>544177</v>
      </c>
      <c r="AJ230" s="45"/>
      <c r="AK230" s="53">
        <v>-499905</v>
      </c>
      <c r="AL230" s="45"/>
      <c r="AM230" s="53">
        <v>0</v>
      </c>
      <c r="AN230" s="53"/>
      <c r="AO230" s="53">
        <v>0</v>
      </c>
      <c r="AP230" s="53"/>
      <c r="AQ230" s="53">
        <v>1072931</v>
      </c>
      <c r="AR230" s="53"/>
      <c r="AS230" s="45">
        <f t="shared" si="55"/>
        <v>1117203</v>
      </c>
      <c r="AT230" s="45"/>
      <c r="AU230" s="53">
        <v>0</v>
      </c>
      <c r="AV230" s="53"/>
      <c r="AW230" s="53">
        <v>0</v>
      </c>
      <c r="AX230" s="53"/>
      <c r="AY230" s="53">
        <f t="shared" si="56"/>
        <v>-1303106</v>
      </c>
      <c r="AZ230" s="53"/>
      <c r="BA230" s="35" t="s">
        <v>111</v>
      </c>
      <c r="BC230" s="44" t="s">
        <v>80</v>
      </c>
      <c r="BD230" s="53"/>
      <c r="BE230" s="53">
        <f>1062405+537000</f>
        <v>1599405</v>
      </c>
      <c r="BF230" s="53"/>
      <c r="BG230" s="53">
        <v>0</v>
      </c>
      <c r="BH230" s="53"/>
      <c r="BI230" s="53">
        <f>8362784+1562838</f>
        <v>9925622</v>
      </c>
      <c r="BJ230" s="53"/>
      <c r="BK230" s="53">
        <f>247733+168567</f>
        <v>416300</v>
      </c>
      <c r="BL230" s="53"/>
      <c r="BM230" s="53">
        <f t="shared" si="58"/>
        <v>11941327</v>
      </c>
      <c r="BN230" s="54" t="s">
        <v>347</v>
      </c>
      <c r="BR230" s="51"/>
      <c r="BS230" s="53"/>
      <c r="BT230" s="53"/>
      <c r="BU230" s="53"/>
      <c r="BV230" s="53"/>
      <c r="BW230" s="53"/>
      <c r="BX230" s="45"/>
      <c r="BY230" s="45"/>
      <c r="BZ230" s="53"/>
      <c r="CA230" s="53"/>
      <c r="CB230" s="53"/>
      <c r="CC230" s="53"/>
      <c r="CD230" s="53"/>
      <c r="CE230" s="53"/>
      <c r="CF230" s="35"/>
      <c r="CH230" s="35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4"/>
    </row>
    <row r="231" spans="1:97" s="140" customFormat="1" ht="12.75" hidden="1" customHeight="1">
      <c r="A231" s="126" t="s">
        <v>265</v>
      </c>
      <c r="B231" s="124"/>
      <c r="C231" s="121" t="s">
        <v>27</v>
      </c>
      <c r="D231" s="121"/>
      <c r="E231" s="53">
        <f t="shared" si="54"/>
        <v>0</v>
      </c>
      <c r="F231" s="53"/>
      <c r="G231" s="53">
        <v>0</v>
      </c>
      <c r="H231" s="53"/>
      <c r="I231" s="53">
        <v>0</v>
      </c>
      <c r="J231" s="53"/>
      <c r="K231" s="53">
        <f t="shared" si="49"/>
        <v>0</v>
      </c>
      <c r="L231" s="53"/>
      <c r="M231" s="53">
        <v>0</v>
      </c>
      <c r="N231" s="53"/>
      <c r="O231" s="53">
        <v>0</v>
      </c>
      <c r="P231" s="53"/>
      <c r="Q231" s="53">
        <v>0</v>
      </c>
      <c r="R231" s="53"/>
      <c r="S231" s="53">
        <v>0</v>
      </c>
      <c r="T231" s="53"/>
      <c r="U231" s="53">
        <v>0</v>
      </c>
      <c r="V231" s="53"/>
      <c r="W231" s="53">
        <f t="shared" si="59"/>
        <v>0</v>
      </c>
      <c r="X231" s="137"/>
      <c r="Y231" s="126" t="s">
        <v>265</v>
      </c>
      <c r="AA231" s="121" t="s">
        <v>27</v>
      </c>
      <c r="AB231" s="121"/>
      <c r="AC231" s="53">
        <v>0</v>
      </c>
      <c r="AD231" s="53"/>
      <c r="AE231" s="53">
        <v>0</v>
      </c>
      <c r="AF231" s="53"/>
      <c r="AG231" s="53">
        <v>0</v>
      </c>
      <c r="AH231" s="53"/>
      <c r="AI231" s="45">
        <f t="shared" si="51"/>
        <v>0</v>
      </c>
      <c r="AJ231" s="45"/>
      <c r="AK231" s="53">
        <v>0</v>
      </c>
      <c r="AL231" s="45"/>
      <c r="AM231" s="53">
        <v>0</v>
      </c>
      <c r="AN231" s="53"/>
      <c r="AO231" s="53">
        <v>0</v>
      </c>
      <c r="AP231" s="53"/>
      <c r="AQ231" s="53">
        <v>0</v>
      </c>
      <c r="AR231" s="53"/>
      <c r="AS231" s="45">
        <f t="shared" si="55"/>
        <v>0</v>
      </c>
      <c r="AT231" s="45"/>
      <c r="AU231" s="53">
        <v>0</v>
      </c>
      <c r="AV231" s="53"/>
      <c r="AW231" s="53">
        <v>0</v>
      </c>
      <c r="AX231" s="53"/>
      <c r="AY231" s="53">
        <f t="shared" si="56"/>
        <v>0</v>
      </c>
      <c r="AZ231" s="53"/>
      <c r="BA231" s="126" t="s">
        <v>265</v>
      </c>
      <c r="BC231" s="121" t="s">
        <v>27</v>
      </c>
      <c r="BD231" s="137"/>
      <c r="BE231" s="53">
        <v>0</v>
      </c>
      <c r="BF231" s="53"/>
      <c r="BG231" s="53">
        <v>0</v>
      </c>
      <c r="BH231" s="53"/>
      <c r="BI231" s="53">
        <v>0</v>
      </c>
      <c r="BJ231" s="53"/>
      <c r="BK231" s="53">
        <v>0</v>
      </c>
      <c r="BL231" s="137"/>
      <c r="BM231" s="137">
        <f t="shared" si="58"/>
        <v>0</v>
      </c>
      <c r="BN231" s="139" t="s">
        <v>347</v>
      </c>
      <c r="BR231" s="124"/>
      <c r="BS231" s="137"/>
      <c r="BT231" s="137"/>
      <c r="BU231" s="137"/>
      <c r="BV231" s="137"/>
      <c r="BW231" s="137"/>
      <c r="BX231" s="127"/>
      <c r="BY231" s="127"/>
      <c r="BZ231" s="137"/>
      <c r="CA231" s="137"/>
      <c r="CB231" s="137"/>
      <c r="CC231" s="137"/>
      <c r="CD231" s="137"/>
      <c r="CE231" s="137"/>
      <c r="CF231" s="126"/>
      <c r="CH231" s="126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9"/>
    </row>
    <row r="232" spans="1:97" s="55" customFormat="1" ht="12.75" customHeight="1">
      <c r="A232" s="35" t="s">
        <v>40</v>
      </c>
      <c r="B232" s="51"/>
      <c r="C232" s="47" t="s">
        <v>451</v>
      </c>
      <c r="D232" s="44"/>
      <c r="E232" s="53">
        <f t="shared" si="54"/>
        <v>784527</v>
      </c>
      <c r="F232" s="53"/>
      <c r="G232" s="53">
        <v>20646904</v>
      </c>
      <c r="H232" s="53"/>
      <c r="I232" s="53">
        <v>21431431</v>
      </c>
      <c r="J232" s="53"/>
      <c r="K232" s="53">
        <f t="shared" si="49"/>
        <v>925599</v>
      </c>
      <c r="L232" s="53"/>
      <c r="M232" s="53">
        <v>4100126</v>
      </c>
      <c r="N232" s="53"/>
      <c r="O232" s="53">
        <v>5025725</v>
      </c>
      <c r="P232" s="53"/>
      <c r="Q232" s="53">
        <v>16212405</v>
      </c>
      <c r="R232" s="53"/>
      <c r="S232" s="53">
        <v>0</v>
      </c>
      <c r="T232" s="53"/>
      <c r="U232" s="53">
        <v>193301</v>
      </c>
      <c r="V232" s="53"/>
      <c r="W232" s="53">
        <f t="shared" si="59"/>
        <v>16405706</v>
      </c>
      <c r="X232" s="53"/>
      <c r="Y232" s="35" t="s">
        <v>40</v>
      </c>
      <c r="AA232" s="47" t="s">
        <v>451</v>
      </c>
      <c r="AB232" s="35"/>
      <c r="AC232" s="53">
        <v>2652079</v>
      </c>
      <c r="AD232" s="53"/>
      <c r="AE232" s="53">
        <f>2650801-462697</f>
        <v>2188104</v>
      </c>
      <c r="AF232" s="53"/>
      <c r="AG232" s="53">
        <v>462697</v>
      </c>
      <c r="AH232" s="53"/>
      <c r="AI232" s="45">
        <f t="shared" si="51"/>
        <v>1278</v>
      </c>
      <c r="AJ232" s="45"/>
      <c r="AK232" s="53">
        <v>278374</v>
      </c>
      <c r="AL232" s="45"/>
      <c r="AM232" s="53">
        <v>0</v>
      </c>
      <c r="AN232" s="53"/>
      <c r="AO232" s="53">
        <v>0</v>
      </c>
      <c r="AP232" s="53"/>
      <c r="AQ232" s="53">
        <v>0</v>
      </c>
      <c r="AR232" s="53"/>
      <c r="AS232" s="45">
        <f t="shared" si="55"/>
        <v>279652</v>
      </c>
      <c r="AT232" s="45"/>
      <c r="AU232" s="53">
        <v>0</v>
      </c>
      <c r="AV232" s="53"/>
      <c r="AW232" s="53">
        <v>0</v>
      </c>
      <c r="AX232" s="53"/>
      <c r="AY232" s="53">
        <f t="shared" si="56"/>
        <v>-141072</v>
      </c>
      <c r="AZ232" s="53"/>
      <c r="BA232" s="35" t="s">
        <v>40</v>
      </c>
      <c r="BC232" s="47" t="s">
        <v>451</v>
      </c>
      <c r="BD232" s="53"/>
      <c r="BE232" s="53">
        <v>0</v>
      </c>
      <c r="BF232" s="53"/>
      <c r="BG232" s="53">
        <v>0</v>
      </c>
      <c r="BH232" s="53"/>
      <c r="BI232" s="53">
        <f>4004719+336835</f>
        <v>4341554</v>
      </c>
      <c r="BJ232" s="53"/>
      <c r="BK232" s="53">
        <f>47779+47628+30861+45317</f>
        <v>171585</v>
      </c>
      <c r="BL232" s="53"/>
      <c r="BM232" s="53">
        <f t="shared" si="58"/>
        <v>4513139</v>
      </c>
      <c r="BN232" s="54" t="s">
        <v>347</v>
      </c>
      <c r="BR232" s="51"/>
      <c r="BS232" s="53"/>
      <c r="BT232" s="53"/>
      <c r="BU232" s="53"/>
      <c r="BV232" s="53"/>
      <c r="BW232" s="53"/>
      <c r="BX232" s="45"/>
      <c r="BY232" s="45"/>
      <c r="BZ232" s="53"/>
      <c r="CA232" s="53"/>
      <c r="CB232" s="53"/>
      <c r="CC232" s="53"/>
      <c r="CD232" s="53"/>
      <c r="CE232" s="53"/>
      <c r="CF232" s="35"/>
      <c r="CH232" s="44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4"/>
    </row>
    <row r="233" spans="1:97" s="55" customFormat="1" ht="12.75" customHeight="1">
      <c r="A233" s="35" t="s">
        <v>266</v>
      </c>
      <c r="B233" s="51"/>
      <c r="C233" s="35" t="s">
        <v>267</v>
      </c>
      <c r="D233" s="44"/>
      <c r="E233" s="53">
        <f t="shared" si="54"/>
        <v>2521961</v>
      </c>
      <c r="F233" s="53"/>
      <c r="G233" s="53">
        <v>7510950</v>
      </c>
      <c r="H233" s="53"/>
      <c r="I233" s="53">
        <v>10032911</v>
      </c>
      <c r="J233" s="53"/>
      <c r="K233" s="53">
        <f t="shared" si="49"/>
        <v>1970968</v>
      </c>
      <c r="L233" s="53"/>
      <c r="M233" s="53">
        <v>283455</v>
      </c>
      <c r="N233" s="53"/>
      <c r="O233" s="53">
        <v>2254423</v>
      </c>
      <c r="P233" s="53"/>
      <c r="Q233" s="53">
        <v>5344269</v>
      </c>
      <c r="R233" s="53"/>
      <c r="S233" s="53">
        <v>0</v>
      </c>
      <c r="T233" s="53"/>
      <c r="U233" s="53">
        <v>2434219</v>
      </c>
      <c r="V233" s="53"/>
      <c r="W233" s="53">
        <f t="shared" si="59"/>
        <v>7778488</v>
      </c>
      <c r="X233" s="53"/>
      <c r="Y233" s="35" t="s">
        <v>266</v>
      </c>
      <c r="AA233" s="35" t="s">
        <v>267</v>
      </c>
      <c r="AB233" s="35"/>
      <c r="AC233" s="53">
        <v>1112554</v>
      </c>
      <c r="AD233" s="53"/>
      <c r="AE233" s="53">
        <f>981356-242577</f>
        <v>738779</v>
      </c>
      <c r="AF233" s="53"/>
      <c r="AG233" s="53">
        <v>242577</v>
      </c>
      <c r="AH233" s="53"/>
      <c r="AI233" s="45">
        <f t="shared" si="51"/>
        <v>131198</v>
      </c>
      <c r="AJ233" s="45"/>
      <c r="AK233" s="53">
        <v>8211</v>
      </c>
      <c r="AL233" s="45"/>
      <c r="AM233" s="53">
        <v>0</v>
      </c>
      <c r="AN233" s="53"/>
      <c r="AO233" s="53">
        <v>0</v>
      </c>
      <c r="AP233" s="53"/>
      <c r="AQ233" s="53">
        <v>57881</v>
      </c>
      <c r="AR233" s="53"/>
      <c r="AS233" s="45">
        <f t="shared" si="55"/>
        <v>197290</v>
      </c>
      <c r="AT233" s="45"/>
      <c r="AU233" s="53">
        <v>0</v>
      </c>
      <c r="AV233" s="53"/>
      <c r="AW233" s="53">
        <v>0</v>
      </c>
      <c r="AX233" s="53"/>
      <c r="AY233" s="53">
        <f t="shared" si="56"/>
        <v>550993</v>
      </c>
      <c r="AZ233" s="53"/>
      <c r="BA233" s="35" t="s">
        <v>266</v>
      </c>
      <c r="BC233" s="35" t="s">
        <v>267</v>
      </c>
      <c r="BD233" s="53"/>
      <c r="BE233" s="53">
        <v>0</v>
      </c>
      <c r="BF233" s="53"/>
      <c r="BG233" s="53">
        <v>0</v>
      </c>
      <c r="BH233" s="53"/>
      <c r="BI233" s="53">
        <v>2065455</v>
      </c>
      <c r="BJ233" s="53"/>
      <c r="BK233" s="53">
        <f>18000+12296</f>
        <v>30296</v>
      </c>
      <c r="BL233" s="53"/>
      <c r="BM233" s="53">
        <f t="shared" si="58"/>
        <v>2095751</v>
      </c>
      <c r="BN233" s="54" t="s">
        <v>347</v>
      </c>
      <c r="BO233" s="55" t="s">
        <v>404</v>
      </c>
      <c r="BR233" s="51"/>
      <c r="BS233" s="53"/>
      <c r="BT233" s="53"/>
      <c r="BU233" s="53"/>
      <c r="BV233" s="53"/>
      <c r="BW233" s="53"/>
      <c r="BX233" s="45"/>
      <c r="BY233" s="45"/>
      <c r="BZ233" s="53"/>
      <c r="CA233" s="53"/>
      <c r="CB233" s="53"/>
      <c r="CC233" s="53"/>
      <c r="CD233" s="53"/>
      <c r="CE233" s="53"/>
      <c r="CF233" s="35"/>
      <c r="CH233" s="35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4"/>
    </row>
    <row r="234" spans="1:97" s="55" customFormat="1" ht="12.75" customHeight="1">
      <c r="A234" s="35"/>
      <c r="C234" s="35"/>
      <c r="D234" s="44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 t="s">
        <v>484</v>
      </c>
      <c r="X234" s="53"/>
      <c r="Y234" s="35"/>
      <c r="AA234" s="35"/>
      <c r="AB234" s="35"/>
      <c r="AC234" s="53"/>
      <c r="AD234" s="53"/>
      <c r="AE234" s="53"/>
      <c r="AF234" s="53"/>
      <c r="AG234" s="53"/>
      <c r="AH234" s="53"/>
      <c r="AI234" s="45"/>
      <c r="AJ234" s="45"/>
      <c r="AK234" s="53"/>
      <c r="AL234" s="45"/>
      <c r="AM234" s="53"/>
      <c r="AN234" s="53"/>
      <c r="AO234" s="53"/>
      <c r="AP234" s="53"/>
      <c r="AQ234" s="53"/>
      <c r="AR234" s="53"/>
      <c r="AS234" s="45"/>
      <c r="AT234" s="45"/>
      <c r="AU234" s="53"/>
      <c r="AV234" s="53"/>
      <c r="AW234" s="53"/>
      <c r="AX234" s="53"/>
      <c r="AY234" s="53" t="s">
        <v>484</v>
      </c>
      <c r="AZ234" s="53"/>
      <c r="BA234" s="35"/>
      <c r="BC234" s="35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 t="s">
        <v>484</v>
      </c>
      <c r="BN234" s="54"/>
      <c r="BR234" s="51"/>
      <c r="BS234" s="53"/>
      <c r="BT234" s="53"/>
      <c r="BU234" s="53"/>
      <c r="BV234" s="53"/>
      <c r="BW234" s="53"/>
      <c r="BX234" s="45"/>
      <c r="BY234" s="45"/>
      <c r="BZ234" s="53"/>
      <c r="CA234" s="53"/>
      <c r="CB234" s="53"/>
      <c r="CC234" s="53"/>
      <c r="CD234" s="53"/>
      <c r="CE234" s="53"/>
      <c r="CF234" s="35"/>
      <c r="CH234" s="35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4"/>
    </row>
    <row r="235" spans="1:97" s="90" customFormat="1" ht="12.75" customHeight="1">
      <c r="A235" s="64" t="s">
        <v>268</v>
      </c>
      <c r="B235" s="66"/>
      <c r="C235" s="64" t="s">
        <v>269</v>
      </c>
      <c r="D235" s="46"/>
      <c r="E235" s="79">
        <f t="shared" si="54"/>
        <v>205377</v>
      </c>
      <c r="F235" s="79"/>
      <c r="G235" s="79">
        <v>4380690</v>
      </c>
      <c r="H235" s="79"/>
      <c r="I235" s="79">
        <v>4586067</v>
      </c>
      <c r="J235" s="79"/>
      <c r="K235" s="79">
        <f t="shared" si="49"/>
        <v>252273</v>
      </c>
      <c r="L235" s="79"/>
      <c r="M235" s="79">
        <v>2923542</v>
      </c>
      <c r="N235" s="79"/>
      <c r="O235" s="79">
        <v>3175815</v>
      </c>
      <c r="P235" s="79"/>
      <c r="Q235" s="79">
        <v>1238495</v>
      </c>
      <c r="R235" s="79"/>
      <c r="S235" s="79">
        <v>0</v>
      </c>
      <c r="T235" s="79"/>
      <c r="U235" s="79">
        <v>171757</v>
      </c>
      <c r="V235" s="79"/>
      <c r="W235" s="79">
        <f t="shared" si="59"/>
        <v>1410252</v>
      </c>
      <c r="X235" s="79"/>
      <c r="Y235" s="64" t="s">
        <v>268</v>
      </c>
      <c r="AA235" s="64" t="s">
        <v>269</v>
      </c>
      <c r="AB235" s="64"/>
      <c r="AC235" s="79">
        <v>771727</v>
      </c>
      <c r="AD235" s="79"/>
      <c r="AE235" s="79">
        <f>651291-129291</f>
        <v>522000</v>
      </c>
      <c r="AF235" s="79"/>
      <c r="AG235" s="79">
        <v>129291</v>
      </c>
      <c r="AH235" s="79"/>
      <c r="AI235" s="94">
        <f t="shared" si="51"/>
        <v>120436</v>
      </c>
      <c r="AJ235" s="94"/>
      <c r="AK235" s="79">
        <v>-80225</v>
      </c>
      <c r="AL235" s="94"/>
      <c r="AM235" s="79">
        <v>125000</v>
      </c>
      <c r="AN235" s="79"/>
      <c r="AO235" s="79">
        <v>0</v>
      </c>
      <c r="AP235" s="79"/>
      <c r="AQ235" s="79">
        <v>0</v>
      </c>
      <c r="AR235" s="79"/>
      <c r="AS235" s="94">
        <f t="shared" si="55"/>
        <v>165211</v>
      </c>
      <c r="AT235" s="94"/>
      <c r="AU235" s="79">
        <v>0</v>
      </c>
      <c r="AV235" s="79"/>
      <c r="AW235" s="79">
        <v>0</v>
      </c>
      <c r="AX235" s="79"/>
      <c r="AY235" s="79">
        <f t="shared" si="56"/>
        <v>-46896</v>
      </c>
      <c r="AZ235" s="79"/>
      <c r="BA235" s="64" t="s">
        <v>268</v>
      </c>
      <c r="BC235" s="64" t="s">
        <v>269</v>
      </c>
      <c r="BD235" s="79"/>
      <c r="BE235" s="79">
        <v>0</v>
      </c>
      <c r="BF235" s="79"/>
      <c r="BG235" s="79">
        <v>0</v>
      </c>
      <c r="BH235" s="79"/>
      <c r="BI235" s="79">
        <f>13474+2898584+963+91776</f>
        <v>3004797</v>
      </c>
      <c r="BJ235" s="79"/>
      <c r="BK235" s="79">
        <v>11484</v>
      </c>
      <c r="BL235" s="79"/>
      <c r="BM235" s="79">
        <f t="shared" si="58"/>
        <v>3016281</v>
      </c>
      <c r="BN235" s="91" t="s">
        <v>347</v>
      </c>
      <c r="BR235" s="66"/>
      <c r="BS235" s="79"/>
      <c r="BT235" s="79"/>
      <c r="BU235" s="79"/>
      <c r="BV235" s="79"/>
      <c r="BW235" s="79"/>
      <c r="BX235" s="94"/>
      <c r="BY235" s="94"/>
      <c r="BZ235" s="79"/>
      <c r="CA235" s="79"/>
      <c r="CB235" s="79"/>
      <c r="CC235" s="79"/>
      <c r="CD235" s="79"/>
      <c r="CE235" s="79"/>
      <c r="CF235" s="64"/>
      <c r="CH235" s="64"/>
      <c r="CI235" s="79"/>
      <c r="CJ235" s="79"/>
      <c r="CK235" s="79"/>
      <c r="CL235" s="79"/>
      <c r="CM235" s="79"/>
      <c r="CN235" s="79"/>
      <c r="CO235" s="79"/>
      <c r="CP235" s="79"/>
      <c r="CQ235" s="79"/>
      <c r="CR235" s="79"/>
      <c r="CS235" s="91"/>
    </row>
    <row r="236" spans="1:97" s="55" customFormat="1" ht="12.75" customHeight="1">
      <c r="A236" s="35" t="s">
        <v>270</v>
      </c>
      <c r="B236" s="51"/>
      <c r="C236" s="35" t="s">
        <v>136</v>
      </c>
      <c r="D236" s="44"/>
      <c r="E236" s="53">
        <f t="shared" si="54"/>
        <v>437871</v>
      </c>
      <c r="F236" s="53"/>
      <c r="G236" s="53">
        <v>7084366</v>
      </c>
      <c r="H236" s="53"/>
      <c r="I236" s="53">
        <v>7522237</v>
      </c>
      <c r="J236" s="53"/>
      <c r="K236" s="53">
        <f t="shared" si="49"/>
        <v>380315</v>
      </c>
      <c r="L236" s="53"/>
      <c r="M236" s="53">
        <v>3006278</v>
      </c>
      <c r="N236" s="53"/>
      <c r="O236" s="53">
        <v>3386593</v>
      </c>
      <c r="P236" s="53"/>
      <c r="Q236" s="53">
        <v>3891053</v>
      </c>
      <c r="R236" s="53"/>
      <c r="S236" s="53">
        <v>0</v>
      </c>
      <c r="T236" s="53"/>
      <c r="U236" s="53">
        <v>244591</v>
      </c>
      <c r="V236" s="53"/>
      <c r="W236" s="53">
        <f t="shared" si="59"/>
        <v>4135644</v>
      </c>
      <c r="X236" s="53"/>
      <c r="Y236" s="35" t="s">
        <v>270</v>
      </c>
      <c r="AA236" s="35" t="s">
        <v>136</v>
      </c>
      <c r="AB236" s="35"/>
      <c r="AC236" s="53">
        <v>1262705</v>
      </c>
      <c r="AD236" s="53"/>
      <c r="AE236" s="53">
        <f>982595-264831</f>
        <v>717764</v>
      </c>
      <c r="AF236" s="53"/>
      <c r="AG236" s="53">
        <v>264831</v>
      </c>
      <c r="AH236" s="53"/>
      <c r="AI236" s="45">
        <f t="shared" si="51"/>
        <v>280110</v>
      </c>
      <c r="AJ236" s="45"/>
      <c r="AK236" s="53">
        <v>-133725</v>
      </c>
      <c r="AL236" s="45"/>
      <c r="AM236" s="53">
        <v>0</v>
      </c>
      <c r="AN236" s="53"/>
      <c r="AO236" s="53">
        <v>0</v>
      </c>
      <c r="AP236" s="53"/>
      <c r="AQ236" s="53">
        <v>0</v>
      </c>
      <c r="AR236" s="53"/>
      <c r="AS236" s="45">
        <f t="shared" si="55"/>
        <v>146385</v>
      </c>
      <c r="AT236" s="45"/>
      <c r="AU236" s="53">
        <v>0</v>
      </c>
      <c r="AV236" s="53"/>
      <c r="AW236" s="53">
        <v>0</v>
      </c>
      <c r="AX236" s="53"/>
      <c r="AY236" s="53">
        <f t="shared" si="56"/>
        <v>57556</v>
      </c>
      <c r="AZ236" s="53"/>
      <c r="BA236" s="35" t="s">
        <v>270</v>
      </c>
      <c r="BC236" s="35" t="s">
        <v>136</v>
      </c>
      <c r="BD236" s="53"/>
      <c r="BE236" s="53">
        <v>0</v>
      </c>
      <c r="BF236" s="53"/>
      <c r="BG236" s="53">
        <f>2167000+53000</f>
        <v>2220000</v>
      </c>
      <c r="BH236" s="53"/>
      <c r="BI236" s="53">
        <f>28804+810474+4548+159487</f>
        <v>1003313</v>
      </c>
      <c r="BJ236" s="53"/>
      <c r="BK236" s="53">
        <v>0</v>
      </c>
      <c r="BL236" s="53"/>
      <c r="BM236" s="53">
        <f>SUM(BE236:BK236)</f>
        <v>3223313</v>
      </c>
      <c r="BN236" s="54" t="s">
        <v>347</v>
      </c>
      <c r="BR236" s="51"/>
      <c r="BS236" s="53"/>
      <c r="BT236" s="53"/>
      <c r="BU236" s="53"/>
      <c r="BV236" s="53"/>
      <c r="BW236" s="53"/>
      <c r="BX236" s="45"/>
      <c r="BY236" s="45"/>
      <c r="BZ236" s="53"/>
      <c r="CA236" s="53"/>
      <c r="CB236" s="53"/>
      <c r="CC236" s="53"/>
      <c r="CD236" s="53"/>
      <c r="CE236" s="53"/>
      <c r="CF236" s="35"/>
      <c r="CH236" s="35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4"/>
    </row>
    <row r="237" spans="1:97" s="55" customFormat="1" ht="12.75" customHeight="1">
      <c r="A237" s="35" t="s">
        <v>271</v>
      </c>
      <c r="B237" s="51"/>
      <c r="C237" s="35" t="s">
        <v>66</v>
      </c>
      <c r="D237" s="44"/>
      <c r="E237" s="53">
        <f t="shared" si="54"/>
        <v>1390862</v>
      </c>
      <c r="F237" s="53"/>
      <c r="G237" s="53">
        <f>24000+497334</f>
        <v>521334</v>
      </c>
      <c r="H237" s="53"/>
      <c r="I237" s="53">
        <v>1912196</v>
      </c>
      <c r="J237" s="53"/>
      <c r="K237" s="53">
        <f t="shared" si="49"/>
        <v>44274</v>
      </c>
      <c r="L237" s="53"/>
      <c r="M237" s="53">
        <f>14037+209656</f>
        <v>223693</v>
      </c>
      <c r="N237" s="53"/>
      <c r="O237" s="53">
        <v>267967</v>
      </c>
      <c r="P237" s="53"/>
      <c r="Q237" s="53">
        <v>306302</v>
      </c>
      <c r="R237" s="53"/>
      <c r="S237" s="53">
        <v>0</v>
      </c>
      <c r="T237" s="53"/>
      <c r="U237" s="53">
        <v>1337927</v>
      </c>
      <c r="V237" s="53"/>
      <c r="W237" s="53">
        <f t="shared" si="59"/>
        <v>1644229</v>
      </c>
      <c r="X237" s="53"/>
      <c r="Y237" s="35" t="s">
        <v>271</v>
      </c>
      <c r="AA237" s="35" t="s">
        <v>66</v>
      </c>
      <c r="AB237" s="35"/>
      <c r="AC237" s="53">
        <v>1419490</v>
      </c>
      <c r="AD237" s="53"/>
      <c r="AE237" s="53">
        <f>1262851-59066</f>
        <v>1203785</v>
      </c>
      <c r="AF237" s="53"/>
      <c r="AG237" s="53">
        <v>59066</v>
      </c>
      <c r="AH237" s="53"/>
      <c r="AI237" s="45">
        <f t="shared" si="51"/>
        <v>156639</v>
      </c>
      <c r="AJ237" s="45"/>
      <c r="AK237" s="53">
        <v>10827</v>
      </c>
      <c r="AL237" s="45"/>
      <c r="AM237" s="53">
        <v>0</v>
      </c>
      <c r="AN237" s="53"/>
      <c r="AO237" s="53">
        <v>0</v>
      </c>
      <c r="AP237" s="53"/>
      <c r="AQ237" s="53">
        <v>0</v>
      </c>
      <c r="AR237" s="53"/>
      <c r="AS237" s="45">
        <f t="shared" si="55"/>
        <v>167466</v>
      </c>
      <c r="AT237" s="45"/>
      <c r="AU237" s="53">
        <v>0</v>
      </c>
      <c r="AV237" s="53"/>
      <c r="AW237" s="53">
        <v>0</v>
      </c>
      <c r="AX237" s="53"/>
      <c r="AY237" s="53">
        <f t="shared" si="56"/>
        <v>1346588</v>
      </c>
      <c r="AZ237" s="53"/>
      <c r="BA237" s="35" t="s">
        <v>271</v>
      </c>
      <c r="BC237" s="35" t="s">
        <v>66</v>
      </c>
      <c r="BD237" s="53"/>
      <c r="BE237" s="53">
        <v>0</v>
      </c>
      <c r="BF237" s="53"/>
      <c r="BG237" s="53">
        <v>0</v>
      </c>
      <c r="BH237" s="53"/>
      <c r="BI237" s="53">
        <f>209656+5376</f>
        <v>215032</v>
      </c>
      <c r="BJ237" s="53"/>
      <c r="BK237" s="53">
        <f>14037+1886</f>
        <v>15923</v>
      </c>
      <c r="BL237" s="53"/>
      <c r="BM237" s="53">
        <f t="shared" si="58"/>
        <v>230955</v>
      </c>
      <c r="BN237" s="54" t="s">
        <v>347</v>
      </c>
      <c r="BO237" s="55" t="s">
        <v>405</v>
      </c>
      <c r="BR237" s="51"/>
      <c r="BS237" s="53"/>
      <c r="BT237" s="53"/>
      <c r="BU237" s="53"/>
      <c r="BV237" s="53"/>
      <c r="BW237" s="53"/>
      <c r="BX237" s="45"/>
      <c r="BY237" s="45"/>
      <c r="BZ237" s="53"/>
      <c r="CA237" s="53"/>
      <c r="CB237" s="53"/>
      <c r="CC237" s="53"/>
      <c r="CD237" s="53"/>
      <c r="CE237" s="53"/>
      <c r="CF237" s="35"/>
      <c r="CH237" s="35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4"/>
    </row>
    <row r="238" spans="1:97" s="55" customFormat="1" ht="12.75" customHeight="1">
      <c r="A238" s="64" t="s">
        <v>272</v>
      </c>
      <c r="B238" s="90"/>
      <c r="C238" s="64" t="s">
        <v>43</v>
      </c>
      <c r="D238" s="46"/>
      <c r="E238" s="53">
        <f t="shared" si="54"/>
        <v>6023904</v>
      </c>
      <c r="F238" s="53"/>
      <c r="G238" s="53">
        <v>14419399</v>
      </c>
      <c r="H238" s="53"/>
      <c r="I238" s="53">
        <v>20443303</v>
      </c>
      <c r="J238" s="53"/>
      <c r="K238" s="53">
        <f t="shared" si="49"/>
        <v>-10110361</v>
      </c>
      <c r="L238" s="53"/>
      <c r="M238" s="53">
        <v>12748994</v>
      </c>
      <c r="N238" s="53"/>
      <c r="O238" s="53">
        <v>2638633</v>
      </c>
      <c r="P238" s="53"/>
      <c r="Q238" s="53">
        <v>13147480</v>
      </c>
      <c r="R238" s="53"/>
      <c r="S238" s="53">
        <v>0</v>
      </c>
      <c r="T238" s="53"/>
      <c r="U238" s="53">
        <v>4657190</v>
      </c>
      <c r="V238" s="53"/>
      <c r="W238" s="53">
        <f t="shared" si="59"/>
        <v>17804670</v>
      </c>
      <c r="X238" s="79"/>
      <c r="Y238" s="64" t="s">
        <v>272</v>
      </c>
      <c r="Z238" s="90"/>
      <c r="AA238" s="64" t="s">
        <v>43</v>
      </c>
      <c r="AB238" s="64"/>
      <c r="AC238" s="53">
        <v>7339910</v>
      </c>
      <c r="AD238" s="53"/>
      <c r="AE238" s="53">
        <f>7400664-438221</f>
        <v>6962443</v>
      </c>
      <c r="AF238" s="53"/>
      <c r="AG238" s="53">
        <v>438221</v>
      </c>
      <c r="AH238" s="53"/>
      <c r="AI238" s="45">
        <f t="shared" si="51"/>
        <v>-60754</v>
      </c>
      <c r="AJ238" s="45"/>
      <c r="AK238" s="53">
        <f>-41448+214300</f>
        <v>172852</v>
      </c>
      <c r="AL238" s="45"/>
      <c r="AM238" s="53">
        <v>0</v>
      </c>
      <c r="AN238" s="53"/>
      <c r="AO238" s="53">
        <v>0</v>
      </c>
      <c r="AP238" s="53"/>
      <c r="AQ238" s="53">
        <v>11145</v>
      </c>
      <c r="AR238" s="53"/>
      <c r="AS238" s="45">
        <f t="shared" si="55"/>
        <v>123243</v>
      </c>
      <c r="AT238" s="45"/>
      <c r="AU238" s="53">
        <v>0</v>
      </c>
      <c r="AV238" s="53"/>
      <c r="AW238" s="53">
        <v>0</v>
      </c>
      <c r="AX238" s="53"/>
      <c r="AY238" s="53">
        <f t="shared" si="56"/>
        <v>16134265</v>
      </c>
      <c r="AZ238" s="53"/>
      <c r="BA238" s="64" t="s">
        <v>272</v>
      </c>
      <c r="BB238" s="90"/>
      <c r="BC238" s="64" t="s">
        <v>43</v>
      </c>
      <c r="BD238" s="79"/>
      <c r="BE238" s="53">
        <f>1219604+52315</f>
        <v>1271919</v>
      </c>
      <c r="BF238" s="53"/>
      <c r="BG238" s="53">
        <v>0</v>
      </c>
      <c r="BH238" s="53"/>
      <c r="BI238" s="53">
        <v>0</v>
      </c>
      <c r="BJ238" s="53"/>
      <c r="BK238" s="53">
        <f>29390+33272</f>
        <v>62662</v>
      </c>
      <c r="BL238" s="53"/>
      <c r="BM238" s="53">
        <f t="shared" si="58"/>
        <v>1334581</v>
      </c>
      <c r="BN238" s="54" t="s">
        <v>347</v>
      </c>
      <c r="BR238" s="51"/>
      <c r="BS238" s="53"/>
      <c r="BT238" s="53"/>
      <c r="BU238" s="53"/>
      <c r="BV238" s="53"/>
      <c r="BW238" s="53"/>
      <c r="BX238" s="45"/>
      <c r="BY238" s="45"/>
      <c r="BZ238" s="53"/>
      <c r="CA238" s="53"/>
      <c r="CB238" s="53"/>
      <c r="CC238" s="53"/>
      <c r="CD238" s="53"/>
      <c r="CE238" s="53"/>
      <c r="CF238" s="35"/>
      <c r="CH238" s="35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4"/>
    </row>
    <row r="239" spans="1:97" s="55" customFormat="1" ht="12.75" customHeight="1">
      <c r="A239" s="35" t="s">
        <v>273</v>
      </c>
      <c r="B239" s="51"/>
      <c r="C239" s="35" t="s">
        <v>27</v>
      </c>
      <c r="D239" s="44"/>
      <c r="E239" s="53">
        <f t="shared" si="54"/>
        <v>7379932</v>
      </c>
      <c r="F239" s="53"/>
      <c r="G239" s="53">
        <v>38805460</v>
      </c>
      <c r="H239" s="53"/>
      <c r="I239" s="53">
        <v>46185392</v>
      </c>
      <c r="J239" s="53"/>
      <c r="K239" s="53">
        <f t="shared" si="49"/>
        <v>327791</v>
      </c>
      <c r="L239" s="53"/>
      <c r="M239" s="53">
        <v>0</v>
      </c>
      <c r="N239" s="53"/>
      <c r="O239" s="53">
        <v>327791</v>
      </c>
      <c r="P239" s="53"/>
      <c r="Q239" s="53">
        <v>29104615</v>
      </c>
      <c r="R239" s="53"/>
      <c r="S239" s="53">
        <v>0</v>
      </c>
      <c r="T239" s="53"/>
      <c r="U239" s="53">
        <v>16752986</v>
      </c>
      <c r="V239" s="53"/>
      <c r="W239" s="53">
        <f t="shared" si="59"/>
        <v>45857601</v>
      </c>
      <c r="X239" s="53"/>
      <c r="Y239" s="35" t="s">
        <v>273</v>
      </c>
      <c r="AA239" s="35" t="s">
        <v>27</v>
      </c>
      <c r="AB239" s="35"/>
      <c r="AC239" s="53">
        <v>1792605</v>
      </c>
      <c r="AD239" s="53"/>
      <c r="AE239" s="53">
        <f>3299352-1035582</f>
        <v>2263770</v>
      </c>
      <c r="AF239" s="53"/>
      <c r="AG239" s="53">
        <v>1035582</v>
      </c>
      <c r="AH239" s="53"/>
      <c r="AI239" s="45">
        <f t="shared" si="51"/>
        <v>-1506747</v>
      </c>
      <c r="AJ239" s="45"/>
      <c r="AK239" s="53">
        <v>0</v>
      </c>
      <c r="AL239" s="45"/>
      <c r="AM239" s="53">
        <v>0</v>
      </c>
      <c r="AN239" s="53"/>
      <c r="AO239" s="53">
        <v>16661</v>
      </c>
      <c r="AP239" s="53"/>
      <c r="AQ239" s="53">
        <v>0</v>
      </c>
      <c r="AR239" s="53"/>
      <c r="AS239" s="45">
        <f t="shared" si="55"/>
        <v>-1523408</v>
      </c>
      <c r="AT239" s="45"/>
      <c r="AU239" s="53">
        <v>0</v>
      </c>
      <c r="AV239" s="53"/>
      <c r="AW239" s="53">
        <v>0</v>
      </c>
      <c r="AX239" s="53"/>
      <c r="AY239" s="53">
        <f t="shared" si="56"/>
        <v>7052141</v>
      </c>
      <c r="AZ239" s="53"/>
      <c r="BA239" s="35" t="s">
        <v>273</v>
      </c>
      <c r="BC239" s="35" t="s">
        <v>27</v>
      </c>
      <c r="BD239" s="53"/>
      <c r="BE239" s="53">
        <v>0</v>
      </c>
      <c r="BF239" s="53"/>
      <c r="BG239" s="53">
        <v>0</v>
      </c>
      <c r="BH239" s="53"/>
      <c r="BI239" s="53">
        <v>0</v>
      </c>
      <c r="BJ239" s="53"/>
      <c r="BK239" s="53">
        <v>0</v>
      </c>
      <c r="BL239" s="53"/>
      <c r="BM239" s="53">
        <f t="shared" si="58"/>
        <v>0</v>
      </c>
      <c r="BN239" s="54" t="s">
        <v>347</v>
      </c>
      <c r="BR239" s="51"/>
      <c r="BS239" s="53"/>
      <c r="BT239" s="53"/>
      <c r="BU239" s="53"/>
      <c r="BV239" s="53"/>
      <c r="BW239" s="53"/>
      <c r="BX239" s="45"/>
      <c r="BY239" s="45"/>
      <c r="BZ239" s="53"/>
      <c r="CA239" s="53"/>
      <c r="CB239" s="53"/>
      <c r="CC239" s="53"/>
      <c r="CD239" s="53"/>
      <c r="CE239" s="53"/>
      <c r="CF239" s="35"/>
      <c r="CH239" s="35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4"/>
    </row>
    <row r="240" spans="1:97" s="55" customFormat="1" ht="12.75" customHeight="1">
      <c r="A240" s="35" t="s">
        <v>275</v>
      </c>
      <c r="B240" s="51"/>
      <c r="C240" s="35" t="s">
        <v>92</v>
      </c>
      <c r="D240" s="44"/>
      <c r="E240" s="53">
        <f t="shared" si="54"/>
        <v>1411031</v>
      </c>
      <c r="F240" s="53"/>
      <c r="G240" s="53">
        <v>3859762</v>
      </c>
      <c r="H240" s="53"/>
      <c r="I240" s="53">
        <v>5270793</v>
      </c>
      <c r="J240" s="53"/>
      <c r="K240" s="53">
        <f t="shared" si="49"/>
        <v>11599</v>
      </c>
      <c r="L240" s="53"/>
      <c r="M240" s="53">
        <v>0</v>
      </c>
      <c r="N240" s="53"/>
      <c r="O240" s="53">
        <v>11599</v>
      </c>
      <c r="P240" s="53"/>
      <c r="Q240" s="53">
        <v>3859762</v>
      </c>
      <c r="R240" s="53"/>
      <c r="S240" s="53">
        <v>0</v>
      </c>
      <c r="T240" s="53"/>
      <c r="U240" s="53">
        <v>1399432</v>
      </c>
      <c r="V240" s="53"/>
      <c r="W240" s="53">
        <f t="shared" si="59"/>
        <v>5259194</v>
      </c>
      <c r="X240" s="53"/>
      <c r="Y240" s="35" t="s">
        <v>275</v>
      </c>
      <c r="AA240" s="35" t="s">
        <v>92</v>
      </c>
      <c r="AB240" s="35"/>
      <c r="AC240" s="53">
        <v>1455855</v>
      </c>
      <c r="AD240" s="53"/>
      <c r="AE240" s="53">
        <v>1294709</v>
      </c>
      <c r="AF240" s="53"/>
      <c r="AG240" s="53">
        <v>170529</v>
      </c>
      <c r="AH240" s="53"/>
      <c r="AI240" s="45">
        <f t="shared" si="51"/>
        <v>-9383</v>
      </c>
      <c r="AJ240" s="45"/>
      <c r="AK240" s="53">
        <v>0</v>
      </c>
      <c r="AL240" s="45"/>
      <c r="AM240" s="53">
        <v>0</v>
      </c>
      <c r="AN240" s="53"/>
      <c r="AO240" s="53">
        <v>0</v>
      </c>
      <c r="AP240" s="53"/>
      <c r="AQ240" s="53">
        <v>0</v>
      </c>
      <c r="AR240" s="53"/>
      <c r="AS240" s="45">
        <f t="shared" si="55"/>
        <v>-9383</v>
      </c>
      <c r="AT240" s="45"/>
      <c r="AU240" s="53">
        <v>0</v>
      </c>
      <c r="AV240" s="53"/>
      <c r="AW240" s="53">
        <v>0</v>
      </c>
      <c r="AX240" s="53"/>
      <c r="AY240" s="53">
        <f t="shared" si="56"/>
        <v>1399432</v>
      </c>
      <c r="AZ240" s="53"/>
      <c r="BA240" s="35" t="s">
        <v>275</v>
      </c>
      <c r="BC240" s="35" t="s">
        <v>92</v>
      </c>
      <c r="BD240" s="53"/>
      <c r="BE240" s="53">
        <v>0</v>
      </c>
      <c r="BF240" s="53"/>
      <c r="BG240" s="53">
        <v>0</v>
      </c>
      <c r="BH240" s="53"/>
      <c r="BI240" s="53">
        <v>0</v>
      </c>
      <c r="BJ240" s="53"/>
      <c r="BK240" s="53">
        <v>0</v>
      </c>
      <c r="BL240" s="53"/>
      <c r="BM240" s="53">
        <f t="shared" si="58"/>
        <v>0</v>
      </c>
      <c r="BN240" s="54" t="s">
        <v>347</v>
      </c>
      <c r="BO240" s="55" t="s">
        <v>404</v>
      </c>
      <c r="BR240" s="51"/>
      <c r="BS240" s="53"/>
      <c r="BT240" s="53"/>
      <c r="BU240" s="53"/>
      <c r="BV240" s="53"/>
      <c r="BW240" s="53"/>
      <c r="BX240" s="45"/>
      <c r="BY240" s="45"/>
      <c r="BZ240" s="53"/>
      <c r="CA240" s="53"/>
      <c r="CB240" s="53"/>
      <c r="CC240" s="53"/>
      <c r="CD240" s="53"/>
      <c r="CE240" s="53"/>
      <c r="CF240" s="35"/>
      <c r="CH240" s="35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4"/>
    </row>
    <row r="241" spans="1:97" s="55" customFormat="1" ht="12.75" customHeight="1">
      <c r="A241" s="35" t="s">
        <v>276</v>
      </c>
      <c r="B241" s="51"/>
      <c r="C241" s="35" t="s">
        <v>38</v>
      </c>
      <c r="D241" s="44"/>
      <c r="E241" s="53">
        <f t="shared" si="54"/>
        <v>1964794</v>
      </c>
      <c r="F241" s="53"/>
      <c r="G241" s="53">
        <v>5672243</v>
      </c>
      <c r="H241" s="53"/>
      <c r="I241" s="53">
        <v>7637037</v>
      </c>
      <c r="J241" s="53"/>
      <c r="K241" s="53">
        <f t="shared" ref="K241:K251" si="64">O241-M241</f>
        <v>269753</v>
      </c>
      <c r="L241" s="53"/>
      <c r="M241" s="53">
        <v>1149181</v>
      </c>
      <c r="N241" s="53"/>
      <c r="O241" s="53">
        <v>1418934</v>
      </c>
      <c r="P241" s="53"/>
      <c r="Q241" s="53">
        <v>4522054</v>
      </c>
      <c r="R241" s="53"/>
      <c r="S241" s="53">
        <v>0</v>
      </c>
      <c r="T241" s="53"/>
      <c r="U241" s="53">
        <v>1696049</v>
      </c>
      <c r="V241" s="53"/>
      <c r="W241" s="53">
        <f t="shared" si="59"/>
        <v>6218103</v>
      </c>
      <c r="X241" s="53"/>
      <c r="Y241" s="35" t="s">
        <v>276</v>
      </c>
      <c r="AA241" s="35" t="s">
        <v>38</v>
      </c>
      <c r="AB241" s="35"/>
      <c r="AC241" s="53">
        <v>1659150</v>
      </c>
      <c r="AD241" s="53"/>
      <c r="AE241" s="53">
        <f>1955274-393976</f>
        <v>1561298</v>
      </c>
      <c r="AF241" s="53"/>
      <c r="AG241" s="53">
        <v>393976</v>
      </c>
      <c r="AH241" s="53"/>
      <c r="AI241" s="45">
        <f t="shared" ref="AI241:AI251" si="65">+AC241-AE241-AG241</f>
        <v>-296124</v>
      </c>
      <c r="AJ241" s="45"/>
      <c r="AK241" s="53">
        <v>-14560</v>
      </c>
      <c r="AL241" s="45"/>
      <c r="AM241" s="53">
        <v>0</v>
      </c>
      <c r="AN241" s="53"/>
      <c r="AO241" s="53">
        <v>15861</v>
      </c>
      <c r="AP241" s="53"/>
      <c r="AQ241" s="53">
        <v>76927</v>
      </c>
      <c r="AR241" s="53"/>
      <c r="AS241" s="45">
        <f t="shared" si="55"/>
        <v>-249618</v>
      </c>
      <c r="AT241" s="45"/>
      <c r="AU241" s="53">
        <v>0</v>
      </c>
      <c r="AV241" s="53"/>
      <c r="AW241" s="53">
        <v>0</v>
      </c>
      <c r="AX241" s="53"/>
      <c r="AY241" s="53">
        <f t="shared" si="56"/>
        <v>1695041</v>
      </c>
      <c r="AZ241" s="53"/>
      <c r="BA241" s="35" t="s">
        <v>276</v>
      </c>
      <c r="BC241" s="35" t="s">
        <v>38</v>
      </c>
      <c r="BD241" s="53"/>
      <c r="BE241" s="53">
        <v>0</v>
      </c>
      <c r="BF241" s="53"/>
      <c r="BG241" s="53">
        <v>0</v>
      </c>
      <c r="BH241" s="53"/>
      <c r="BI241" s="53">
        <f>972353+83838+91578+2420</f>
        <v>1150189</v>
      </c>
      <c r="BJ241" s="53"/>
      <c r="BK241" s="53">
        <f>92990+75221</f>
        <v>168211</v>
      </c>
      <c r="BL241" s="53"/>
      <c r="BM241" s="53">
        <f t="shared" si="58"/>
        <v>1318400</v>
      </c>
      <c r="BN241" s="54" t="s">
        <v>347</v>
      </c>
      <c r="BO241" s="55" t="s">
        <v>404</v>
      </c>
      <c r="BR241" s="51"/>
      <c r="BS241" s="53"/>
      <c r="BT241" s="53"/>
      <c r="BU241" s="53"/>
      <c r="BV241" s="53"/>
      <c r="BW241" s="53"/>
      <c r="BX241" s="45"/>
      <c r="BY241" s="45"/>
      <c r="BZ241" s="53"/>
      <c r="CA241" s="53"/>
      <c r="CB241" s="53"/>
      <c r="CC241" s="53"/>
      <c r="CD241" s="53"/>
      <c r="CE241" s="53"/>
      <c r="CF241" s="35"/>
      <c r="CH241" s="35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4"/>
    </row>
    <row r="242" spans="1:97" s="55" customFormat="1" ht="12.75" customHeight="1">
      <c r="A242" s="35" t="s">
        <v>277</v>
      </c>
      <c r="B242" s="51"/>
      <c r="C242" s="35" t="s">
        <v>92</v>
      </c>
      <c r="D242" s="44"/>
      <c r="E242" s="53">
        <f t="shared" ref="E242:E251" si="66">I242-G242</f>
        <v>3342949</v>
      </c>
      <c r="F242" s="53"/>
      <c r="G242" s="53">
        <v>32301320</v>
      </c>
      <c r="H242" s="53"/>
      <c r="I242" s="53">
        <v>35644269</v>
      </c>
      <c r="J242" s="53"/>
      <c r="K242" s="53">
        <f t="shared" si="64"/>
        <v>2922132</v>
      </c>
      <c r="L242" s="53"/>
      <c r="M242" s="53">
        <v>7184008</v>
      </c>
      <c r="N242" s="53"/>
      <c r="O242" s="53">
        <v>10106140</v>
      </c>
      <c r="P242" s="53"/>
      <c r="Q242" s="53">
        <v>22917378</v>
      </c>
      <c r="R242" s="53"/>
      <c r="S242" s="53">
        <v>299521</v>
      </c>
      <c r="T242" s="53"/>
      <c r="U242" s="53">
        <v>2321230</v>
      </c>
      <c r="V242" s="53"/>
      <c r="W242" s="53">
        <f t="shared" si="59"/>
        <v>25538129</v>
      </c>
      <c r="X242" s="53"/>
      <c r="Y242" s="35" t="s">
        <v>277</v>
      </c>
      <c r="AA242" s="35" t="s">
        <v>92</v>
      </c>
      <c r="AB242" s="35"/>
      <c r="AC242" s="53">
        <v>4227428</v>
      </c>
      <c r="AD242" s="53"/>
      <c r="AE242" s="53">
        <f>5015632-1554795</f>
        <v>3460837</v>
      </c>
      <c r="AF242" s="53"/>
      <c r="AG242" s="53">
        <v>1554795</v>
      </c>
      <c r="AH242" s="53"/>
      <c r="AI242" s="45">
        <f t="shared" si="65"/>
        <v>-788204</v>
      </c>
      <c r="AJ242" s="45"/>
      <c r="AK242" s="53">
        <v>-224715</v>
      </c>
      <c r="AL242" s="45"/>
      <c r="AM242" s="53">
        <v>0</v>
      </c>
      <c r="AN242" s="53"/>
      <c r="AO242" s="53">
        <v>0</v>
      </c>
      <c r="AP242" s="53"/>
      <c r="AQ242" s="53">
        <v>966346</v>
      </c>
      <c r="AR242" s="53"/>
      <c r="AS242" s="45">
        <f t="shared" si="55"/>
        <v>-46573</v>
      </c>
      <c r="AT242" s="45"/>
      <c r="AU242" s="53">
        <v>0</v>
      </c>
      <c r="AV242" s="53"/>
      <c r="AW242" s="53">
        <v>0</v>
      </c>
      <c r="AX242" s="53"/>
      <c r="AY242" s="53">
        <f t="shared" si="56"/>
        <v>420817</v>
      </c>
      <c r="AZ242" s="53"/>
      <c r="BA242" s="35" t="s">
        <v>277</v>
      </c>
      <c r="BC242" s="35" t="s">
        <v>92</v>
      </c>
      <c r="BD242" s="53"/>
      <c r="BE242" s="53">
        <f>6695711+534972</f>
        <v>7230683</v>
      </c>
      <c r="BF242" s="53"/>
      <c r="BG242" s="53">
        <v>0</v>
      </c>
      <c r="BH242" s="53"/>
      <c r="BI242" s="53">
        <v>0</v>
      </c>
      <c r="BJ242" s="53"/>
      <c r="BK242" s="53">
        <f>488297+322592</f>
        <v>810889</v>
      </c>
      <c r="BL242" s="53"/>
      <c r="BM242" s="53">
        <f t="shared" si="58"/>
        <v>8041572</v>
      </c>
      <c r="BN242" s="54" t="s">
        <v>347</v>
      </c>
      <c r="BR242" s="51"/>
      <c r="BS242" s="53"/>
      <c r="BT242" s="53"/>
      <c r="BU242" s="53"/>
      <c r="BV242" s="53"/>
      <c r="BW242" s="53"/>
      <c r="BX242" s="45"/>
      <c r="BY242" s="45"/>
      <c r="BZ242" s="53"/>
      <c r="CA242" s="53"/>
      <c r="CB242" s="53"/>
      <c r="CC242" s="53"/>
      <c r="CD242" s="53"/>
      <c r="CE242" s="53"/>
      <c r="CF242" s="35"/>
      <c r="CH242" s="35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4"/>
    </row>
    <row r="243" spans="1:97" s="55" customFormat="1" ht="12.75" customHeight="1">
      <c r="A243" s="35" t="s">
        <v>278</v>
      </c>
      <c r="B243" s="51"/>
      <c r="C243" s="35" t="s">
        <v>92</v>
      </c>
      <c r="D243" s="44"/>
      <c r="E243" s="53">
        <f t="shared" si="66"/>
        <v>1598078</v>
      </c>
      <c r="F243" s="53"/>
      <c r="G243" s="53">
        <v>19980152</v>
      </c>
      <c r="H243" s="53"/>
      <c r="I243" s="53">
        <v>21578230</v>
      </c>
      <c r="J243" s="53"/>
      <c r="K243" s="53">
        <f t="shared" si="64"/>
        <v>761670</v>
      </c>
      <c r="L243" s="53"/>
      <c r="M243" s="53">
        <v>13481880</v>
      </c>
      <c r="N243" s="53"/>
      <c r="O243" s="53">
        <v>14243550</v>
      </c>
      <c r="P243" s="53"/>
      <c r="Q243" s="53">
        <v>6245963</v>
      </c>
      <c r="R243" s="53"/>
      <c r="S243" s="53">
        <v>0</v>
      </c>
      <c r="T243" s="53"/>
      <c r="U243" s="53">
        <v>1088717</v>
      </c>
      <c r="V243" s="53"/>
      <c r="W243" s="53">
        <f t="shared" si="59"/>
        <v>7334680</v>
      </c>
      <c r="X243" s="53"/>
      <c r="Y243" s="35" t="s">
        <v>278</v>
      </c>
      <c r="AA243" s="35" t="s">
        <v>92</v>
      </c>
      <c r="AB243" s="35"/>
      <c r="AC243" s="53">
        <v>944241</v>
      </c>
      <c r="AD243" s="53"/>
      <c r="AE243" s="53">
        <f>885359-118934</f>
        <v>766425</v>
      </c>
      <c r="AF243" s="53"/>
      <c r="AG243" s="53">
        <v>118934</v>
      </c>
      <c r="AH243" s="53"/>
      <c r="AI243" s="45">
        <f t="shared" si="65"/>
        <v>58882</v>
      </c>
      <c r="AJ243" s="45"/>
      <c r="AK243" s="53">
        <v>1850003</v>
      </c>
      <c r="AL243" s="45"/>
      <c r="AM243" s="53">
        <v>293012</v>
      </c>
      <c r="AN243" s="53"/>
      <c r="AO243" s="53">
        <v>0</v>
      </c>
      <c r="AP243" s="53"/>
      <c r="AQ243" s="53">
        <v>0</v>
      </c>
      <c r="AR243" s="53"/>
      <c r="AS243" s="45">
        <f t="shared" si="55"/>
        <v>2201897</v>
      </c>
      <c r="AT243" s="45"/>
      <c r="AU243" s="53">
        <v>0</v>
      </c>
      <c r="AV243" s="53"/>
      <c r="AW243" s="53">
        <v>0</v>
      </c>
      <c r="AX243" s="53"/>
      <c r="AY243" s="53">
        <f t="shared" si="56"/>
        <v>836408</v>
      </c>
      <c r="AZ243" s="53"/>
      <c r="BA243" s="35" t="s">
        <v>278</v>
      </c>
      <c r="BC243" s="35" t="s">
        <v>92</v>
      </c>
      <c r="BD243" s="53"/>
      <c r="BE243" s="53">
        <v>0</v>
      </c>
      <c r="BF243" s="53"/>
      <c r="BG243" s="53">
        <v>0</v>
      </c>
      <c r="BH243" s="53"/>
      <c r="BI243" s="53">
        <f>12853803+555475+181130+37450</f>
        <v>13627858</v>
      </c>
      <c r="BJ243" s="53"/>
      <c r="BK243" s="53">
        <f>33729+72602</f>
        <v>106331</v>
      </c>
      <c r="BL243" s="53"/>
      <c r="BM243" s="53">
        <f t="shared" si="58"/>
        <v>13734189</v>
      </c>
      <c r="BN243" s="54" t="s">
        <v>347</v>
      </c>
      <c r="BR243" s="51"/>
      <c r="BS243" s="53"/>
      <c r="BT243" s="53"/>
      <c r="BU243" s="53"/>
      <c r="BV243" s="53"/>
      <c r="BW243" s="53"/>
      <c r="BX243" s="45"/>
      <c r="BY243" s="45"/>
      <c r="BZ243" s="53"/>
      <c r="CA243" s="53"/>
      <c r="CB243" s="53"/>
      <c r="CC243" s="53"/>
      <c r="CD243" s="53"/>
      <c r="CE243" s="53"/>
      <c r="CF243" s="35"/>
      <c r="CH243" s="35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4"/>
    </row>
    <row r="244" spans="1:97" s="55" customFormat="1" ht="12.75" customHeight="1">
      <c r="A244" s="35" t="s">
        <v>279</v>
      </c>
      <c r="B244" s="51"/>
      <c r="C244" s="35" t="s">
        <v>92</v>
      </c>
      <c r="D244" s="44"/>
      <c r="E244" s="53">
        <f t="shared" si="66"/>
        <v>983182</v>
      </c>
      <c r="F244" s="53"/>
      <c r="G244" s="53">
        <v>5581618</v>
      </c>
      <c r="H244" s="53"/>
      <c r="I244" s="53">
        <v>6564800</v>
      </c>
      <c r="J244" s="53"/>
      <c r="K244" s="53">
        <f t="shared" si="64"/>
        <v>380801</v>
      </c>
      <c r="L244" s="53"/>
      <c r="M244" s="53">
        <v>721426</v>
      </c>
      <c r="N244" s="53"/>
      <c r="O244" s="53">
        <v>1102227</v>
      </c>
      <c r="P244" s="53"/>
      <c r="Q244" s="53">
        <v>4951618</v>
      </c>
      <c r="R244" s="53"/>
      <c r="S244" s="53">
        <v>0</v>
      </c>
      <c r="T244" s="53"/>
      <c r="U244" s="53">
        <v>510955</v>
      </c>
      <c r="V244" s="53"/>
      <c r="W244" s="53">
        <f t="shared" si="59"/>
        <v>5462573</v>
      </c>
      <c r="X244" s="53"/>
      <c r="Y244" s="35" t="s">
        <v>279</v>
      </c>
      <c r="AA244" s="35" t="s">
        <v>92</v>
      </c>
      <c r="AB244" s="35"/>
      <c r="AC244" s="53">
        <v>1728082</v>
      </c>
      <c r="AD244" s="53"/>
      <c r="AE244" s="53">
        <f>1697700-153180</f>
        <v>1544520</v>
      </c>
      <c r="AF244" s="53"/>
      <c r="AG244" s="53">
        <v>153180</v>
      </c>
      <c r="AH244" s="53"/>
      <c r="AI244" s="45">
        <f t="shared" si="65"/>
        <v>30382</v>
      </c>
      <c r="AJ244" s="45"/>
      <c r="AK244" s="53">
        <v>83732</v>
      </c>
      <c r="AL244" s="45"/>
      <c r="AM244" s="53">
        <v>0</v>
      </c>
      <c r="AN244" s="53"/>
      <c r="AO244" s="53">
        <v>0</v>
      </c>
      <c r="AP244" s="53"/>
      <c r="AQ244" s="53">
        <v>0</v>
      </c>
      <c r="AR244" s="53"/>
      <c r="AS244" s="45">
        <f t="shared" si="55"/>
        <v>114114</v>
      </c>
      <c r="AT244" s="45"/>
      <c r="AU244" s="53">
        <v>0</v>
      </c>
      <c r="AV244" s="53"/>
      <c r="AW244" s="53">
        <v>0</v>
      </c>
      <c r="AX244" s="53"/>
      <c r="AY244" s="53">
        <f t="shared" si="56"/>
        <v>602381</v>
      </c>
      <c r="AZ244" s="53"/>
      <c r="BA244" s="35" t="s">
        <v>279</v>
      </c>
      <c r="BC244" s="35" t="s">
        <v>92</v>
      </c>
      <c r="BD244" s="53"/>
      <c r="BE244" s="53">
        <v>0</v>
      </c>
      <c r="BF244" s="53"/>
      <c r="BG244" s="53">
        <v>0</v>
      </c>
      <c r="BH244" s="53"/>
      <c r="BI244" s="53">
        <v>99866</v>
      </c>
      <c r="BJ244" s="53"/>
      <c r="BK244" s="53">
        <f>11560+610000+20000+29710</f>
        <v>671270</v>
      </c>
      <c r="BL244" s="53"/>
      <c r="BM244" s="53">
        <f t="shared" si="58"/>
        <v>771136</v>
      </c>
      <c r="BN244" s="54" t="s">
        <v>347</v>
      </c>
      <c r="BO244" s="55" t="s">
        <v>404</v>
      </c>
      <c r="BR244" s="51"/>
      <c r="BS244" s="53"/>
      <c r="BT244" s="53"/>
      <c r="BU244" s="53"/>
      <c r="BV244" s="53"/>
      <c r="BW244" s="53"/>
      <c r="BX244" s="45"/>
      <c r="BY244" s="45"/>
      <c r="BZ244" s="53"/>
      <c r="CA244" s="53"/>
      <c r="CB244" s="53"/>
      <c r="CC244" s="53"/>
      <c r="CD244" s="53"/>
      <c r="CE244" s="53"/>
      <c r="CF244" s="35"/>
      <c r="CH244" s="35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4"/>
    </row>
    <row r="245" spans="1:97" s="55" customFormat="1" ht="12.75" customHeight="1">
      <c r="A245" s="35" t="s">
        <v>280</v>
      </c>
      <c r="B245" s="51"/>
      <c r="C245" s="35" t="s">
        <v>370</v>
      </c>
      <c r="D245" s="44"/>
      <c r="E245" s="53">
        <f t="shared" si="66"/>
        <v>3558184</v>
      </c>
      <c r="F245" s="53"/>
      <c r="G245" s="53">
        <v>13129438</v>
      </c>
      <c r="H245" s="53"/>
      <c r="I245" s="53">
        <v>16687622</v>
      </c>
      <c r="J245" s="53"/>
      <c r="K245" s="53">
        <f t="shared" si="64"/>
        <v>433699</v>
      </c>
      <c r="L245" s="53"/>
      <c r="M245" s="53">
        <v>2901077</v>
      </c>
      <c r="N245" s="53"/>
      <c r="O245" s="53">
        <v>3334776</v>
      </c>
      <c r="P245" s="53"/>
      <c r="Q245" s="53">
        <v>10103798</v>
      </c>
      <c r="R245" s="53"/>
      <c r="S245" s="53">
        <v>786467</v>
      </c>
      <c r="T245" s="53"/>
      <c r="U245" s="53">
        <v>2462581</v>
      </c>
      <c r="V245" s="53"/>
      <c r="W245" s="53">
        <f t="shared" si="59"/>
        <v>13352846</v>
      </c>
      <c r="X245" s="53"/>
      <c r="Y245" s="35" t="s">
        <v>280</v>
      </c>
      <c r="AA245" s="35" t="s">
        <v>370</v>
      </c>
      <c r="AB245" s="35"/>
      <c r="AC245" s="53">
        <v>2496406</v>
      </c>
      <c r="AD245" s="53"/>
      <c r="AE245" s="53">
        <f>3110340-848523</f>
        <v>2261817</v>
      </c>
      <c r="AF245" s="53"/>
      <c r="AG245" s="53">
        <v>848523</v>
      </c>
      <c r="AH245" s="53"/>
      <c r="AI245" s="45">
        <f t="shared" si="65"/>
        <v>-613934</v>
      </c>
      <c r="AJ245" s="45"/>
      <c r="AK245" s="53">
        <v>623136</v>
      </c>
      <c r="AL245" s="45"/>
      <c r="AM245" s="53">
        <v>0</v>
      </c>
      <c r="AN245" s="53"/>
      <c r="AO245" s="53">
        <v>0</v>
      </c>
      <c r="AP245" s="53"/>
      <c r="AQ245" s="53">
        <v>0</v>
      </c>
      <c r="AR245" s="53"/>
      <c r="AS245" s="45">
        <f t="shared" si="55"/>
        <v>9202</v>
      </c>
      <c r="AT245" s="45"/>
      <c r="AU245" s="53">
        <v>0</v>
      </c>
      <c r="AV245" s="53"/>
      <c r="AW245" s="53">
        <v>0</v>
      </c>
      <c r="AX245" s="53"/>
      <c r="AY245" s="53">
        <f t="shared" si="56"/>
        <v>3124485</v>
      </c>
      <c r="AZ245" s="53"/>
      <c r="BA245" s="35" t="s">
        <v>280</v>
      </c>
      <c r="BC245" s="35" t="s">
        <v>370</v>
      </c>
      <c r="BD245" s="53"/>
      <c r="BE245" s="53">
        <v>0</v>
      </c>
      <c r="BF245" s="53"/>
      <c r="BG245" s="53">
        <f>1595000+185000</f>
        <v>1780000</v>
      </c>
      <c r="BH245" s="53"/>
      <c r="BI245" s="53">
        <v>0</v>
      </c>
      <c r="BJ245" s="53"/>
      <c r="BK245" s="53">
        <f>101263+1204814+40826+59641</f>
        <v>1406544</v>
      </c>
      <c r="BL245" s="53"/>
      <c r="BM245" s="53">
        <f t="shared" si="58"/>
        <v>3186544</v>
      </c>
      <c r="BN245" s="54" t="s">
        <v>347</v>
      </c>
      <c r="BR245" s="51"/>
      <c r="BS245" s="53"/>
      <c r="BT245" s="53"/>
      <c r="BU245" s="53"/>
      <c r="BV245" s="53"/>
      <c r="BW245" s="45"/>
      <c r="BX245" s="45"/>
      <c r="BY245" s="53"/>
      <c r="BZ245" s="53"/>
      <c r="CA245" s="53"/>
      <c r="CB245" s="53"/>
      <c r="CC245" s="53"/>
      <c r="CD245" s="53"/>
      <c r="CE245" s="53"/>
      <c r="CF245" s="35"/>
      <c r="CH245" s="35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4"/>
    </row>
    <row r="246" spans="1:97" s="140" customFormat="1" ht="12.75" hidden="1" customHeight="1">
      <c r="A246" s="126" t="s">
        <v>282</v>
      </c>
      <c r="B246" s="124"/>
      <c r="C246" s="126" t="s">
        <v>199</v>
      </c>
      <c r="D246" s="121"/>
      <c r="E246" s="53">
        <f t="shared" si="66"/>
        <v>0</v>
      </c>
      <c r="F246" s="53"/>
      <c r="G246" s="53">
        <v>0</v>
      </c>
      <c r="H246" s="53"/>
      <c r="I246" s="53">
        <v>0</v>
      </c>
      <c r="J246" s="53"/>
      <c r="K246" s="53">
        <f t="shared" si="64"/>
        <v>0</v>
      </c>
      <c r="L246" s="53"/>
      <c r="M246" s="53">
        <v>0</v>
      </c>
      <c r="N246" s="53"/>
      <c r="O246" s="53">
        <v>0</v>
      </c>
      <c r="P246" s="53"/>
      <c r="Q246" s="53">
        <v>0</v>
      </c>
      <c r="R246" s="53"/>
      <c r="S246" s="53">
        <v>0</v>
      </c>
      <c r="T246" s="53"/>
      <c r="U246" s="53">
        <v>0</v>
      </c>
      <c r="V246" s="53"/>
      <c r="W246" s="53">
        <f t="shared" si="59"/>
        <v>0</v>
      </c>
      <c r="X246" s="137"/>
      <c r="Y246" s="126" t="s">
        <v>282</v>
      </c>
      <c r="AA246" s="126" t="s">
        <v>199</v>
      </c>
      <c r="AB246" s="126"/>
      <c r="AC246" s="53">
        <v>0</v>
      </c>
      <c r="AD246" s="53"/>
      <c r="AE246" s="53">
        <v>0</v>
      </c>
      <c r="AF246" s="53"/>
      <c r="AG246" s="53">
        <v>0</v>
      </c>
      <c r="AH246" s="53"/>
      <c r="AI246" s="45">
        <f t="shared" si="65"/>
        <v>0</v>
      </c>
      <c r="AJ246" s="45"/>
      <c r="AK246" s="53">
        <v>0</v>
      </c>
      <c r="AL246" s="45"/>
      <c r="AM246" s="53">
        <v>0</v>
      </c>
      <c r="AN246" s="53"/>
      <c r="AO246" s="53">
        <v>0</v>
      </c>
      <c r="AP246" s="53"/>
      <c r="AQ246" s="53">
        <v>0</v>
      </c>
      <c r="AR246" s="53"/>
      <c r="AS246" s="45">
        <f t="shared" si="55"/>
        <v>0</v>
      </c>
      <c r="AT246" s="45"/>
      <c r="AU246" s="53">
        <v>0</v>
      </c>
      <c r="AV246" s="53"/>
      <c r="AW246" s="53">
        <v>0</v>
      </c>
      <c r="AX246" s="53"/>
      <c r="AY246" s="53">
        <f t="shared" si="56"/>
        <v>0</v>
      </c>
      <c r="AZ246" s="53"/>
      <c r="BA246" s="126" t="s">
        <v>282</v>
      </c>
      <c r="BC246" s="126" t="s">
        <v>199</v>
      </c>
      <c r="BD246" s="137"/>
      <c r="BE246" s="53">
        <v>0</v>
      </c>
      <c r="BF246" s="53"/>
      <c r="BG246" s="53">
        <v>0</v>
      </c>
      <c r="BH246" s="53"/>
      <c r="BI246" s="53">
        <v>0</v>
      </c>
      <c r="BJ246" s="53"/>
      <c r="BK246" s="53">
        <v>0</v>
      </c>
      <c r="BL246" s="137"/>
      <c r="BM246" s="137">
        <f t="shared" si="58"/>
        <v>0</v>
      </c>
      <c r="BN246" s="139" t="s">
        <v>347</v>
      </c>
      <c r="BR246" s="124"/>
      <c r="BS246" s="137"/>
      <c r="BT246" s="137"/>
      <c r="BU246" s="137"/>
      <c r="BV246" s="137"/>
      <c r="BW246" s="127"/>
      <c r="BX246" s="127"/>
      <c r="BY246" s="137"/>
      <c r="BZ246" s="137"/>
      <c r="CA246" s="137"/>
      <c r="CB246" s="137"/>
      <c r="CC246" s="137"/>
      <c r="CD246" s="137"/>
      <c r="CE246" s="137"/>
      <c r="CF246" s="126"/>
      <c r="CH246" s="126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9"/>
    </row>
    <row r="247" spans="1:97" s="140" customFormat="1" ht="12.75" hidden="1" customHeight="1">
      <c r="A247" s="126" t="s">
        <v>283</v>
      </c>
      <c r="B247" s="124"/>
      <c r="C247" s="126" t="s">
        <v>43</v>
      </c>
      <c r="D247" s="121"/>
      <c r="E247" s="53">
        <f t="shared" si="66"/>
        <v>0</v>
      </c>
      <c r="F247" s="53"/>
      <c r="G247" s="53">
        <v>0</v>
      </c>
      <c r="H247" s="53"/>
      <c r="I247" s="53">
        <v>0</v>
      </c>
      <c r="J247" s="53"/>
      <c r="K247" s="53">
        <f t="shared" si="64"/>
        <v>0</v>
      </c>
      <c r="L247" s="53"/>
      <c r="M247" s="53">
        <v>0</v>
      </c>
      <c r="N247" s="53"/>
      <c r="O247" s="53">
        <v>0</v>
      </c>
      <c r="P247" s="53"/>
      <c r="Q247" s="53">
        <v>0</v>
      </c>
      <c r="R247" s="53"/>
      <c r="S247" s="53">
        <v>0</v>
      </c>
      <c r="T247" s="53"/>
      <c r="U247" s="53">
        <v>0</v>
      </c>
      <c r="V247" s="53"/>
      <c r="W247" s="53">
        <f t="shared" si="59"/>
        <v>0</v>
      </c>
      <c r="X247" s="137"/>
      <c r="Y247" s="126" t="s">
        <v>283</v>
      </c>
      <c r="AA247" s="126" t="s">
        <v>43</v>
      </c>
      <c r="AB247" s="126"/>
      <c r="AC247" s="53">
        <v>0</v>
      </c>
      <c r="AD247" s="53"/>
      <c r="AE247" s="53">
        <v>0</v>
      </c>
      <c r="AF247" s="53"/>
      <c r="AG247" s="53">
        <v>0</v>
      </c>
      <c r="AH247" s="53"/>
      <c r="AI247" s="45">
        <f t="shared" si="65"/>
        <v>0</v>
      </c>
      <c r="AJ247" s="45"/>
      <c r="AK247" s="53">
        <v>0</v>
      </c>
      <c r="AL247" s="45"/>
      <c r="AM247" s="53">
        <v>0</v>
      </c>
      <c r="AN247" s="53"/>
      <c r="AO247" s="53">
        <v>0</v>
      </c>
      <c r="AP247" s="53"/>
      <c r="AQ247" s="53">
        <v>0</v>
      </c>
      <c r="AR247" s="53"/>
      <c r="AS247" s="45">
        <f t="shared" si="55"/>
        <v>0</v>
      </c>
      <c r="AT247" s="45"/>
      <c r="AU247" s="53">
        <v>0</v>
      </c>
      <c r="AV247" s="53"/>
      <c r="AW247" s="53">
        <v>0</v>
      </c>
      <c r="AX247" s="53"/>
      <c r="AY247" s="53">
        <f t="shared" si="56"/>
        <v>0</v>
      </c>
      <c r="AZ247" s="53"/>
      <c r="BA247" s="126" t="s">
        <v>283</v>
      </c>
      <c r="BC247" s="126" t="s">
        <v>43</v>
      </c>
      <c r="BD247" s="137"/>
      <c r="BE247" s="53">
        <v>0</v>
      </c>
      <c r="BF247" s="53"/>
      <c r="BG247" s="53">
        <v>0</v>
      </c>
      <c r="BH247" s="53"/>
      <c r="BI247" s="53">
        <v>0</v>
      </c>
      <c r="BJ247" s="53"/>
      <c r="BK247" s="53">
        <v>0</v>
      </c>
      <c r="BL247" s="137"/>
      <c r="BM247" s="137">
        <f t="shared" si="58"/>
        <v>0</v>
      </c>
      <c r="BN247" s="139" t="s">
        <v>347</v>
      </c>
      <c r="BR247" s="124"/>
      <c r="BS247" s="137"/>
      <c r="BT247" s="137"/>
      <c r="BU247" s="137"/>
      <c r="BV247" s="137"/>
      <c r="BW247" s="137"/>
      <c r="BX247" s="127"/>
      <c r="BY247" s="127"/>
      <c r="BZ247" s="137"/>
      <c r="CA247" s="137"/>
      <c r="CB247" s="137"/>
      <c r="CC247" s="137"/>
      <c r="CD247" s="137"/>
      <c r="CE247" s="137"/>
      <c r="CF247" s="126"/>
      <c r="CH247" s="126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9"/>
    </row>
    <row r="248" spans="1:97" s="140" customFormat="1" ht="12.75" hidden="1" customHeight="1">
      <c r="A248" s="126" t="s">
        <v>284</v>
      </c>
      <c r="B248" s="124"/>
      <c r="C248" s="126" t="s">
        <v>45</v>
      </c>
      <c r="D248" s="121"/>
      <c r="E248" s="53">
        <f t="shared" si="66"/>
        <v>0</v>
      </c>
      <c r="F248" s="53"/>
      <c r="G248" s="53">
        <v>0</v>
      </c>
      <c r="H248" s="53"/>
      <c r="I248" s="53">
        <v>0</v>
      </c>
      <c r="J248" s="53"/>
      <c r="K248" s="53">
        <f t="shared" si="64"/>
        <v>0</v>
      </c>
      <c r="L248" s="53"/>
      <c r="M248" s="53">
        <v>0</v>
      </c>
      <c r="N248" s="53"/>
      <c r="O248" s="53">
        <v>0</v>
      </c>
      <c r="P248" s="53"/>
      <c r="Q248" s="53">
        <v>0</v>
      </c>
      <c r="R248" s="53"/>
      <c r="S248" s="53">
        <v>0</v>
      </c>
      <c r="T248" s="53"/>
      <c r="U248" s="53">
        <v>0</v>
      </c>
      <c r="V248" s="53"/>
      <c r="W248" s="53">
        <f t="shared" si="59"/>
        <v>0</v>
      </c>
      <c r="X248" s="137"/>
      <c r="Y248" s="126" t="s">
        <v>284</v>
      </c>
      <c r="AA248" s="126" t="s">
        <v>45</v>
      </c>
      <c r="AB248" s="126"/>
      <c r="AC248" s="53">
        <v>0</v>
      </c>
      <c r="AD248" s="53"/>
      <c r="AE248" s="53">
        <v>0</v>
      </c>
      <c r="AF248" s="53"/>
      <c r="AG248" s="53">
        <v>0</v>
      </c>
      <c r="AH248" s="53"/>
      <c r="AI248" s="45">
        <f t="shared" si="65"/>
        <v>0</v>
      </c>
      <c r="AJ248" s="45"/>
      <c r="AK248" s="53">
        <v>0</v>
      </c>
      <c r="AL248" s="45"/>
      <c r="AM248" s="53">
        <v>0</v>
      </c>
      <c r="AN248" s="53"/>
      <c r="AO248" s="53">
        <v>0</v>
      </c>
      <c r="AP248" s="53"/>
      <c r="AQ248" s="53">
        <v>0</v>
      </c>
      <c r="AR248" s="53"/>
      <c r="AS248" s="45">
        <f t="shared" si="55"/>
        <v>0</v>
      </c>
      <c r="AT248" s="45"/>
      <c r="AU248" s="53">
        <v>0</v>
      </c>
      <c r="AV248" s="53"/>
      <c r="AW248" s="53">
        <v>0</v>
      </c>
      <c r="AX248" s="53"/>
      <c r="AY248" s="53">
        <f t="shared" si="56"/>
        <v>0</v>
      </c>
      <c r="AZ248" s="53"/>
      <c r="BA248" s="126" t="s">
        <v>284</v>
      </c>
      <c r="BC248" s="126" t="s">
        <v>45</v>
      </c>
      <c r="BD248" s="137"/>
      <c r="BE248" s="53">
        <v>0</v>
      </c>
      <c r="BF248" s="53"/>
      <c r="BG248" s="53">
        <v>0</v>
      </c>
      <c r="BH248" s="53"/>
      <c r="BI248" s="53">
        <v>0</v>
      </c>
      <c r="BJ248" s="53"/>
      <c r="BK248" s="53">
        <v>0</v>
      </c>
      <c r="BL248" s="137"/>
      <c r="BM248" s="137">
        <f t="shared" si="58"/>
        <v>0</v>
      </c>
      <c r="BN248" s="139" t="s">
        <v>347</v>
      </c>
      <c r="BR248" s="124"/>
      <c r="BS248" s="137"/>
      <c r="BT248" s="137"/>
      <c r="BU248" s="137"/>
      <c r="BV248" s="137"/>
      <c r="BW248" s="137"/>
      <c r="BX248" s="127"/>
      <c r="BY248" s="127"/>
      <c r="BZ248" s="137"/>
      <c r="CA248" s="137"/>
      <c r="CB248" s="137"/>
      <c r="CC248" s="137"/>
      <c r="CD248" s="137"/>
      <c r="CE248" s="137"/>
      <c r="CF248" s="126"/>
      <c r="CH248" s="126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9"/>
    </row>
    <row r="249" spans="1:97" s="55" customFormat="1" ht="12.75" customHeight="1">
      <c r="A249" s="35" t="s">
        <v>285</v>
      </c>
      <c r="B249" s="51"/>
      <c r="C249" s="35" t="s">
        <v>30</v>
      </c>
      <c r="D249" s="44"/>
      <c r="E249" s="53">
        <f t="shared" si="66"/>
        <v>5135293</v>
      </c>
      <c r="F249" s="53"/>
      <c r="G249" s="53">
        <v>14339560</v>
      </c>
      <c r="H249" s="53"/>
      <c r="I249" s="53">
        <v>19474853</v>
      </c>
      <c r="J249" s="53"/>
      <c r="K249" s="53">
        <f t="shared" si="64"/>
        <v>1580873</v>
      </c>
      <c r="L249" s="53"/>
      <c r="M249" s="53">
        <v>6445616</v>
      </c>
      <c r="N249" s="53"/>
      <c r="O249" s="53">
        <v>8026489</v>
      </c>
      <c r="P249" s="53"/>
      <c r="Q249" s="53">
        <v>7355487</v>
      </c>
      <c r="R249" s="53"/>
      <c r="S249" s="53">
        <v>0</v>
      </c>
      <c r="T249" s="53"/>
      <c r="U249" s="53">
        <v>4092877</v>
      </c>
      <c r="V249" s="53"/>
      <c r="W249" s="53">
        <f t="shared" si="59"/>
        <v>11448364</v>
      </c>
      <c r="X249" s="53"/>
      <c r="Y249" s="35" t="s">
        <v>285</v>
      </c>
      <c r="AA249" s="35" t="s">
        <v>30</v>
      </c>
      <c r="AB249" s="35"/>
      <c r="AC249" s="53">
        <v>4833400</v>
      </c>
      <c r="AD249" s="53"/>
      <c r="AE249" s="53">
        <f>3701361-1012524</f>
        <v>2688837</v>
      </c>
      <c r="AF249" s="53"/>
      <c r="AG249" s="53">
        <v>1012524</v>
      </c>
      <c r="AH249" s="53"/>
      <c r="AI249" s="45">
        <f t="shared" si="65"/>
        <v>1132039</v>
      </c>
      <c r="AJ249" s="45"/>
      <c r="AK249" s="53">
        <f>546898-199187</f>
        <v>347711</v>
      </c>
      <c r="AL249" s="45"/>
      <c r="AM249" s="53">
        <v>0</v>
      </c>
      <c r="AN249" s="53"/>
      <c r="AO249" s="53">
        <v>0</v>
      </c>
      <c r="AP249" s="53"/>
      <c r="AQ249" s="53">
        <v>0</v>
      </c>
      <c r="AR249" s="53"/>
      <c r="AS249" s="45">
        <f t="shared" si="55"/>
        <v>1479750</v>
      </c>
      <c r="AT249" s="45"/>
      <c r="AU249" s="53">
        <v>0</v>
      </c>
      <c r="AV249" s="53"/>
      <c r="AW249" s="53">
        <v>0</v>
      </c>
      <c r="AX249" s="53"/>
      <c r="AY249" s="53">
        <f t="shared" si="56"/>
        <v>3554420</v>
      </c>
      <c r="AZ249" s="53"/>
      <c r="BA249" s="35" t="s">
        <v>285</v>
      </c>
      <c r="BC249" s="35" t="s">
        <v>30</v>
      </c>
      <c r="BD249" s="53"/>
      <c r="BE249" s="53">
        <v>0</v>
      </c>
      <c r="BF249" s="53"/>
      <c r="BG249" s="53">
        <v>0</v>
      </c>
      <c r="BH249" s="53"/>
      <c r="BI249" s="53">
        <f>5589583+637377</f>
        <v>6226960</v>
      </c>
      <c r="BJ249" s="53"/>
      <c r="BK249" s="53">
        <f>147791+708242+48871+28151</f>
        <v>933055</v>
      </c>
      <c r="BL249" s="53"/>
      <c r="BM249" s="53">
        <f t="shared" si="58"/>
        <v>7160015</v>
      </c>
      <c r="BN249" s="54" t="s">
        <v>347</v>
      </c>
      <c r="BR249" s="51"/>
      <c r="BS249" s="53"/>
      <c r="BT249" s="53"/>
      <c r="BU249" s="53"/>
      <c r="BV249" s="53"/>
      <c r="BW249" s="53"/>
      <c r="BX249" s="45"/>
      <c r="BY249" s="45"/>
      <c r="BZ249" s="53"/>
      <c r="CA249" s="53"/>
      <c r="CB249" s="53"/>
      <c r="CC249" s="53"/>
      <c r="CD249" s="53"/>
      <c r="CE249" s="53"/>
      <c r="CF249" s="35"/>
      <c r="CH249" s="35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4"/>
    </row>
    <row r="250" spans="1:97" s="140" customFormat="1" ht="12.75" hidden="1" customHeight="1">
      <c r="A250" s="126" t="s">
        <v>286</v>
      </c>
      <c r="C250" s="126" t="s">
        <v>61</v>
      </c>
      <c r="D250" s="121"/>
      <c r="E250" s="137">
        <f t="shared" si="66"/>
        <v>0</v>
      </c>
      <c r="F250" s="137"/>
      <c r="G250" s="137">
        <v>0</v>
      </c>
      <c r="H250" s="137"/>
      <c r="I250" s="137">
        <v>0</v>
      </c>
      <c r="J250" s="137"/>
      <c r="K250" s="137">
        <f t="shared" si="64"/>
        <v>0</v>
      </c>
      <c r="L250" s="137"/>
      <c r="M250" s="137">
        <v>0</v>
      </c>
      <c r="N250" s="137"/>
      <c r="O250" s="137">
        <v>0</v>
      </c>
      <c r="P250" s="137"/>
      <c r="Q250" s="137">
        <v>0</v>
      </c>
      <c r="R250" s="137"/>
      <c r="S250" s="137">
        <v>0</v>
      </c>
      <c r="T250" s="137"/>
      <c r="U250" s="137">
        <v>0</v>
      </c>
      <c r="V250" s="137"/>
      <c r="W250" s="137">
        <f t="shared" si="59"/>
        <v>0</v>
      </c>
      <c r="X250" s="137"/>
      <c r="Y250" s="126" t="s">
        <v>286</v>
      </c>
      <c r="AA250" s="126" t="s">
        <v>61</v>
      </c>
      <c r="AB250" s="126"/>
      <c r="AC250" s="137">
        <v>0</v>
      </c>
      <c r="AD250" s="137"/>
      <c r="AE250" s="137">
        <v>0</v>
      </c>
      <c r="AF250" s="137"/>
      <c r="AG250" s="137">
        <v>0</v>
      </c>
      <c r="AH250" s="137"/>
      <c r="AI250" s="127">
        <f t="shared" si="65"/>
        <v>0</v>
      </c>
      <c r="AJ250" s="127"/>
      <c r="AK250" s="137">
        <v>0</v>
      </c>
      <c r="AL250" s="127"/>
      <c r="AM250" s="137">
        <v>0</v>
      </c>
      <c r="AN250" s="137"/>
      <c r="AO250" s="137">
        <v>0</v>
      </c>
      <c r="AP250" s="137"/>
      <c r="AQ250" s="137">
        <v>0</v>
      </c>
      <c r="AR250" s="137"/>
      <c r="AS250" s="127">
        <f t="shared" si="55"/>
        <v>0</v>
      </c>
      <c r="AT250" s="127"/>
      <c r="AU250" s="137">
        <v>0</v>
      </c>
      <c r="AV250" s="137"/>
      <c r="AW250" s="137">
        <v>0</v>
      </c>
      <c r="AX250" s="137"/>
      <c r="AY250" s="137">
        <f t="shared" si="56"/>
        <v>0</v>
      </c>
      <c r="AZ250" s="137"/>
      <c r="BA250" s="126" t="s">
        <v>286</v>
      </c>
      <c r="BC250" s="126" t="s">
        <v>61</v>
      </c>
      <c r="BD250" s="137"/>
      <c r="BE250" s="137">
        <v>0</v>
      </c>
      <c r="BF250" s="137"/>
      <c r="BG250" s="137">
        <v>0</v>
      </c>
      <c r="BH250" s="137"/>
      <c r="BI250" s="137">
        <v>0</v>
      </c>
      <c r="BJ250" s="137"/>
      <c r="BK250" s="137">
        <v>0</v>
      </c>
      <c r="BL250" s="137"/>
      <c r="BM250" s="137">
        <f t="shared" si="58"/>
        <v>0</v>
      </c>
      <c r="BN250" s="139" t="s">
        <v>347</v>
      </c>
      <c r="BR250" s="124"/>
      <c r="BS250" s="137"/>
      <c r="BT250" s="137"/>
      <c r="BU250" s="137"/>
      <c r="BV250" s="137"/>
      <c r="BW250" s="137"/>
      <c r="BX250" s="127"/>
      <c r="BY250" s="127"/>
      <c r="BZ250" s="137"/>
      <c r="CA250" s="137"/>
      <c r="CB250" s="137"/>
      <c r="CC250" s="137"/>
      <c r="CD250" s="137"/>
      <c r="CE250" s="137"/>
      <c r="CF250" s="126"/>
      <c r="CH250" s="126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9"/>
    </row>
    <row r="251" spans="1:97" s="55" customFormat="1" ht="12.75" customHeight="1">
      <c r="A251" s="35" t="s">
        <v>287</v>
      </c>
      <c r="C251" s="35" t="s">
        <v>288</v>
      </c>
      <c r="D251" s="44"/>
      <c r="E251" s="53">
        <f t="shared" si="66"/>
        <v>2882241</v>
      </c>
      <c r="F251" s="53"/>
      <c r="G251" s="53">
        <v>45598272</v>
      </c>
      <c r="H251" s="53"/>
      <c r="I251" s="53">
        <v>48480513</v>
      </c>
      <c r="J251" s="53"/>
      <c r="K251" s="53">
        <f t="shared" si="64"/>
        <v>1972383</v>
      </c>
      <c r="L251" s="53"/>
      <c r="M251" s="53">
        <v>16946995</v>
      </c>
      <c r="N251" s="53"/>
      <c r="O251" s="53">
        <v>18919378</v>
      </c>
      <c r="P251" s="53"/>
      <c r="Q251" s="53">
        <v>27077983</v>
      </c>
      <c r="R251" s="53"/>
      <c r="S251" s="53">
        <v>0</v>
      </c>
      <c r="T251" s="53"/>
      <c r="U251" s="53">
        <v>2483152</v>
      </c>
      <c r="V251" s="53"/>
      <c r="W251" s="53">
        <f t="shared" si="59"/>
        <v>29561135</v>
      </c>
      <c r="X251" s="53"/>
      <c r="Y251" s="35" t="s">
        <v>287</v>
      </c>
      <c r="AA251" s="35" t="s">
        <v>288</v>
      </c>
      <c r="AB251" s="35"/>
      <c r="AC251" s="53">
        <v>6034148</v>
      </c>
      <c r="AD251" s="53"/>
      <c r="AE251" s="53">
        <f>4444078-868350</f>
        <v>3575728</v>
      </c>
      <c r="AF251" s="53"/>
      <c r="AG251" s="53">
        <v>868350</v>
      </c>
      <c r="AH251" s="53"/>
      <c r="AI251" s="45">
        <f t="shared" si="65"/>
        <v>1590070</v>
      </c>
      <c r="AJ251" s="45"/>
      <c r="AK251" s="53">
        <v>-839884</v>
      </c>
      <c r="AL251" s="45"/>
      <c r="AM251" s="53">
        <v>0</v>
      </c>
      <c r="AN251" s="53"/>
      <c r="AO251" s="53">
        <v>0</v>
      </c>
      <c r="AP251" s="53"/>
      <c r="AQ251" s="53">
        <v>340111</v>
      </c>
      <c r="AR251" s="53"/>
      <c r="AS251" s="45">
        <f t="shared" si="55"/>
        <v>1090297</v>
      </c>
      <c r="AT251" s="45"/>
      <c r="AU251" s="53">
        <v>0</v>
      </c>
      <c r="AV251" s="53"/>
      <c r="AW251" s="53">
        <v>0</v>
      </c>
      <c r="AX251" s="53"/>
      <c r="AY251" s="53">
        <f t="shared" si="56"/>
        <v>909858</v>
      </c>
      <c r="AZ251" s="53"/>
      <c r="BA251" s="35" t="s">
        <v>287</v>
      </c>
      <c r="BC251" s="35" t="s">
        <v>288</v>
      </c>
      <c r="BD251" s="53"/>
      <c r="BE251" s="53">
        <v>0</v>
      </c>
      <c r="BF251" s="53"/>
      <c r="BG251" s="53">
        <v>0</v>
      </c>
      <c r="BH251" s="53"/>
      <c r="BI251" s="53">
        <f>16946995+1573297</f>
        <v>18520292</v>
      </c>
      <c r="BJ251" s="53"/>
      <c r="BK251" s="53">
        <v>0</v>
      </c>
      <c r="BL251" s="53"/>
      <c r="BM251" s="53">
        <f t="shared" si="58"/>
        <v>18520292</v>
      </c>
      <c r="BN251" s="54" t="s">
        <v>347</v>
      </c>
      <c r="BR251" s="51"/>
      <c r="BS251" s="53"/>
      <c r="BT251" s="53"/>
      <c r="BU251" s="53"/>
      <c r="BV251" s="53"/>
      <c r="BW251" s="53"/>
      <c r="BX251" s="45"/>
      <c r="BY251" s="45"/>
      <c r="BZ251" s="53"/>
      <c r="CA251" s="53"/>
      <c r="CB251" s="53"/>
      <c r="CC251" s="53"/>
      <c r="CD251" s="53"/>
      <c r="CE251" s="53"/>
      <c r="CF251" s="35"/>
      <c r="CH251" s="35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4"/>
    </row>
    <row r="252" spans="1:97" s="55" customFormat="1" ht="12.75" customHeight="1">
      <c r="A252" s="35"/>
      <c r="C252" s="35"/>
      <c r="D252" s="44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35"/>
      <c r="AA252" s="35"/>
      <c r="AB252" s="35"/>
      <c r="AC252" s="53"/>
      <c r="AD252" s="53"/>
      <c r="AE252" s="53"/>
      <c r="AF252" s="53"/>
      <c r="AG252" s="53"/>
      <c r="AH252" s="53"/>
      <c r="AI252" s="45"/>
      <c r="AJ252" s="45"/>
      <c r="AK252" s="45"/>
      <c r="AL252" s="45"/>
      <c r="AM252" s="53"/>
      <c r="AN252" s="53"/>
      <c r="AO252" s="53"/>
      <c r="AP252" s="53"/>
      <c r="AQ252" s="53"/>
      <c r="AR252" s="53"/>
      <c r="AS252" s="45"/>
      <c r="AT252" s="45"/>
      <c r="AU252" s="53"/>
      <c r="AV252" s="53"/>
      <c r="AW252" s="53"/>
      <c r="AX252" s="53"/>
      <c r="AY252" s="53"/>
      <c r="AZ252" s="53"/>
      <c r="BA252" s="35"/>
      <c r="BC252" s="35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4"/>
      <c r="BR252" s="51"/>
      <c r="BS252" s="53"/>
      <c r="BT252" s="53"/>
      <c r="BU252" s="53"/>
      <c r="BV252" s="53"/>
      <c r="BW252" s="53"/>
      <c r="BX252" s="45"/>
      <c r="BY252" s="45"/>
      <c r="BZ252" s="53"/>
      <c r="CA252" s="53"/>
      <c r="CB252" s="53"/>
      <c r="CC252" s="53"/>
      <c r="CD252" s="53"/>
      <c r="CE252" s="53"/>
      <c r="CF252" s="35"/>
      <c r="CH252" s="35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4"/>
    </row>
    <row r="253" spans="1:97" s="55" customFormat="1" ht="12.75" customHeight="1">
      <c r="B253" s="51"/>
      <c r="D253" s="44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AC253" s="53"/>
      <c r="AD253" s="53"/>
      <c r="AE253" s="53"/>
      <c r="AF253" s="53"/>
      <c r="AG253" s="53"/>
      <c r="AH253" s="53"/>
      <c r="AI253" s="45"/>
      <c r="AJ253" s="45"/>
      <c r="AK253" s="45"/>
      <c r="AL253" s="45"/>
      <c r="AM253" s="53"/>
      <c r="AN253" s="53"/>
      <c r="AO253" s="53"/>
      <c r="AP253" s="53"/>
      <c r="AQ253" s="53"/>
      <c r="AR253" s="53"/>
      <c r="AS253" s="45"/>
      <c r="AT253" s="45"/>
      <c r="AU253" s="53"/>
      <c r="AV253" s="53"/>
      <c r="AW253" s="53"/>
      <c r="AX253" s="53"/>
      <c r="AY253" s="53"/>
      <c r="BE253" s="53"/>
      <c r="BF253" s="53"/>
      <c r="BG253" s="53"/>
      <c r="BH253" s="53"/>
      <c r="BI253" s="53"/>
      <c r="BJ253" s="53"/>
      <c r="BK253" s="53"/>
      <c r="BL253" s="53"/>
      <c r="BM253" s="53"/>
      <c r="BP253" s="45"/>
      <c r="BQ253" s="45"/>
      <c r="BR253" s="45"/>
      <c r="BS253" s="45"/>
      <c r="BT253" s="45"/>
      <c r="BU253" s="45"/>
      <c r="BV253" s="45"/>
      <c r="BW253" s="45"/>
      <c r="CG253" s="47"/>
    </row>
    <row r="254" spans="1:97" s="55" customFormat="1" ht="12.75" customHeight="1">
      <c r="B254" s="51"/>
      <c r="D254" s="44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AC254" s="53"/>
      <c r="AD254" s="53"/>
      <c r="AE254" s="53"/>
      <c r="AF254" s="53"/>
      <c r="AG254" s="53"/>
      <c r="AH254" s="53"/>
      <c r="AI254" s="45"/>
      <c r="AJ254" s="45"/>
      <c r="AK254" s="45"/>
      <c r="AL254" s="45"/>
      <c r="AM254" s="53"/>
      <c r="AN254" s="53"/>
      <c r="AO254" s="53"/>
      <c r="AP254" s="53"/>
      <c r="AQ254" s="53"/>
      <c r="AR254" s="53"/>
      <c r="AS254" s="45"/>
      <c r="AT254" s="45"/>
      <c r="AU254" s="53"/>
      <c r="AV254" s="53"/>
      <c r="AW254" s="53"/>
      <c r="AX254" s="53"/>
      <c r="AY254" s="53"/>
      <c r="BE254" s="53"/>
      <c r="BF254" s="53"/>
      <c r="BG254" s="53"/>
      <c r="BH254" s="53"/>
      <c r="BI254" s="53"/>
      <c r="BJ254" s="53"/>
      <c r="BK254" s="53"/>
      <c r="BL254" s="53"/>
      <c r="BM254" s="53"/>
      <c r="BP254" s="45"/>
      <c r="BQ254" s="45"/>
      <c r="BR254" s="45"/>
      <c r="BS254" s="45"/>
      <c r="BT254" s="45"/>
      <c r="BU254" s="45"/>
      <c r="BV254" s="45"/>
      <c r="BW254" s="45"/>
      <c r="CG254" s="47"/>
    </row>
    <row r="255" spans="1:97" s="55" customFormat="1" ht="12.75" customHeight="1">
      <c r="A255" s="44"/>
      <c r="B255" s="51"/>
      <c r="C255" s="44"/>
      <c r="D255" s="44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44"/>
      <c r="AA255" s="44"/>
      <c r="AB255" s="44"/>
      <c r="AC255" s="53"/>
      <c r="AD255" s="53"/>
      <c r="AE255" s="53"/>
      <c r="AF255" s="53"/>
      <c r="AG255" s="53"/>
      <c r="AH255" s="53"/>
      <c r="AI255" s="45"/>
      <c r="AJ255" s="45"/>
      <c r="AK255" s="45"/>
      <c r="AL255" s="45"/>
      <c r="AM255" s="53"/>
      <c r="AN255" s="53"/>
      <c r="AO255" s="53"/>
      <c r="AP255" s="53"/>
      <c r="AQ255" s="53"/>
      <c r="AR255" s="53"/>
      <c r="AS255" s="45"/>
      <c r="AT255" s="45"/>
      <c r="AU255" s="53"/>
      <c r="AV255" s="53"/>
      <c r="AW255" s="53"/>
      <c r="AX255" s="53"/>
      <c r="AY255" s="53"/>
      <c r="AZ255" s="53"/>
      <c r="BA255" s="44"/>
      <c r="BC255" s="44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4"/>
      <c r="BR255" s="51"/>
      <c r="BS255" s="53"/>
      <c r="BT255" s="53"/>
      <c r="BU255" s="53"/>
      <c r="BV255" s="53"/>
      <c r="BW255" s="53"/>
      <c r="BX255" s="45"/>
      <c r="BY255" s="45"/>
      <c r="BZ255" s="53"/>
      <c r="CA255" s="53"/>
      <c r="CB255" s="53"/>
      <c r="CC255" s="53"/>
      <c r="CD255" s="53"/>
      <c r="CE255" s="53"/>
      <c r="CF255" s="44"/>
      <c r="CH255" s="44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4"/>
    </row>
    <row r="256" spans="1:97" s="55" customFormat="1" ht="12.75" customHeight="1">
      <c r="B256" s="51"/>
      <c r="D256" s="44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53"/>
      <c r="AN256" s="53"/>
      <c r="AO256" s="53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47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R256" s="51"/>
      <c r="BS256" s="35"/>
      <c r="BT256" s="35"/>
      <c r="BU256" s="35"/>
      <c r="BV256" s="35"/>
      <c r="BW256" s="35"/>
      <c r="BX256" s="45"/>
      <c r="BY256" s="45"/>
      <c r="BZ256" s="35"/>
      <c r="CA256" s="35"/>
      <c r="CB256" s="35"/>
      <c r="CC256" s="35"/>
      <c r="CD256" s="35"/>
      <c r="CE256" s="35"/>
      <c r="CG256" s="47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</row>
    <row r="257" spans="2:97" s="55" customFormat="1" ht="12.75" customHeight="1">
      <c r="B257" s="51"/>
      <c r="D257" s="44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53"/>
      <c r="AN257" s="53"/>
      <c r="AO257" s="53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E257" s="47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G257" s="47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</row>
    <row r="258" spans="2:97" s="55" customFormat="1" ht="12.75" customHeight="1">
      <c r="B258" s="51"/>
      <c r="D258" s="44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53"/>
      <c r="AN258" s="53"/>
      <c r="AO258" s="53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E258" s="47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G258" s="47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</row>
    <row r="259" spans="2:97" s="55" customFormat="1" ht="12.75" customHeight="1">
      <c r="B259" s="51"/>
      <c r="D259" s="44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53"/>
      <c r="AN259" s="53"/>
      <c r="AO259" s="53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E259" s="47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G259" s="47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</row>
    <row r="260" spans="2:97" s="55" customFormat="1" ht="12.75" customHeight="1">
      <c r="B260" s="51"/>
      <c r="D260" s="44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53"/>
      <c r="AN260" s="53"/>
      <c r="AO260" s="53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E260" s="47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G260" s="47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</row>
    <row r="261" spans="2:97" s="55" customFormat="1" ht="12.75" customHeight="1">
      <c r="B261" s="51"/>
      <c r="D261" s="44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53"/>
      <c r="AN261" s="53"/>
      <c r="AO261" s="53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E261" s="47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G261" s="47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</row>
    <row r="262" spans="2:97" s="55" customFormat="1" ht="12.75" customHeight="1">
      <c r="B262" s="51"/>
      <c r="D262" s="44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53"/>
      <c r="AN262" s="53"/>
      <c r="AO262" s="53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E262" s="47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G262" s="47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</row>
    <row r="263" spans="2:97" s="55" customFormat="1" ht="12.75" customHeight="1">
      <c r="B263" s="51"/>
      <c r="D263" s="44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53"/>
      <c r="AN263" s="53"/>
      <c r="AO263" s="53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E263" s="47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G263" s="47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</row>
    <row r="264" spans="2:97" s="55" customFormat="1" ht="12.75" customHeight="1">
      <c r="B264" s="51"/>
      <c r="D264" s="44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53"/>
      <c r="AN264" s="53"/>
      <c r="AO264" s="53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E264" s="47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G264" s="47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</row>
    <row r="265" spans="2:97" s="55" customFormat="1" ht="12.75" customHeight="1">
      <c r="B265" s="51"/>
      <c r="D265" s="44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53"/>
      <c r="AN265" s="53"/>
      <c r="AO265" s="53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E265" s="47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G265" s="47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</row>
    <row r="266" spans="2:97" s="55" customFormat="1" ht="12.75" customHeight="1">
      <c r="B266" s="51"/>
      <c r="D266" s="44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53"/>
      <c r="AN266" s="53"/>
      <c r="AO266" s="53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E266" s="47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G266" s="47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</row>
    <row r="267" spans="2:97" s="55" customFormat="1" ht="12.75" customHeight="1">
      <c r="B267" s="51"/>
      <c r="D267" s="44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53"/>
      <c r="AN267" s="53"/>
      <c r="AO267" s="53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E267" s="47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G267" s="47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</row>
    <row r="268" spans="2:97" s="55" customFormat="1" ht="12.75" customHeight="1">
      <c r="B268" s="51"/>
      <c r="D268" s="44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53"/>
      <c r="AN268" s="53"/>
      <c r="AO268" s="53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E268" s="47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G268" s="47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</row>
    <row r="269" spans="2:97" s="55" customFormat="1" ht="12.75" customHeight="1">
      <c r="B269" s="51"/>
      <c r="D269" s="44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53"/>
      <c r="AN269" s="53"/>
      <c r="AO269" s="53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E269" s="47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G269" s="47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</row>
    <row r="270" spans="2:97" s="55" customFormat="1" ht="12.75" customHeight="1">
      <c r="B270" s="51"/>
      <c r="D270" s="44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53"/>
      <c r="AN270" s="53"/>
      <c r="AO270" s="53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E270" s="47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G270" s="47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</row>
    <row r="271" spans="2:97" s="55" customFormat="1" ht="12.75" customHeight="1">
      <c r="B271" s="51"/>
      <c r="D271" s="44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53"/>
      <c r="AN271" s="53"/>
      <c r="AO271" s="53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E271" s="47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G271" s="47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</row>
    <row r="272" spans="2:97" s="55" customFormat="1" ht="12.75" customHeight="1">
      <c r="B272" s="51"/>
      <c r="D272" s="44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53"/>
      <c r="AN272" s="53"/>
      <c r="AO272" s="53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E272" s="47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G272" s="47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</row>
    <row r="273" spans="2:97" s="55" customFormat="1" ht="12.75" customHeight="1">
      <c r="B273" s="51"/>
      <c r="D273" s="44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53"/>
      <c r="AN273" s="53"/>
      <c r="AO273" s="53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E273" s="47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G273" s="47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</row>
    <row r="274" spans="2:97" s="55" customFormat="1" ht="12.75" customHeight="1">
      <c r="B274" s="51"/>
      <c r="D274" s="44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53"/>
      <c r="AN274" s="53"/>
      <c r="AO274" s="53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E274" s="47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G274" s="47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</row>
    <row r="275" spans="2:97" s="55" customFormat="1" ht="12.75" customHeight="1">
      <c r="B275" s="51"/>
      <c r="D275" s="44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53"/>
      <c r="AN275" s="53"/>
      <c r="AO275" s="53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E275" s="47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G275" s="47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</row>
    <row r="276" spans="2:97" s="55" customFormat="1" ht="12.75" customHeight="1">
      <c r="B276" s="51"/>
      <c r="D276" s="44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53"/>
      <c r="AN276" s="53"/>
      <c r="AO276" s="53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E276" s="47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G276" s="47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</row>
    <row r="277" spans="2:97" s="55" customFormat="1" ht="12.75" customHeight="1">
      <c r="B277" s="51"/>
      <c r="D277" s="44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53"/>
      <c r="AN277" s="53"/>
      <c r="AO277" s="53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E277" s="47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G277" s="47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</row>
    <row r="278" spans="2:97" s="55" customFormat="1" ht="12.75" customHeight="1">
      <c r="B278" s="51"/>
      <c r="D278" s="44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53"/>
      <c r="AN278" s="53"/>
      <c r="AO278" s="53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E278" s="47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G278" s="47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</row>
    <row r="279" spans="2:97" s="55" customFormat="1" ht="12.75" customHeight="1">
      <c r="B279" s="51"/>
      <c r="D279" s="44"/>
      <c r="AM279" s="53"/>
      <c r="AN279" s="53"/>
      <c r="AO279" s="53"/>
      <c r="BE279" s="47"/>
      <c r="BP279" s="45"/>
      <c r="BQ279" s="45"/>
      <c r="BR279" s="45"/>
      <c r="BS279" s="45"/>
      <c r="BT279" s="45"/>
      <c r="BU279" s="45"/>
      <c r="BV279" s="45"/>
      <c r="BW279" s="45"/>
      <c r="CG279" s="47"/>
    </row>
    <row r="280" spans="2:97" s="55" customFormat="1" ht="12.75" customHeight="1">
      <c r="B280" s="51"/>
      <c r="D280" s="44"/>
      <c r="AM280" s="53"/>
      <c r="AN280" s="53"/>
      <c r="AO280" s="53"/>
      <c r="BE280" s="47"/>
      <c r="BP280" s="45"/>
      <c r="BQ280" s="45"/>
      <c r="BR280" s="45"/>
      <c r="BS280" s="45"/>
      <c r="BT280" s="45"/>
      <c r="BU280" s="45"/>
      <c r="BV280" s="45"/>
      <c r="BW280" s="45"/>
      <c r="CG280" s="47"/>
    </row>
    <row r="281" spans="2:97" s="55" customFormat="1" ht="12.75" customHeight="1">
      <c r="B281" s="51"/>
      <c r="D281" s="44"/>
      <c r="AM281" s="53"/>
      <c r="AN281" s="53"/>
      <c r="AO281" s="53"/>
      <c r="BE281" s="47"/>
      <c r="BP281" s="45"/>
      <c r="BQ281" s="45"/>
      <c r="BR281" s="45"/>
      <c r="BS281" s="45"/>
      <c r="BT281" s="45"/>
      <c r="BU281" s="45"/>
      <c r="BV281" s="45"/>
      <c r="BW281" s="45"/>
      <c r="CG281" s="47"/>
    </row>
    <row r="282" spans="2:97" s="55" customFormat="1" ht="12.75" customHeight="1">
      <c r="B282" s="51"/>
      <c r="D282" s="44"/>
      <c r="AM282" s="53"/>
      <c r="AN282" s="53"/>
      <c r="AO282" s="53"/>
      <c r="BE282" s="47"/>
      <c r="BP282" s="45"/>
      <c r="BQ282" s="45"/>
      <c r="BR282" s="45"/>
      <c r="BS282" s="45"/>
      <c r="BT282" s="45"/>
      <c r="BU282" s="45"/>
      <c r="BV282" s="45"/>
      <c r="BW282" s="45"/>
      <c r="CG282" s="47"/>
    </row>
    <row r="283" spans="2:97" s="55" customFormat="1" ht="12.75" customHeight="1">
      <c r="B283" s="51"/>
      <c r="D283" s="44"/>
      <c r="AM283" s="53"/>
      <c r="AN283" s="53"/>
      <c r="AO283" s="53"/>
      <c r="BE283" s="47"/>
      <c r="BP283" s="45"/>
      <c r="BQ283" s="45"/>
      <c r="BR283" s="45"/>
      <c r="BS283" s="45"/>
      <c r="BT283" s="45"/>
      <c r="BU283" s="45"/>
      <c r="BV283" s="45"/>
      <c r="BW283" s="45"/>
      <c r="CG283" s="47"/>
    </row>
    <row r="284" spans="2:97" s="55" customFormat="1" ht="12.75" customHeight="1">
      <c r="B284" s="51"/>
      <c r="D284" s="44"/>
      <c r="AM284" s="53"/>
      <c r="AN284" s="53"/>
      <c r="AO284" s="53"/>
      <c r="BE284" s="47"/>
      <c r="BP284" s="45"/>
      <c r="BQ284" s="45"/>
      <c r="BR284" s="45"/>
      <c r="BS284" s="45"/>
      <c r="BT284" s="45"/>
      <c r="BU284" s="45"/>
      <c r="BV284" s="45"/>
      <c r="BW284" s="45"/>
      <c r="CG284" s="47"/>
    </row>
    <row r="285" spans="2:97" s="55" customFormat="1" ht="12.75" customHeight="1">
      <c r="B285" s="51"/>
      <c r="D285" s="44"/>
      <c r="AM285" s="53"/>
      <c r="AN285" s="53"/>
      <c r="AO285" s="53"/>
      <c r="BE285" s="47"/>
      <c r="BP285" s="45"/>
      <c r="BQ285" s="45"/>
      <c r="BR285" s="45"/>
      <c r="BS285" s="45"/>
      <c r="BT285" s="45"/>
      <c r="BU285" s="45"/>
      <c r="BV285" s="45"/>
      <c r="BW285" s="45"/>
      <c r="CG285" s="47"/>
    </row>
    <row r="286" spans="2:97" s="55" customFormat="1" ht="12.75" customHeight="1">
      <c r="B286" s="51"/>
      <c r="D286" s="44"/>
      <c r="AM286" s="53"/>
      <c r="AN286" s="53"/>
      <c r="AO286" s="53"/>
      <c r="BE286" s="47"/>
      <c r="BP286" s="45"/>
      <c r="BQ286" s="45"/>
      <c r="BR286" s="45"/>
      <c r="BS286" s="45"/>
      <c r="BT286" s="45"/>
      <c r="BU286" s="45"/>
      <c r="BV286" s="45"/>
      <c r="BW286" s="45"/>
      <c r="CG286" s="47"/>
    </row>
    <row r="287" spans="2:97" s="55" customFormat="1" ht="12.75" customHeight="1">
      <c r="B287" s="51"/>
      <c r="D287" s="44"/>
      <c r="AM287" s="53"/>
      <c r="AN287" s="53"/>
      <c r="AO287" s="53"/>
      <c r="BE287" s="47"/>
      <c r="BP287" s="45"/>
      <c r="BQ287" s="45"/>
      <c r="BR287" s="45"/>
      <c r="BS287" s="45"/>
      <c r="BT287" s="45"/>
      <c r="BU287" s="45"/>
      <c r="BV287" s="45"/>
      <c r="BW287" s="45"/>
      <c r="CG287" s="47"/>
    </row>
    <row r="288" spans="2:97" s="55" customFormat="1" ht="12.75" customHeight="1">
      <c r="B288" s="51"/>
      <c r="D288" s="44"/>
      <c r="AM288" s="53"/>
      <c r="AN288" s="53"/>
      <c r="AO288" s="53"/>
      <c r="BE288" s="47"/>
      <c r="BP288" s="45"/>
      <c r="BQ288" s="45"/>
      <c r="BR288" s="45"/>
      <c r="BS288" s="45"/>
      <c r="BT288" s="45"/>
      <c r="BU288" s="45"/>
      <c r="BV288" s="45"/>
      <c r="BW288" s="45"/>
      <c r="CG288" s="47"/>
    </row>
    <row r="289" spans="2:85" s="55" customFormat="1" ht="12.75" customHeight="1">
      <c r="B289" s="51"/>
      <c r="D289" s="44"/>
      <c r="AM289" s="53"/>
      <c r="AN289" s="53"/>
      <c r="AO289" s="53"/>
      <c r="BE289" s="47"/>
      <c r="BP289" s="45"/>
      <c r="BQ289" s="45"/>
      <c r="BR289" s="45"/>
      <c r="BS289" s="45"/>
      <c r="BT289" s="45"/>
      <c r="BU289" s="45"/>
      <c r="BV289" s="45"/>
      <c r="BW289" s="45"/>
      <c r="CG289" s="47"/>
    </row>
    <row r="290" spans="2:85" s="55" customFormat="1" ht="12.75" customHeight="1">
      <c r="B290" s="51"/>
      <c r="D290" s="44"/>
      <c r="AM290" s="53"/>
      <c r="AN290" s="53"/>
      <c r="AO290" s="53"/>
      <c r="BE290" s="47"/>
      <c r="BP290" s="45"/>
      <c r="BQ290" s="45"/>
      <c r="BR290" s="45"/>
      <c r="BS290" s="45"/>
      <c r="BT290" s="45"/>
      <c r="BU290" s="45"/>
      <c r="BV290" s="45"/>
      <c r="BW290" s="45"/>
      <c r="CG290" s="47"/>
    </row>
    <row r="291" spans="2:85" s="55" customFormat="1" ht="12.75" customHeight="1">
      <c r="B291" s="51"/>
      <c r="D291" s="44"/>
      <c r="AM291" s="53"/>
      <c r="AN291" s="53"/>
      <c r="AO291" s="53"/>
      <c r="BE291" s="47"/>
      <c r="BP291" s="45"/>
      <c r="BQ291" s="45"/>
      <c r="BR291" s="45"/>
      <c r="BS291" s="45"/>
      <c r="BT291" s="45"/>
      <c r="BU291" s="45"/>
      <c r="BV291" s="45"/>
      <c r="BW291" s="45"/>
      <c r="CG291" s="47"/>
    </row>
    <row r="292" spans="2:85" s="55" customFormat="1" ht="12.75" customHeight="1">
      <c r="B292" s="51"/>
      <c r="D292" s="44"/>
      <c r="AM292" s="53"/>
      <c r="AN292" s="53"/>
      <c r="AO292" s="53"/>
      <c r="BE292" s="47"/>
      <c r="BP292" s="45"/>
      <c r="BQ292" s="45"/>
      <c r="BR292" s="45"/>
      <c r="BS292" s="45"/>
      <c r="BT292" s="45"/>
      <c r="BU292" s="45"/>
      <c r="BV292" s="45"/>
      <c r="BW292" s="45"/>
      <c r="CG292" s="47"/>
    </row>
    <row r="293" spans="2:85" s="55" customFormat="1" ht="12.75" customHeight="1">
      <c r="B293" s="51"/>
      <c r="D293" s="44"/>
      <c r="AM293" s="53"/>
      <c r="AN293" s="53"/>
      <c r="AO293" s="53"/>
      <c r="BE293" s="47"/>
      <c r="BP293" s="45"/>
      <c r="BQ293" s="45"/>
      <c r="BR293" s="45"/>
      <c r="BS293" s="45"/>
      <c r="BT293" s="45"/>
      <c r="BU293" s="45"/>
      <c r="BV293" s="45"/>
      <c r="BW293" s="45"/>
      <c r="CG293" s="47"/>
    </row>
    <row r="294" spans="2:85" s="55" customFormat="1" ht="12.75" customHeight="1">
      <c r="B294" s="51"/>
      <c r="D294" s="44"/>
      <c r="AM294" s="53"/>
      <c r="AN294" s="53"/>
      <c r="AO294" s="53"/>
      <c r="BE294" s="47"/>
      <c r="BP294" s="45"/>
      <c r="BQ294" s="45"/>
      <c r="BR294" s="45"/>
      <c r="BS294" s="45"/>
      <c r="BT294" s="45"/>
      <c r="BU294" s="45"/>
      <c r="BV294" s="45"/>
      <c r="BW294" s="45"/>
      <c r="CG294" s="47"/>
    </row>
    <row r="295" spans="2:85" s="55" customFormat="1" ht="12.75" customHeight="1">
      <c r="B295" s="51"/>
      <c r="D295" s="44"/>
      <c r="AM295" s="53"/>
      <c r="AN295" s="53"/>
      <c r="AO295" s="53"/>
      <c r="BE295" s="47"/>
      <c r="BP295" s="45"/>
      <c r="BQ295" s="45"/>
      <c r="BR295" s="45"/>
      <c r="BS295" s="45"/>
      <c r="BT295" s="45"/>
      <c r="BU295" s="45"/>
      <c r="BV295" s="45"/>
      <c r="BW295" s="45"/>
      <c r="CG295" s="47"/>
    </row>
    <row r="296" spans="2:85" s="55" customFormat="1" ht="12.75" customHeight="1">
      <c r="B296" s="51"/>
      <c r="D296" s="44"/>
      <c r="AM296" s="53"/>
      <c r="AN296" s="53"/>
      <c r="AO296" s="53"/>
      <c r="BE296" s="47"/>
      <c r="BP296" s="45"/>
      <c r="BQ296" s="45"/>
      <c r="BR296" s="45"/>
      <c r="BS296" s="45"/>
      <c r="BT296" s="45"/>
      <c r="BU296" s="45"/>
      <c r="BV296" s="45"/>
      <c r="BW296" s="45"/>
      <c r="CG296" s="47"/>
    </row>
    <row r="297" spans="2:85" s="55" customFormat="1" ht="12.75" customHeight="1">
      <c r="B297" s="51"/>
      <c r="D297" s="44"/>
      <c r="AM297" s="53"/>
      <c r="AN297" s="53"/>
      <c r="AO297" s="53"/>
      <c r="BE297" s="47"/>
      <c r="BP297" s="45"/>
      <c r="BQ297" s="45"/>
      <c r="BR297" s="45"/>
      <c r="BS297" s="45"/>
      <c r="BT297" s="45"/>
      <c r="BU297" s="45"/>
      <c r="BV297" s="45"/>
      <c r="BW297" s="45"/>
      <c r="CG297" s="47"/>
    </row>
    <row r="298" spans="2:85" s="55" customFormat="1" ht="12.75" customHeight="1">
      <c r="B298" s="51"/>
      <c r="D298" s="44"/>
      <c r="AM298" s="53"/>
      <c r="AN298" s="53"/>
      <c r="AO298" s="53"/>
      <c r="BE298" s="47"/>
      <c r="BP298" s="45"/>
      <c r="BQ298" s="45"/>
      <c r="BR298" s="45"/>
      <c r="BS298" s="45"/>
      <c r="BT298" s="45"/>
      <c r="BU298" s="45"/>
      <c r="BV298" s="45"/>
      <c r="BW298" s="45"/>
      <c r="CG298" s="47"/>
    </row>
    <row r="299" spans="2:85" s="55" customFormat="1" ht="12.75" customHeight="1">
      <c r="B299" s="51"/>
      <c r="D299" s="44"/>
      <c r="AM299" s="53"/>
      <c r="AN299" s="53"/>
      <c r="AO299" s="53"/>
      <c r="BE299" s="47"/>
      <c r="BP299" s="45"/>
      <c r="BQ299" s="45"/>
      <c r="BR299" s="45"/>
      <c r="BS299" s="45"/>
      <c r="BT299" s="45"/>
      <c r="BU299" s="45"/>
      <c r="BV299" s="45"/>
      <c r="BW299" s="45"/>
      <c r="CG299" s="47"/>
    </row>
    <row r="300" spans="2:85" s="55" customFormat="1" ht="12.75" customHeight="1">
      <c r="B300" s="51"/>
      <c r="D300" s="44"/>
      <c r="AM300" s="53"/>
      <c r="AN300" s="53"/>
      <c r="AO300" s="53"/>
      <c r="BE300" s="47"/>
      <c r="BP300" s="45"/>
      <c r="BQ300" s="45"/>
      <c r="BR300" s="45"/>
      <c r="BS300" s="45"/>
      <c r="BT300" s="45"/>
      <c r="BU300" s="45"/>
      <c r="BV300" s="45"/>
      <c r="BW300" s="45"/>
      <c r="CG300" s="47"/>
    </row>
    <row r="301" spans="2:85" s="55" customFormat="1" ht="12.75" customHeight="1">
      <c r="B301" s="51"/>
      <c r="D301" s="44"/>
      <c r="BE301" s="47"/>
      <c r="BP301" s="45"/>
      <c r="BQ301" s="45"/>
      <c r="BR301" s="45"/>
      <c r="BS301" s="45"/>
      <c r="BT301" s="45"/>
      <c r="BU301" s="45"/>
      <c r="BV301" s="45"/>
      <c r="BW301" s="45"/>
      <c r="CG301" s="47"/>
    </row>
    <row r="302" spans="2:85" s="55" customFormat="1" ht="12.75" customHeight="1">
      <c r="B302" s="51"/>
      <c r="D302" s="44"/>
      <c r="BE302" s="47"/>
      <c r="BP302" s="45"/>
      <c r="BQ302" s="45"/>
      <c r="BR302" s="45"/>
      <c r="BS302" s="45"/>
      <c r="BT302" s="45"/>
      <c r="BU302" s="45"/>
      <c r="BV302" s="45"/>
      <c r="BW302" s="45"/>
      <c r="CG302" s="47"/>
    </row>
    <row r="303" spans="2:85" s="55" customFormat="1" ht="12.75" customHeight="1">
      <c r="B303" s="51"/>
      <c r="D303" s="44"/>
      <c r="BE303" s="47"/>
      <c r="BP303" s="45"/>
      <c r="BQ303" s="45"/>
      <c r="BR303" s="45"/>
      <c r="BS303" s="45"/>
      <c r="BT303" s="45"/>
      <c r="BU303" s="45"/>
      <c r="BV303" s="45"/>
      <c r="BW303" s="45"/>
      <c r="CG303" s="47"/>
    </row>
    <row r="304" spans="2:85" s="55" customFormat="1" ht="12.75" customHeight="1">
      <c r="B304" s="51"/>
      <c r="D304" s="44"/>
      <c r="BE304" s="47"/>
      <c r="BP304" s="45"/>
      <c r="BQ304" s="45"/>
      <c r="BR304" s="45"/>
      <c r="BS304" s="45"/>
      <c r="BT304" s="45"/>
      <c r="BU304" s="45"/>
      <c r="BV304" s="45"/>
      <c r="BW304" s="45"/>
      <c r="CG304" s="47"/>
    </row>
    <row r="305" spans="2:85" s="55" customFormat="1" ht="12.75" customHeight="1">
      <c r="B305" s="51"/>
      <c r="D305" s="44"/>
      <c r="BE305" s="47"/>
      <c r="BP305" s="45"/>
      <c r="BQ305" s="45"/>
      <c r="BR305" s="45"/>
      <c r="BS305" s="45"/>
      <c r="BT305" s="45"/>
      <c r="BU305" s="45"/>
      <c r="BV305" s="45"/>
      <c r="BW305" s="45"/>
      <c r="CG305" s="47"/>
    </row>
    <row r="306" spans="2:85" s="55" customFormat="1" ht="12.75" customHeight="1">
      <c r="B306" s="51"/>
      <c r="D306" s="44"/>
      <c r="BE306" s="47"/>
      <c r="BP306" s="45"/>
      <c r="BQ306" s="45"/>
      <c r="BR306" s="45"/>
      <c r="BS306" s="45"/>
      <c r="BT306" s="45"/>
      <c r="BU306" s="45"/>
      <c r="BV306" s="45"/>
      <c r="BW306" s="45"/>
      <c r="CG306" s="47"/>
    </row>
    <row r="307" spans="2:85" s="55" customFormat="1" ht="12.75" customHeight="1">
      <c r="B307" s="51"/>
      <c r="D307" s="44"/>
      <c r="BE307" s="47"/>
      <c r="BP307" s="45"/>
      <c r="BQ307" s="45"/>
      <c r="BR307" s="45"/>
      <c r="BS307" s="45"/>
      <c r="BT307" s="45"/>
      <c r="BU307" s="45"/>
      <c r="BV307" s="45"/>
      <c r="BW307" s="45"/>
      <c r="CG307" s="47"/>
    </row>
    <row r="308" spans="2:85" s="55" customFormat="1" ht="12.75" customHeight="1">
      <c r="B308" s="51"/>
      <c r="D308" s="44"/>
      <c r="BE308" s="47"/>
      <c r="BP308" s="45"/>
      <c r="BQ308" s="45"/>
      <c r="BR308" s="45"/>
      <c r="BS308" s="45"/>
      <c r="BT308" s="45"/>
      <c r="BU308" s="45"/>
      <c r="BV308" s="45"/>
      <c r="BW308" s="45"/>
      <c r="CG308" s="47"/>
    </row>
    <row r="309" spans="2:85" s="55" customFormat="1" ht="12.75" customHeight="1">
      <c r="B309" s="51"/>
      <c r="D309" s="44"/>
      <c r="BE309" s="47"/>
      <c r="BP309" s="45"/>
      <c r="BQ309" s="45"/>
      <c r="BR309" s="45"/>
      <c r="BS309" s="45"/>
      <c r="BT309" s="45"/>
      <c r="BU309" s="45"/>
      <c r="BV309" s="45"/>
      <c r="BW309" s="45"/>
      <c r="CG309" s="47"/>
    </row>
    <row r="310" spans="2:85" s="55" customFormat="1" ht="12.75" customHeight="1">
      <c r="B310" s="51"/>
      <c r="D310" s="44"/>
      <c r="BE310" s="47"/>
      <c r="BP310" s="45"/>
      <c r="BQ310" s="45"/>
      <c r="BR310" s="45"/>
      <c r="BS310" s="45"/>
      <c r="BT310" s="45"/>
      <c r="BU310" s="45"/>
      <c r="BV310" s="45"/>
      <c r="BW310" s="45"/>
      <c r="CG310" s="47"/>
    </row>
    <row r="311" spans="2:85" s="55" customFormat="1" ht="12.75" customHeight="1">
      <c r="B311" s="51"/>
      <c r="D311" s="44"/>
      <c r="BE311" s="47"/>
      <c r="BP311" s="45"/>
      <c r="BQ311" s="45"/>
      <c r="BR311" s="45"/>
      <c r="BS311" s="45"/>
      <c r="BT311" s="45"/>
      <c r="BU311" s="45"/>
      <c r="BV311" s="45"/>
      <c r="BW311" s="45"/>
      <c r="CG311" s="47"/>
    </row>
    <row r="312" spans="2:85" s="55" customFormat="1" ht="12.75" customHeight="1">
      <c r="B312" s="51"/>
      <c r="D312" s="44"/>
      <c r="BE312" s="47"/>
      <c r="BP312" s="45"/>
      <c r="BQ312" s="45"/>
      <c r="BR312" s="45"/>
      <c r="BS312" s="45"/>
      <c r="BT312" s="45"/>
      <c r="BU312" s="45"/>
      <c r="BV312" s="45"/>
      <c r="BW312" s="45"/>
      <c r="CG312" s="47"/>
    </row>
    <row r="313" spans="2:85" s="55" customFormat="1" ht="12.75" customHeight="1">
      <c r="B313" s="51"/>
      <c r="D313" s="44"/>
      <c r="BE313" s="47"/>
      <c r="BP313" s="45"/>
      <c r="BQ313" s="45"/>
      <c r="BR313" s="45"/>
      <c r="BS313" s="45"/>
      <c r="BT313" s="45"/>
      <c r="BU313" s="45"/>
      <c r="BV313" s="45"/>
      <c r="BW313" s="45"/>
      <c r="CG313" s="47"/>
    </row>
    <row r="314" spans="2:85" s="55" customFormat="1" ht="12.75" customHeight="1">
      <c r="B314" s="51"/>
      <c r="D314" s="44"/>
      <c r="BE314" s="47"/>
      <c r="BP314" s="45"/>
      <c r="BQ314" s="45"/>
      <c r="BR314" s="45"/>
      <c r="BS314" s="45"/>
      <c r="BT314" s="45"/>
      <c r="BU314" s="45"/>
      <c r="BV314" s="45"/>
      <c r="BW314" s="45"/>
      <c r="CG314" s="47"/>
    </row>
    <row r="315" spans="2:85" s="55" customFormat="1" ht="12.75" customHeight="1">
      <c r="B315" s="51"/>
      <c r="D315" s="44"/>
      <c r="BE315" s="47"/>
      <c r="BP315" s="45"/>
      <c r="BQ315" s="45"/>
      <c r="BR315" s="45"/>
      <c r="BS315" s="45"/>
      <c r="BT315" s="45"/>
      <c r="BU315" s="45"/>
      <c r="BV315" s="45"/>
      <c r="BW315" s="45"/>
      <c r="CG315" s="47"/>
    </row>
    <row r="316" spans="2:85" s="55" customFormat="1" ht="12.75" customHeight="1">
      <c r="B316" s="51"/>
      <c r="D316" s="44"/>
      <c r="BE316" s="47"/>
      <c r="BP316" s="45"/>
      <c r="BQ316" s="45"/>
      <c r="BR316" s="45"/>
      <c r="BS316" s="45"/>
      <c r="BT316" s="45"/>
      <c r="BU316" s="45"/>
      <c r="BV316" s="45"/>
      <c r="BW316" s="45"/>
      <c r="CG316" s="47"/>
    </row>
    <row r="317" spans="2:85" s="55" customFormat="1" ht="12.75" customHeight="1">
      <c r="B317" s="51"/>
      <c r="D317" s="44"/>
      <c r="BE317" s="47"/>
      <c r="BP317" s="45"/>
      <c r="BQ317" s="45"/>
      <c r="BR317" s="45"/>
      <c r="BS317" s="45"/>
      <c r="BT317" s="45"/>
      <c r="BU317" s="45"/>
      <c r="BV317" s="45"/>
      <c r="BW317" s="45"/>
      <c r="CG317" s="47"/>
    </row>
  </sheetData>
  <mergeCells count="1">
    <mergeCell ref="Q5:U5"/>
  </mergeCells>
  <phoneticPr fontId="4" type="noConversion"/>
  <pageMargins left="0.75" right="0.75" top="0.5" bottom="0.5" header="0" footer="0.25"/>
  <pageSetup scale="96" firstPageNumber="110" pageOrder="overThenDown" orientation="portrait" useFirstPageNumber="1" r:id="rId1"/>
  <headerFooter alignWithMargins="0">
    <oddFooter>&amp;C&amp;"Times New Roman,Regular"&amp;11&amp;P</oddFooter>
  </headerFooter>
  <colBreaks count="2" manualBreakCount="2">
    <brk id="13" min="9" max="249" man="1"/>
    <brk id="37" min="9" max="24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BV314"/>
  <sheetViews>
    <sheetView view="pageBreakPreview" zoomScale="70" zoomScaleNormal="100" zoomScaleSheetLayoutView="70" workbookViewId="0">
      <pane xSplit="3" ySplit="9" topLeftCell="AH10" activePane="bottomRight" state="frozen"/>
      <selection sqref="A1:IV65536"/>
      <selection pane="topRight" sqref="A1:IV65536"/>
      <selection pane="bottomLeft" sqref="A1:IV65536"/>
      <selection pane="bottomRight" activeCell="M8" sqref="M8"/>
    </sheetView>
  </sheetViews>
  <sheetFormatPr defaultColWidth="8.42578125" defaultRowHeight="12.75" customHeight="1"/>
  <cols>
    <col min="1" max="1" width="13.7109375" style="55" customWidth="1"/>
    <col min="2" max="2" width="1.7109375" style="51" customWidth="1"/>
    <col min="3" max="3" width="10.140625" style="55" customWidth="1"/>
    <col min="4" max="4" width="1.7109375" style="55" customWidth="1"/>
    <col min="5" max="5" width="11.7109375" style="55" customWidth="1"/>
    <col min="6" max="6" width="1.7109375" style="55" customWidth="1"/>
    <col min="7" max="7" width="11.7109375" style="55" customWidth="1"/>
    <col min="8" max="8" width="1.7109375" style="55" customWidth="1"/>
    <col min="9" max="9" width="11.7109375" style="55" customWidth="1"/>
    <col min="10" max="10" width="1.7109375" style="55" customWidth="1"/>
    <col min="11" max="11" width="11.7109375" style="55" customWidth="1"/>
    <col min="12" max="12" width="1.7109375" style="55" customWidth="1"/>
    <col min="13" max="13" width="11.7109375" style="55" customWidth="1"/>
    <col min="14" max="14" width="1.7109375" style="55" customWidth="1"/>
    <col min="15" max="15" width="11.7109375" style="55" customWidth="1"/>
    <col min="16" max="16" width="1.7109375" style="55" customWidth="1"/>
    <col min="17" max="17" width="11.7109375" style="55" customWidth="1"/>
    <col min="18" max="18" width="1.85546875" style="55" customWidth="1"/>
    <col min="19" max="19" width="11.7109375" style="55" customWidth="1"/>
    <col min="20" max="20" width="1.7109375" style="55" customWidth="1"/>
    <col min="21" max="21" width="11.7109375" style="55" customWidth="1"/>
    <col min="22" max="22" width="1.7109375" style="55" customWidth="1"/>
    <col min="23" max="23" width="11.7109375" style="55" customWidth="1"/>
    <col min="24" max="24" width="14.5703125" style="55" customWidth="1"/>
    <col min="25" max="25" width="13.7109375" style="55" customWidth="1"/>
    <col min="26" max="26" width="1.7109375" style="47" customWidth="1"/>
    <col min="27" max="27" width="10.140625" style="55" customWidth="1"/>
    <col min="28" max="28" width="1.7109375" style="55" customWidth="1"/>
    <col min="29" max="29" width="11.7109375" style="55" customWidth="1"/>
    <col min="30" max="30" width="1.7109375" style="55" customWidth="1"/>
    <col min="31" max="31" width="11.7109375" style="55" customWidth="1"/>
    <col min="32" max="32" width="1.7109375" style="55" customWidth="1"/>
    <col min="33" max="33" width="11.7109375" style="55" customWidth="1"/>
    <col min="34" max="34" width="1.7109375" style="55" customWidth="1"/>
    <col min="35" max="35" width="11.7109375" style="55" customWidth="1"/>
    <col min="36" max="36" width="1.7109375" style="55" customWidth="1"/>
    <col min="37" max="37" width="11.7109375" style="45" customWidth="1"/>
    <col min="38" max="38" width="1.7109375" style="45" customWidth="1"/>
    <col min="39" max="39" width="11.7109375" style="45" customWidth="1"/>
    <col min="40" max="40" width="1.7109375" style="45" customWidth="1"/>
    <col min="41" max="41" width="11.7109375" style="45" customWidth="1"/>
    <col min="42" max="42" width="1.7109375" style="45" customWidth="1"/>
    <col min="43" max="43" width="11.7109375" style="45" customWidth="1"/>
    <col min="44" max="44" width="1.7109375" style="45" customWidth="1"/>
    <col min="45" max="45" width="11.7109375" style="55" customWidth="1"/>
    <col min="46" max="46" width="1.7109375" style="55" customWidth="1"/>
    <col min="47" max="47" width="11.7109375" style="55" hidden="1" customWidth="1"/>
    <col min="48" max="48" width="1.7109375" style="55" hidden="1" customWidth="1"/>
    <col min="49" max="49" width="11.7109375" style="55" hidden="1" customWidth="1"/>
    <col min="50" max="50" width="1.7109375" style="55" hidden="1" customWidth="1"/>
    <col min="51" max="52" width="11.7109375" style="55" customWidth="1"/>
    <col min="53" max="53" width="13.7109375" style="55" customWidth="1"/>
    <col min="54" max="54" width="1.7109375" style="47" customWidth="1"/>
    <col min="55" max="55" width="10.140625" style="55" customWidth="1"/>
    <col min="56" max="56" width="1.7109375" style="55" customWidth="1"/>
    <col min="57" max="57" width="11.7109375" style="55" customWidth="1"/>
    <col min="58" max="58" width="1.7109375" style="55" customWidth="1"/>
    <col min="59" max="59" width="11.7109375" style="55" customWidth="1"/>
    <col min="60" max="60" width="1.7109375" style="55" customWidth="1"/>
    <col min="61" max="61" width="11.7109375" style="55" customWidth="1"/>
    <col min="62" max="62" width="1.7109375" style="55" customWidth="1"/>
    <col min="63" max="63" width="11.7109375" style="55" customWidth="1"/>
    <col min="64" max="64" width="1.7109375" style="55" customWidth="1"/>
    <col min="65" max="65" width="11.7109375" style="55" customWidth="1"/>
    <col min="66" max="66" width="1.7109375" style="55" hidden="1" customWidth="1"/>
    <col min="67" max="67" width="11.7109375" style="55" hidden="1" customWidth="1"/>
    <col min="68" max="68" width="1.7109375" style="55" hidden="1" customWidth="1"/>
    <col min="69" max="69" width="11.7109375" style="55" hidden="1" customWidth="1"/>
    <col min="70" max="70" width="1.7109375" style="55" customWidth="1"/>
    <col min="71" max="71" width="11.7109375" style="55" customWidth="1"/>
    <col min="72" max="72" width="1.7109375" style="55" customWidth="1"/>
    <col min="73" max="73" width="11.7109375" style="55" customWidth="1"/>
    <col min="74" max="74" width="1.7109375" style="55" customWidth="1"/>
    <col min="75" max="75" width="11.7109375" style="55" customWidth="1"/>
    <col min="76" max="76" width="1.7109375" style="55" customWidth="1"/>
    <col min="77" max="77" width="11.7109375" style="55" customWidth="1"/>
    <col min="78" max="78" width="1.7109375" style="55" customWidth="1"/>
    <col min="79" max="79" width="11.7109375" style="55" customWidth="1"/>
    <col min="80" max="80" width="1.7109375" style="55" customWidth="1"/>
    <col min="81" max="81" width="11.7109375" style="55" customWidth="1"/>
    <col min="82" max="82" width="1.7109375" style="55" customWidth="1"/>
    <col min="83" max="83" width="11.7109375" style="55" customWidth="1"/>
    <col min="84" max="84" width="1.7109375" style="55" customWidth="1"/>
    <col min="85" max="85" width="11.7109375" style="55" customWidth="1"/>
    <col min="86" max="86" width="1.7109375" style="55" customWidth="1"/>
    <col min="87" max="16384" width="8.42578125" style="55"/>
  </cols>
  <sheetData>
    <row r="1" spans="1:66" s="85" customFormat="1" ht="12.75" customHeight="1">
      <c r="A1" s="74" t="s">
        <v>393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393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393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.75" customHeight="1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 ht="12.75" customHeight="1">
      <c r="A3" s="74" t="s">
        <v>499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499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499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 ht="12.75" customHeight="1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 ht="12.75" customHeight="1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 ht="12.75" customHeight="1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6" t="s">
        <v>2</v>
      </c>
      <c r="R6" s="156"/>
      <c r="S6" s="156"/>
      <c r="T6" s="156"/>
      <c r="U6" s="156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.75" customHeight="1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.75" customHeight="1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6" t="s">
        <v>351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.75" customHeight="1">
      <c r="A9" s="7" t="s">
        <v>8</v>
      </c>
      <c r="C9" s="7" t="s">
        <v>9</v>
      </c>
      <c r="D9" s="8"/>
      <c r="E9" s="7" t="s">
        <v>0</v>
      </c>
      <c r="F9" s="8"/>
      <c r="G9" s="7" t="s">
        <v>0</v>
      </c>
      <c r="H9" s="8"/>
      <c r="I9" s="7" t="s">
        <v>0</v>
      </c>
      <c r="J9" s="8"/>
      <c r="K9" s="7" t="s">
        <v>1</v>
      </c>
      <c r="L9" s="8"/>
      <c r="M9" s="7" t="s">
        <v>1</v>
      </c>
      <c r="N9" s="7"/>
      <c r="O9" s="7" t="s">
        <v>1</v>
      </c>
      <c r="P9" s="8"/>
      <c r="Q9" s="7" t="s">
        <v>0</v>
      </c>
      <c r="R9" s="8"/>
      <c r="S9" s="7" t="s">
        <v>10</v>
      </c>
      <c r="T9" s="8"/>
      <c r="U9" s="7" t="s">
        <v>11</v>
      </c>
      <c r="V9" s="8"/>
      <c r="W9" s="7" t="s">
        <v>2</v>
      </c>
      <c r="X9" s="8"/>
      <c r="Y9" s="7" t="s">
        <v>8</v>
      </c>
      <c r="AA9" s="7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7" t="s">
        <v>361</v>
      </c>
      <c r="AR9" s="8"/>
      <c r="AS9" s="78" t="s">
        <v>2</v>
      </c>
      <c r="AT9" s="8"/>
      <c r="AU9" s="7" t="s">
        <v>415</v>
      </c>
      <c r="AV9" s="8"/>
      <c r="AW9" s="7" t="s">
        <v>415</v>
      </c>
      <c r="AX9" s="8"/>
      <c r="AY9" s="78" t="s">
        <v>4</v>
      </c>
      <c r="AZ9" s="8"/>
      <c r="BA9" s="7" t="s">
        <v>8</v>
      </c>
      <c r="BC9" s="7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7" t="s">
        <v>364</v>
      </c>
      <c r="BN9" s="54"/>
    </row>
    <row r="10" spans="1:66" s="89" customFormat="1" ht="12.75" customHeight="1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t="12.75" hidden="1" customHeight="1">
      <c r="A11" s="35" t="s">
        <v>12</v>
      </c>
      <c r="C11" s="35" t="s">
        <v>13</v>
      </c>
      <c r="D11" s="35"/>
      <c r="E11" s="35">
        <f t="shared" ref="E11:E38" si="0">I11-G11</f>
        <v>0</v>
      </c>
      <c r="F11" s="35"/>
      <c r="G11" s="35"/>
      <c r="H11" s="35"/>
      <c r="I11" s="35"/>
      <c r="J11" s="35"/>
      <c r="K11" s="35">
        <f t="shared" ref="K11:K38" si="1">O11-M11</f>
        <v>0</v>
      </c>
      <c r="L11" s="35"/>
      <c r="M11" s="35">
        <f t="shared" ref="M11:M38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38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t="12.75" hidden="1" customHeight="1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t="12.75" customHeight="1">
      <c r="A13" s="35" t="s">
        <v>16</v>
      </c>
      <c r="B13" s="51"/>
      <c r="C13" s="35" t="s">
        <v>17</v>
      </c>
      <c r="D13" s="35"/>
      <c r="E13" s="64">
        <f t="shared" si="0"/>
        <v>6918129</v>
      </c>
      <c r="F13" s="64"/>
      <c r="G13" s="64">
        <v>4448727</v>
      </c>
      <c r="H13" s="64"/>
      <c r="I13" s="64">
        <v>11366856</v>
      </c>
      <c r="J13" s="64"/>
      <c r="K13" s="64">
        <f t="shared" si="1"/>
        <v>567163</v>
      </c>
      <c r="L13" s="64"/>
      <c r="M13" s="64">
        <v>1410402</v>
      </c>
      <c r="N13" s="64"/>
      <c r="O13" s="64">
        <v>1977565</v>
      </c>
      <c r="P13" s="64"/>
      <c r="Q13" s="64">
        <v>2366553</v>
      </c>
      <c r="R13" s="64"/>
      <c r="S13" s="64">
        <v>0</v>
      </c>
      <c r="T13" s="64"/>
      <c r="U13" s="64">
        <v>7022738</v>
      </c>
      <c r="V13" s="64"/>
      <c r="W13" s="64">
        <f t="shared" si="3"/>
        <v>9389291</v>
      </c>
      <c r="X13" s="35"/>
      <c r="Y13" s="35" t="s">
        <v>16</v>
      </c>
      <c r="Z13" s="55"/>
      <c r="AA13" s="35" t="s">
        <v>17</v>
      </c>
      <c r="AB13" s="35"/>
      <c r="AC13" s="64">
        <v>10183315</v>
      </c>
      <c r="AD13" s="64"/>
      <c r="AE13" s="64">
        <f>9169871-138630</f>
        <v>9031241</v>
      </c>
      <c r="AF13" s="64"/>
      <c r="AG13" s="64">
        <v>138630</v>
      </c>
      <c r="AH13" s="64"/>
      <c r="AI13" s="94">
        <f>+AC13-AE13-AG13</f>
        <v>1013444</v>
      </c>
      <c r="AJ13" s="94"/>
      <c r="AK13" s="64">
        <v>-175555</v>
      </c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837889</v>
      </c>
      <c r="AT13" s="94"/>
      <c r="AU13" s="64">
        <v>0</v>
      </c>
      <c r="AV13" s="64"/>
      <c r="AW13" s="64">
        <v>0</v>
      </c>
      <c r="AX13" s="64"/>
      <c r="AY13" s="64">
        <f t="shared" si="4"/>
        <v>6350966</v>
      </c>
      <c r="AZ13" s="35"/>
      <c r="BA13" s="35" t="s">
        <v>16</v>
      </c>
      <c r="BB13" s="55"/>
      <c r="BC13" s="35" t="s">
        <v>17</v>
      </c>
      <c r="BD13" s="35"/>
      <c r="BE13" s="64">
        <f>719270+170456</f>
        <v>889726</v>
      </c>
      <c r="BF13" s="64"/>
      <c r="BG13" s="64"/>
      <c r="BH13" s="64"/>
      <c r="BI13" s="64">
        <v>0</v>
      </c>
      <c r="BJ13" s="64"/>
      <c r="BK13" s="64">
        <f>19132+672000+160000+106</f>
        <v>851238</v>
      </c>
      <c r="BL13" s="64"/>
      <c r="BM13" s="64">
        <f t="shared" si="5"/>
        <v>1740964</v>
      </c>
      <c r="BN13" s="91" t="s">
        <v>347</v>
      </c>
    </row>
    <row r="14" spans="1:66" ht="12.75" hidden="1" customHeight="1">
      <c r="A14" s="35" t="s">
        <v>18</v>
      </c>
      <c r="C14" s="35" t="s">
        <v>18</v>
      </c>
      <c r="D14" s="35"/>
      <c r="E14" s="35">
        <f t="shared" si="0"/>
        <v>0</v>
      </c>
      <c r="F14" s="35"/>
      <c r="G14" s="35"/>
      <c r="H14" s="35"/>
      <c r="I14" s="35"/>
      <c r="J14" s="35"/>
      <c r="K14" s="35">
        <f t="shared" si="1"/>
        <v>0</v>
      </c>
      <c r="L14" s="35"/>
      <c r="M14" s="35">
        <f t="shared" si="2"/>
        <v>0</v>
      </c>
      <c r="N14" s="35"/>
      <c r="O14" s="35"/>
      <c r="P14" s="35"/>
      <c r="Q14" s="35"/>
      <c r="R14" s="35"/>
      <c r="S14" s="35">
        <v>0</v>
      </c>
      <c r="T14" s="35"/>
      <c r="U14" s="35"/>
      <c r="V14" s="35"/>
      <c r="W14" s="35">
        <f t="shared" si="3"/>
        <v>0</v>
      </c>
      <c r="X14" s="35"/>
      <c r="Y14" s="35" t="s">
        <v>18</v>
      </c>
      <c r="Z14" s="55"/>
      <c r="AA14" s="35" t="s">
        <v>18</v>
      </c>
      <c r="AB14" s="35"/>
      <c r="AC14" s="35">
        <v>0</v>
      </c>
      <c r="AD14" s="35"/>
      <c r="AE14" s="35">
        <v>0</v>
      </c>
      <c r="AF14" s="35"/>
      <c r="AG14" s="35">
        <v>0</v>
      </c>
      <c r="AH14" s="35"/>
      <c r="AI14" s="45">
        <f>+AC14-AE14-AG14</f>
        <v>0</v>
      </c>
      <c r="AJ14" s="45"/>
      <c r="AK14" s="35"/>
      <c r="AL14" s="35"/>
      <c r="AM14" s="35">
        <v>0</v>
      </c>
      <c r="AN14" s="35"/>
      <c r="AO14" s="35">
        <v>0</v>
      </c>
      <c r="AP14" s="35"/>
      <c r="AQ14" s="35">
        <v>0</v>
      </c>
      <c r="AR14" s="35"/>
      <c r="AS14" s="45">
        <f>+AI14+AK14+AM14-AO14+AQ14</f>
        <v>0</v>
      </c>
      <c r="AT14" s="45"/>
      <c r="AU14" s="35">
        <v>0</v>
      </c>
      <c r="AV14" s="35"/>
      <c r="AW14" s="35">
        <v>0</v>
      </c>
      <c r="AX14" s="35"/>
      <c r="AY14" s="35">
        <f t="shared" si="4"/>
        <v>0</v>
      </c>
      <c r="AZ14" s="35"/>
      <c r="BA14" s="35" t="s">
        <v>18</v>
      </c>
      <c r="BB14" s="55"/>
      <c r="BC14" s="35" t="s">
        <v>18</v>
      </c>
      <c r="BD14" s="35"/>
      <c r="BE14" s="35"/>
      <c r="BF14" s="35"/>
      <c r="BG14" s="35"/>
      <c r="BH14" s="35"/>
      <c r="BI14" s="35"/>
      <c r="BJ14" s="35"/>
      <c r="BK14" s="35"/>
      <c r="BL14" s="35"/>
      <c r="BM14" s="35">
        <f t="shared" si="5"/>
        <v>0</v>
      </c>
      <c r="BN14" s="54" t="s">
        <v>347</v>
      </c>
    </row>
    <row r="15" spans="1:66" ht="12.75" hidden="1" customHeight="1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>
        <f t="shared" si="2"/>
        <v>0</v>
      </c>
      <c r="N15" s="35"/>
      <c r="O15" s="35"/>
      <c r="P15" s="35"/>
      <c r="Q15" s="35"/>
      <c r="R15" s="35"/>
      <c r="S15" s="35">
        <v>0</v>
      </c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>
        <v>0</v>
      </c>
      <c r="AD15" s="35"/>
      <c r="AE15" s="35">
        <v>0</v>
      </c>
      <c r="AF15" s="35"/>
      <c r="AG15" s="35">
        <v>0</v>
      </c>
      <c r="AH15" s="35"/>
      <c r="AI15" s="45">
        <v>0</v>
      </c>
      <c r="AJ15" s="45"/>
      <c r="AK15" s="35"/>
      <c r="AL15" s="35"/>
      <c r="AM15" s="35">
        <v>0</v>
      </c>
      <c r="AN15" s="35"/>
      <c r="AO15" s="35">
        <v>0</v>
      </c>
      <c r="AP15" s="35"/>
      <c r="AQ15" s="35">
        <v>0</v>
      </c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t="12.75" hidden="1" customHeight="1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>
        <f t="shared" si="2"/>
        <v>0</v>
      </c>
      <c r="N16" s="35"/>
      <c r="O16" s="35"/>
      <c r="P16" s="35"/>
      <c r="Q16" s="35"/>
      <c r="R16" s="35"/>
      <c r="S16" s="35">
        <v>0</v>
      </c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>
        <v>0</v>
      </c>
      <c r="AD16" s="35"/>
      <c r="AE16" s="35">
        <v>0</v>
      </c>
      <c r="AF16" s="35"/>
      <c r="AG16" s="35">
        <v>0</v>
      </c>
      <c r="AH16" s="35"/>
      <c r="AI16" s="45">
        <v>0</v>
      </c>
      <c r="AJ16" s="45"/>
      <c r="AK16" s="35"/>
      <c r="AL16" s="35"/>
      <c r="AM16" s="35">
        <v>0</v>
      </c>
      <c r="AN16" s="35"/>
      <c r="AO16" s="35">
        <v>0</v>
      </c>
      <c r="AP16" s="35"/>
      <c r="AQ16" s="35">
        <v>0</v>
      </c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2.75" hidden="1" customHeight="1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>
        <f t="shared" si="2"/>
        <v>0</v>
      </c>
      <c r="N17" s="35"/>
      <c r="O17" s="35"/>
      <c r="P17" s="35"/>
      <c r="Q17" s="35"/>
      <c r="R17" s="35"/>
      <c r="S17" s="35">
        <v>0</v>
      </c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>
        <v>0</v>
      </c>
      <c r="AD17" s="35"/>
      <c r="AE17" s="35">
        <v>0</v>
      </c>
      <c r="AF17" s="35"/>
      <c r="AG17" s="35">
        <v>0</v>
      </c>
      <c r="AH17" s="35"/>
      <c r="AI17" s="45">
        <f t="shared" ref="AI17:AI31" si="6">+AC17-AE17-AG17</f>
        <v>0</v>
      </c>
      <c r="AJ17" s="45"/>
      <c r="AK17" s="35"/>
      <c r="AL17" s="35"/>
      <c r="AM17" s="35">
        <v>0</v>
      </c>
      <c r="AN17" s="35"/>
      <c r="AO17" s="35">
        <v>0</v>
      </c>
      <c r="AP17" s="35"/>
      <c r="AQ17" s="35">
        <v>0</v>
      </c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2.75" hidden="1" customHeight="1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>
        <f t="shared" si="2"/>
        <v>0</v>
      </c>
      <c r="N18" s="35"/>
      <c r="O18" s="35"/>
      <c r="P18" s="35"/>
      <c r="Q18" s="35"/>
      <c r="R18" s="35"/>
      <c r="S18" s="35">
        <v>0</v>
      </c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>
        <v>0</v>
      </c>
      <c r="AD18" s="35"/>
      <c r="AE18" s="35">
        <v>0</v>
      </c>
      <c r="AF18" s="35"/>
      <c r="AG18" s="35">
        <v>0</v>
      </c>
      <c r="AH18" s="35"/>
      <c r="AI18" s="45">
        <f t="shared" si="6"/>
        <v>0</v>
      </c>
      <c r="AJ18" s="45"/>
      <c r="AK18" s="35"/>
      <c r="AL18" s="35"/>
      <c r="AM18" s="35">
        <v>0</v>
      </c>
      <c r="AN18" s="35"/>
      <c r="AO18" s="35">
        <v>0</v>
      </c>
      <c r="AP18" s="35"/>
      <c r="AQ18" s="35">
        <v>0</v>
      </c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2.75" hidden="1" customHeight="1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>
        <f t="shared" si="2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t="12.75" hidden="1" customHeight="1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>
        <f t="shared" si="2"/>
        <v>0</v>
      </c>
      <c r="N20" s="35"/>
      <c r="O20" s="35"/>
      <c r="P20" s="35"/>
      <c r="Q20" s="35"/>
      <c r="R20" s="35"/>
      <c r="S20" s="35">
        <v>0</v>
      </c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>
        <v>0</v>
      </c>
      <c r="AD20" s="35"/>
      <c r="AE20" s="35">
        <v>0</v>
      </c>
      <c r="AF20" s="35"/>
      <c r="AG20" s="35">
        <v>0</v>
      </c>
      <c r="AH20" s="35"/>
      <c r="AI20" s="45">
        <f t="shared" si="6"/>
        <v>0</v>
      </c>
      <c r="AJ20" s="45"/>
      <c r="AK20" s="35"/>
      <c r="AL20" s="35"/>
      <c r="AM20" s="35">
        <v>0</v>
      </c>
      <c r="AN20" s="35"/>
      <c r="AO20" s="35">
        <v>0</v>
      </c>
      <c r="AP20" s="35"/>
      <c r="AQ20" s="35">
        <v>0</v>
      </c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t="12.75" hidden="1" customHeight="1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>
        <f t="shared" si="2"/>
        <v>0</v>
      </c>
      <c r="N21" s="35"/>
      <c r="O21" s="35"/>
      <c r="P21" s="35"/>
      <c r="Q21" s="35"/>
      <c r="R21" s="35"/>
      <c r="S21" s="35">
        <v>0</v>
      </c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>
        <v>0</v>
      </c>
      <c r="AD21" s="35"/>
      <c r="AE21" s="35">
        <v>0</v>
      </c>
      <c r="AF21" s="35"/>
      <c r="AG21" s="35">
        <v>0</v>
      </c>
      <c r="AH21" s="35"/>
      <c r="AI21" s="45">
        <f t="shared" si="6"/>
        <v>0</v>
      </c>
      <c r="AJ21" s="45"/>
      <c r="AK21" s="35"/>
      <c r="AL21" s="35"/>
      <c r="AM21" s="35">
        <v>0</v>
      </c>
      <c r="AN21" s="35"/>
      <c r="AO21" s="35">
        <v>0</v>
      </c>
      <c r="AP21" s="35"/>
      <c r="AQ21" s="35">
        <v>0</v>
      </c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t="12.75" hidden="1" customHeight="1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>
        <f t="shared" si="2"/>
        <v>0</v>
      </c>
      <c r="N22" s="35"/>
      <c r="O22" s="35"/>
      <c r="P22" s="35"/>
      <c r="Q22" s="35"/>
      <c r="R22" s="35"/>
      <c r="S22" s="35">
        <v>0</v>
      </c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>
        <v>0</v>
      </c>
      <c r="AD22" s="35"/>
      <c r="AE22" s="35">
        <v>0</v>
      </c>
      <c r="AF22" s="35"/>
      <c r="AG22" s="35">
        <v>0</v>
      </c>
      <c r="AH22" s="35"/>
      <c r="AI22" s="45">
        <f t="shared" si="6"/>
        <v>0</v>
      </c>
      <c r="AJ22" s="45"/>
      <c r="AK22" s="35"/>
      <c r="AL22" s="35"/>
      <c r="AM22" s="35">
        <v>0</v>
      </c>
      <c r="AN22" s="35"/>
      <c r="AO22" s="35">
        <v>0</v>
      </c>
      <c r="AP22" s="35"/>
      <c r="AQ22" s="35">
        <v>0</v>
      </c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t="12.75" hidden="1" customHeight="1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>
        <f t="shared" si="2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t="12.75" hidden="1" customHeight="1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>
        <f t="shared" si="2"/>
        <v>0</v>
      </c>
      <c r="N24" s="35"/>
      <c r="O24" s="35"/>
      <c r="P24" s="35"/>
      <c r="Q24" s="35"/>
      <c r="R24" s="35"/>
      <c r="S24" s="35">
        <v>0</v>
      </c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>
        <v>0</v>
      </c>
      <c r="AD24" s="35"/>
      <c r="AE24" s="35">
        <v>0</v>
      </c>
      <c r="AF24" s="35"/>
      <c r="AG24" s="35">
        <v>0</v>
      </c>
      <c r="AH24" s="35"/>
      <c r="AI24" s="45">
        <f t="shared" si="6"/>
        <v>0</v>
      </c>
      <c r="AJ24" s="45"/>
      <c r="AK24" s="35"/>
      <c r="AL24" s="35"/>
      <c r="AM24" s="35">
        <v>0</v>
      </c>
      <c r="AN24" s="35"/>
      <c r="AO24" s="35">
        <v>0</v>
      </c>
      <c r="AP24" s="35"/>
      <c r="AQ24" s="35">
        <v>0</v>
      </c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t="12.75" hidden="1" customHeight="1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>
        <f t="shared" si="2"/>
        <v>0</v>
      </c>
      <c r="N25" s="35"/>
      <c r="O25" s="35"/>
      <c r="P25" s="35"/>
      <c r="Q25" s="35"/>
      <c r="R25" s="35"/>
      <c r="S25" s="35">
        <v>0</v>
      </c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>
        <v>0</v>
      </c>
      <c r="AD25" s="35"/>
      <c r="AE25" s="35">
        <v>0</v>
      </c>
      <c r="AF25" s="35"/>
      <c r="AG25" s="35">
        <v>0</v>
      </c>
      <c r="AH25" s="35"/>
      <c r="AI25" s="45">
        <f t="shared" si="6"/>
        <v>0</v>
      </c>
      <c r="AJ25" s="45"/>
      <c r="AK25" s="35"/>
      <c r="AL25" s="35"/>
      <c r="AM25" s="35">
        <v>0</v>
      </c>
      <c r="AN25" s="35"/>
      <c r="AO25" s="35">
        <v>0</v>
      </c>
      <c r="AP25" s="35"/>
      <c r="AQ25" s="35">
        <v>0</v>
      </c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ht="12.75" hidden="1" customHeight="1">
      <c r="A26" s="35" t="s">
        <v>34</v>
      </c>
      <c r="C26" s="35" t="s">
        <v>30</v>
      </c>
      <c r="D26" s="35"/>
      <c r="E26" s="35">
        <f t="shared" si="0"/>
        <v>0</v>
      </c>
      <c r="F26" s="35"/>
      <c r="G26" s="35"/>
      <c r="H26" s="35"/>
      <c r="I26" s="35"/>
      <c r="J26" s="35"/>
      <c r="K26" s="35">
        <f t="shared" si="1"/>
        <v>0</v>
      </c>
      <c r="L26" s="35"/>
      <c r="M26" s="35">
        <f t="shared" si="2"/>
        <v>0</v>
      </c>
      <c r="N26" s="35"/>
      <c r="O26" s="35"/>
      <c r="P26" s="35"/>
      <c r="Q26" s="35"/>
      <c r="R26" s="35"/>
      <c r="S26" s="35">
        <v>0</v>
      </c>
      <c r="T26" s="35"/>
      <c r="U26" s="35"/>
      <c r="V26" s="35"/>
      <c r="W26" s="35">
        <f t="shared" si="3"/>
        <v>0</v>
      </c>
      <c r="X26" s="35"/>
      <c r="Y26" s="35" t="s">
        <v>34</v>
      </c>
      <c r="Z26" s="55"/>
      <c r="AA26" s="35" t="s">
        <v>30</v>
      </c>
      <c r="AB26" s="35"/>
      <c r="AC26" s="35">
        <v>0</v>
      </c>
      <c r="AD26" s="35"/>
      <c r="AE26" s="35">
        <v>0</v>
      </c>
      <c r="AF26" s="35"/>
      <c r="AG26" s="35">
        <v>0</v>
      </c>
      <c r="AH26" s="35"/>
      <c r="AI26" s="45">
        <f t="shared" si="6"/>
        <v>0</v>
      </c>
      <c r="AJ26" s="45"/>
      <c r="AK26" s="35"/>
      <c r="AL26" s="35"/>
      <c r="AM26" s="35">
        <v>0</v>
      </c>
      <c r="AN26" s="35"/>
      <c r="AO26" s="35">
        <v>0</v>
      </c>
      <c r="AP26" s="35"/>
      <c r="AQ26" s="35">
        <v>0</v>
      </c>
      <c r="AR26" s="35"/>
      <c r="AS26" s="45">
        <f t="shared" si="7"/>
        <v>0</v>
      </c>
      <c r="AT26" s="45"/>
      <c r="AU26" s="35">
        <v>0</v>
      </c>
      <c r="AV26" s="35"/>
      <c r="AW26" s="35">
        <v>0</v>
      </c>
      <c r="AX26" s="35"/>
      <c r="AY26" s="35">
        <f t="shared" si="4"/>
        <v>0</v>
      </c>
      <c r="AZ26" s="35"/>
      <c r="BA26" s="35" t="s">
        <v>34</v>
      </c>
      <c r="BB26" s="55"/>
      <c r="BC26" s="35" t="s">
        <v>30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>
        <f t="shared" si="5"/>
        <v>0</v>
      </c>
      <c r="BN26" s="54" t="s">
        <v>347</v>
      </c>
    </row>
    <row r="27" spans="1:67" ht="12.75" hidden="1" customHeight="1">
      <c r="A27" s="35" t="s">
        <v>35</v>
      </c>
      <c r="C27" s="35" t="s">
        <v>36</v>
      </c>
      <c r="D27" s="35"/>
      <c r="E27" s="35">
        <f t="shared" si="0"/>
        <v>0</v>
      </c>
      <c r="F27" s="35"/>
      <c r="G27" s="35"/>
      <c r="H27" s="35"/>
      <c r="I27" s="35"/>
      <c r="J27" s="35"/>
      <c r="K27" s="35">
        <f t="shared" si="1"/>
        <v>0</v>
      </c>
      <c r="L27" s="35"/>
      <c r="M27" s="35">
        <f t="shared" si="2"/>
        <v>0</v>
      </c>
      <c r="N27" s="35"/>
      <c r="O27" s="35"/>
      <c r="P27" s="35"/>
      <c r="Q27" s="35"/>
      <c r="R27" s="35"/>
      <c r="S27" s="35">
        <v>0</v>
      </c>
      <c r="T27" s="35"/>
      <c r="U27" s="35"/>
      <c r="V27" s="35"/>
      <c r="W27" s="35">
        <f t="shared" si="3"/>
        <v>0</v>
      </c>
      <c r="X27" s="35"/>
      <c r="Y27" s="35" t="s">
        <v>35</v>
      </c>
      <c r="Z27" s="55"/>
      <c r="AA27" s="35" t="s">
        <v>36</v>
      </c>
      <c r="AB27" s="35"/>
      <c r="AC27" s="35">
        <v>0</v>
      </c>
      <c r="AD27" s="35"/>
      <c r="AE27" s="35">
        <v>0</v>
      </c>
      <c r="AF27" s="35"/>
      <c r="AG27" s="35">
        <v>0</v>
      </c>
      <c r="AH27" s="35"/>
      <c r="AI27" s="45">
        <f t="shared" si="6"/>
        <v>0</v>
      </c>
      <c r="AJ27" s="45"/>
      <c r="AK27" s="35"/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0</v>
      </c>
      <c r="AT27" s="45"/>
      <c r="AU27" s="35">
        <v>0</v>
      </c>
      <c r="AV27" s="35"/>
      <c r="AW27" s="35">
        <v>0</v>
      </c>
      <c r="AX27" s="35"/>
      <c r="AY27" s="35">
        <f t="shared" si="4"/>
        <v>0</v>
      </c>
      <c r="AZ27" s="35"/>
      <c r="BA27" s="35" t="s">
        <v>35</v>
      </c>
      <c r="BB27" s="55"/>
      <c r="BC27" s="35" t="s">
        <v>36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>
        <f t="shared" si="5"/>
        <v>0</v>
      </c>
      <c r="BN27" s="54" t="s">
        <v>347</v>
      </c>
    </row>
    <row r="28" spans="1:67" ht="12.75" hidden="1" customHeight="1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>
        <f t="shared" si="2"/>
        <v>0</v>
      </c>
      <c r="N28" s="35"/>
      <c r="O28" s="35"/>
      <c r="P28" s="35"/>
      <c r="Q28" s="35"/>
      <c r="R28" s="35"/>
      <c r="S28" s="35">
        <v>0</v>
      </c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>
        <v>0</v>
      </c>
      <c r="AD28" s="35"/>
      <c r="AE28" s="35">
        <v>0</v>
      </c>
      <c r="AF28" s="35"/>
      <c r="AG28" s="35">
        <v>0</v>
      </c>
      <c r="AH28" s="35"/>
      <c r="AI28" s="45">
        <f t="shared" si="6"/>
        <v>0</v>
      </c>
      <c r="AJ28" s="45"/>
      <c r="AK28" s="35"/>
      <c r="AL28" s="35"/>
      <c r="AM28" s="35">
        <v>0</v>
      </c>
      <c r="AN28" s="35"/>
      <c r="AO28" s="35">
        <v>0</v>
      </c>
      <c r="AP28" s="35"/>
      <c r="AQ28" s="35">
        <v>0</v>
      </c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 ht="12.75" hidden="1" customHeight="1">
      <c r="A29" s="35" t="s">
        <v>39</v>
      </c>
      <c r="C29" s="35" t="s">
        <v>40</v>
      </c>
      <c r="D29" s="35"/>
      <c r="E29" s="35">
        <f t="shared" si="0"/>
        <v>0</v>
      </c>
      <c r="F29" s="35"/>
      <c r="G29" s="35"/>
      <c r="H29" s="35"/>
      <c r="I29" s="35"/>
      <c r="J29" s="35"/>
      <c r="K29" s="35">
        <f t="shared" si="1"/>
        <v>0</v>
      </c>
      <c r="L29" s="35"/>
      <c r="M29" s="35">
        <f t="shared" si="2"/>
        <v>0</v>
      </c>
      <c r="N29" s="35"/>
      <c r="O29" s="35"/>
      <c r="P29" s="35"/>
      <c r="Q29" s="35"/>
      <c r="R29" s="35"/>
      <c r="S29" s="35">
        <v>0</v>
      </c>
      <c r="T29" s="35"/>
      <c r="U29" s="35"/>
      <c r="V29" s="35"/>
      <c r="W29" s="35">
        <f t="shared" si="3"/>
        <v>0</v>
      </c>
      <c r="X29" s="35"/>
      <c r="Y29" s="35" t="s">
        <v>39</v>
      </c>
      <c r="Z29" s="55"/>
      <c r="AA29" s="35" t="s">
        <v>40</v>
      </c>
      <c r="AB29" s="35"/>
      <c r="AC29" s="35">
        <v>0</v>
      </c>
      <c r="AD29" s="35"/>
      <c r="AE29" s="35">
        <v>0</v>
      </c>
      <c r="AF29" s="35"/>
      <c r="AG29" s="35">
        <v>0</v>
      </c>
      <c r="AH29" s="35"/>
      <c r="AI29" s="45">
        <f t="shared" si="6"/>
        <v>0</v>
      </c>
      <c r="AJ29" s="45"/>
      <c r="AK29" s="35"/>
      <c r="AL29" s="35"/>
      <c r="AM29" s="35">
        <v>0</v>
      </c>
      <c r="AN29" s="35"/>
      <c r="AO29" s="35">
        <v>0</v>
      </c>
      <c r="AP29" s="35"/>
      <c r="AQ29" s="35">
        <v>0</v>
      </c>
      <c r="AR29" s="35"/>
      <c r="AS29" s="45">
        <f t="shared" ref="AS29:AS34" si="8">+AI29+AK29+AM29-AO29+AQ29</f>
        <v>0</v>
      </c>
      <c r="AT29" s="45"/>
      <c r="AU29" s="35">
        <v>0</v>
      </c>
      <c r="AV29" s="35"/>
      <c r="AW29" s="35">
        <v>0</v>
      </c>
      <c r="AX29" s="35"/>
      <c r="AY29" s="35">
        <f t="shared" si="4"/>
        <v>0</v>
      </c>
      <c r="AZ29" s="35"/>
      <c r="BA29" s="35" t="s">
        <v>39</v>
      </c>
      <c r="BB29" s="55"/>
      <c r="BC29" s="35" t="s">
        <v>40</v>
      </c>
      <c r="BD29" s="35"/>
      <c r="BE29" s="35"/>
      <c r="BF29" s="35"/>
      <c r="BG29" s="35"/>
      <c r="BH29" s="35"/>
      <c r="BI29" s="35"/>
      <c r="BJ29" s="35"/>
      <c r="BK29" s="35"/>
      <c r="BL29" s="35"/>
      <c r="BM29" s="35">
        <f>SUM(BE29:BK29)</f>
        <v>0</v>
      </c>
      <c r="BN29" s="54" t="s">
        <v>347</v>
      </c>
    </row>
    <row r="30" spans="1:67" ht="12.75" hidden="1" customHeight="1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>
        <f t="shared" si="2"/>
        <v>0</v>
      </c>
      <c r="N30" s="35"/>
      <c r="O30" s="35"/>
      <c r="P30" s="35"/>
      <c r="Q30" s="35"/>
      <c r="R30" s="35"/>
      <c r="S30" s="35">
        <v>0</v>
      </c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>
        <v>0</v>
      </c>
      <c r="AD30" s="35"/>
      <c r="AE30" s="35">
        <v>0</v>
      </c>
      <c r="AF30" s="35"/>
      <c r="AG30" s="35">
        <v>0</v>
      </c>
      <c r="AH30" s="35"/>
      <c r="AI30" s="45">
        <f t="shared" si="6"/>
        <v>0</v>
      </c>
      <c r="AJ30" s="45"/>
      <c r="AK30" s="35"/>
      <c r="AL30" s="35"/>
      <c r="AM30" s="35">
        <v>0</v>
      </c>
      <c r="AN30" s="35"/>
      <c r="AO30" s="35">
        <v>0</v>
      </c>
      <c r="AP30" s="35"/>
      <c r="AQ30" s="35">
        <v>0</v>
      </c>
      <c r="AR30" s="35"/>
      <c r="AS30" s="45">
        <f t="shared" si="8"/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t="12.75" hidden="1" customHeight="1">
      <c r="A31" s="35" t="s">
        <v>42</v>
      </c>
      <c r="C31" s="35" t="s">
        <v>43</v>
      </c>
      <c r="D31" s="35"/>
      <c r="E31" s="35">
        <f t="shared" si="0"/>
        <v>0</v>
      </c>
      <c r="F31" s="35"/>
      <c r="G31" s="35"/>
      <c r="H31" s="35"/>
      <c r="I31" s="35"/>
      <c r="J31" s="35"/>
      <c r="K31" s="35">
        <f t="shared" si="1"/>
        <v>0</v>
      </c>
      <c r="L31" s="35"/>
      <c r="M31" s="35">
        <f t="shared" si="2"/>
        <v>0</v>
      </c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3"/>
        <v>0</v>
      </c>
      <c r="X31" s="35"/>
      <c r="Y31" s="35" t="s">
        <v>42</v>
      </c>
      <c r="Z31" s="55"/>
      <c r="AA31" s="35" t="s">
        <v>43</v>
      </c>
      <c r="AB31" s="35"/>
      <c r="AC31" s="35"/>
      <c r="AD31" s="35"/>
      <c r="AE31" s="35"/>
      <c r="AF31" s="35"/>
      <c r="AG31" s="35"/>
      <c r="AH31" s="35"/>
      <c r="AI31" s="45">
        <f t="shared" si="6"/>
        <v>0</v>
      </c>
      <c r="AJ31" s="45"/>
      <c r="AK31" s="35"/>
      <c r="AL31" s="35"/>
      <c r="AM31" s="35"/>
      <c r="AN31" s="35"/>
      <c r="AO31" s="35"/>
      <c r="AP31" s="35"/>
      <c r="AQ31" s="35"/>
      <c r="AR31" s="35"/>
      <c r="AS31" s="45">
        <f t="shared" si="8"/>
        <v>0</v>
      </c>
      <c r="AT31" s="45"/>
      <c r="AU31" s="35">
        <v>0</v>
      </c>
      <c r="AV31" s="35"/>
      <c r="AW31" s="35">
        <v>0</v>
      </c>
      <c r="AX31" s="35"/>
      <c r="AY31" s="35">
        <f t="shared" si="4"/>
        <v>0</v>
      </c>
      <c r="AZ31" s="35"/>
      <c r="BA31" s="35" t="s">
        <v>42</v>
      </c>
      <c r="BB31" s="55"/>
      <c r="BC31" s="35" t="s">
        <v>43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>
        <f>SUM(BE31:BK31)</f>
        <v>0</v>
      </c>
      <c r="BN31" s="54" t="s">
        <v>347</v>
      </c>
    </row>
    <row r="32" spans="1:67" ht="12.75" hidden="1" customHeight="1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>
        <f t="shared" si="2"/>
        <v>0</v>
      </c>
      <c r="N32" s="35"/>
      <c r="O32" s="35"/>
      <c r="P32" s="35"/>
      <c r="Q32" s="35"/>
      <c r="R32" s="35"/>
      <c r="S32" s="35">
        <v>0</v>
      </c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>
        <v>0</v>
      </c>
      <c r="AD32" s="35"/>
      <c r="AE32" s="35">
        <v>0</v>
      </c>
      <c r="AF32" s="35"/>
      <c r="AG32" s="35">
        <v>0</v>
      </c>
      <c r="AH32" s="35"/>
      <c r="AI32" s="45">
        <v>0</v>
      </c>
      <c r="AJ32" s="45"/>
      <c r="AK32" s="35"/>
      <c r="AL32" s="35"/>
      <c r="AM32" s="35">
        <v>0</v>
      </c>
      <c r="AN32" s="35"/>
      <c r="AO32" s="35">
        <v>0</v>
      </c>
      <c r="AP32" s="35"/>
      <c r="AQ32" s="35">
        <v>0</v>
      </c>
      <c r="AR32" s="35"/>
      <c r="AS32" s="45">
        <f t="shared" si="8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v>0</v>
      </c>
      <c r="BN32" s="54" t="s">
        <v>347</v>
      </c>
    </row>
    <row r="33" spans="1:67" ht="12.75" customHeight="1">
      <c r="A33" s="35" t="s">
        <v>46</v>
      </c>
      <c r="B33" s="65"/>
      <c r="C33" s="35" t="s">
        <v>47</v>
      </c>
      <c r="D33" s="35"/>
      <c r="E33" s="35">
        <f t="shared" si="0"/>
        <v>22846318</v>
      </c>
      <c r="F33" s="35"/>
      <c r="G33" s="35">
        <v>26492758</v>
      </c>
      <c r="H33" s="35"/>
      <c r="I33" s="35">
        <v>49339076</v>
      </c>
      <c r="J33" s="35"/>
      <c r="K33" s="35">
        <f t="shared" si="1"/>
        <v>4420167</v>
      </c>
      <c r="L33" s="35"/>
      <c r="M33" s="35">
        <v>8213479</v>
      </c>
      <c r="N33" s="35"/>
      <c r="O33" s="35">
        <v>12633646</v>
      </c>
      <c r="P33" s="35"/>
      <c r="Q33" s="35">
        <v>14834981</v>
      </c>
      <c r="R33" s="35"/>
      <c r="S33" s="35">
        <v>0</v>
      </c>
      <c r="T33" s="35"/>
      <c r="U33" s="35">
        <v>21870449</v>
      </c>
      <c r="V33" s="35"/>
      <c r="W33" s="35">
        <f t="shared" si="3"/>
        <v>36705430</v>
      </c>
      <c r="X33" s="35"/>
      <c r="Y33" s="35" t="s">
        <v>46</v>
      </c>
      <c r="Z33" s="55"/>
      <c r="AA33" s="35" t="s">
        <v>47</v>
      </c>
      <c r="AB33" s="35"/>
      <c r="AC33" s="35">
        <v>44825531</v>
      </c>
      <c r="AD33" s="35"/>
      <c r="AE33" s="35">
        <f>37170062-1185017</f>
        <v>35985045</v>
      </c>
      <c r="AF33" s="35"/>
      <c r="AG33" s="35">
        <v>1185017</v>
      </c>
      <c r="AH33" s="35"/>
      <c r="AI33" s="45">
        <f>+AC33-AE33-AG33</f>
        <v>7655469</v>
      </c>
      <c r="AJ33" s="45"/>
      <c r="AK33" s="35">
        <v>-343985</v>
      </c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8"/>
        <v>7311484</v>
      </c>
      <c r="AT33" s="45"/>
      <c r="AU33" s="35">
        <v>0</v>
      </c>
      <c r="AV33" s="35"/>
      <c r="AW33" s="35">
        <v>0</v>
      </c>
      <c r="AX33" s="35"/>
      <c r="AY33" s="35">
        <f t="shared" si="4"/>
        <v>18426151</v>
      </c>
      <c r="AZ33" s="35"/>
      <c r="BA33" s="35" t="s">
        <v>46</v>
      </c>
      <c r="BB33" s="55"/>
      <c r="BC33" s="35" t="s">
        <v>47</v>
      </c>
      <c r="BD33" s="35"/>
      <c r="BE33" s="35">
        <f>359077+65000</f>
        <v>424077</v>
      </c>
      <c r="BF33" s="35"/>
      <c r="BG33" s="35"/>
      <c r="BH33" s="35"/>
      <c r="BI33" s="35">
        <v>0</v>
      </c>
      <c r="BJ33" s="35"/>
      <c r="BK33" s="35">
        <f>325380+7529022+148389+995225</f>
        <v>8998016</v>
      </c>
      <c r="BL33" s="35"/>
      <c r="BM33" s="35">
        <f>SUM(BE33:BK33)</f>
        <v>9422093</v>
      </c>
      <c r="BN33" s="54" t="s">
        <v>347</v>
      </c>
    </row>
    <row r="34" spans="1:67" ht="12.75" hidden="1" customHeight="1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>
        <f t="shared" si="2"/>
        <v>0</v>
      </c>
      <c r="N34" s="35"/>
      <c r="O34" s="35"/>
      <c r="P34" s="35"/>
      <c r="Q34" s="35"/>
      <c r="R34" s="35"/>
      <c r="S34" s="35">
        <v>0</v>
      </c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>
        <v>0</v>
      </c>
      <c r="AD34" s="35"/>
      <c r="AE34" s="35">
        <v>0</v>
      </c>
      <c r="AF34" s="35"/>
      <c r="AG34" s="35">
        <v>0</v>
      </c>
      <c r="AH34" s="35"/>
      <c r="AI34" s="45">
        <f t="shared" ref="AI34:AI97" si="9">+AC34-AE34-AG34</f>
        <v>0</v>
      </c>
      <c r="AJ34" s="45"/>
      <c r="AK34" s="35"/>
      <c r="AL34" s="35"/>
      <c r="AM34" s="35">
        <v>0</v>
      </c>
      <c r="AN34" s="35"/>
      <c r="AO34" s="35">
        <v>0</v>
      </c>
      <c r="AP34" s="35"/>
      <c r="AQ34" s="35">
        <v>0</v>
      </c>
      <c r="AR34" s="35"/>
      <c r="AS34" s="45">
        <f t="shared" si="8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ref="BM34:BM64" si="10">SUM(BE34:BK34)</f>
        <v>0</v>
      </c>
      <c r="BN34" s="54" t="s">
        <v>347</v>
      </c>
    </row>
    <row r="35" spans="1:67" ht="12.75" hidden="1" customHeight="1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>
        <f t="shared" si="2"/>
        <v>0</v>
      </c>
      <c r="N35" s="35"/>
      <c r="O35" s="35"/>
      <c r="P35" s="35"/>
      <c r="Q35" s="35"/>
      <c r="R35" s="35"/>
      <c r="S35" s="35">
        <v>0</v>
      </c>
      <c r="T35" s="35"/>
      <c r="U35" s="35"/>
      <c r="V35" s="35"/>
      <c r="W35" s="35">
        <f t="shared" ref="W35:W38" si="11">SUM(Q35:U35)</f>
        <v>0</v>
      </c>
      <c r="X35" s="35"/>
      <c r="Y35" s="35" t="s">
        <v>49</v>
      </c>
      <c r="Z35" s="55"/>
      <c r="AA35" s="35" t="s">
        <v>27</v>
      </c>
      <c r="AB35" s="35"/>
      <c r="AC35" s="35">
        <v>0</v>
      </c>
      <c r="AD35" s="35"/>
      <c r="AE35" s="35">
        <v>0</v>
      </c>
      <c r="AF35" s="35"/>
      <c r="AG35" s="35">
        <v>0</v>
      </c>
      <c r="AH35" s="35"/>
      <c r="AI35" s="45">
        <f t="shared" si="9"/>
        <v>0</v>
      </c>
      <c r="AJ35" s="45"/>
      <c r="AK35" s="35"/>
      <c r="AL35" s="35"/>
      <c r="AM35" s="35">
        <v>0</v>
      </c>
      <c r="AN35" s="35"/>
      <c r="AO35" s="35">
        <v>0</v>
      </c>
      <c r="AP35" s="35"/>
      <c r="AQ35" s="35">
        <v>0</v>
      </c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0"/>
        <v>0</v>
      </c>
      <c r="BN35" s="54" t="s">
        <v>347</v>
      </c>
      <c r="BO35" s="55" t="s">
        <v>371</v>
      </c>
    </row>
    <row r="36" spans="1:67" ht="12.75" hidden="1" customHeight="1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>
        <f t="shared" si="2"/>
        <v>0</v>
      </c>
      <c r="N36" s="35"/>
      <c r="O36" s="35"/>
      <c r="P36" s="35"/>
      <c r="Q36" s="35"/>
      <c r="R36" s="35"/>
      <c r="S36" s="35">
        <v>0</v>
      </c>
      <c r="T36" s="35"/>
      <c r="U36" s="35"/>
      <c r="V36" s="35"/>
      <c r="W36" s="35">
        <f t="shared" si="11"/>
        <v>0</v>
      </c>
      <c r="X36" s="35"/>
      <c r="Y36" s="35" t="s">
        <v>50</v>
      </c>
      <c r="Z36" s="55"/>
      <c r="AA36" s="35" t="s">
        <v>27</v>
      </c>
      <c r="AB36" s="35"/>
      <c r="AC36" s="35">
        <v>0</v>
      </c>
      <c r="AD36" s="35"/>
      <c r="AE36" s="35">
        <v>0</v>
      </c>
      <c r="AF36" s="35"/>
      <c r="AG36" s="35">
        <v>0</v>
      </c>
      <c r="AH36" s="35"/>
      <c r="AI36" s="45">
        <f t="shared" si="9"/>
        <v>0</v>
      </c>
      <c r="AJ36" s="45"/>
      <c r="AK36" s="35"/>
      <c r="AL36" s="35"/>
      <c r="AM36" s="35">
        <v>0</v>
      </c>
      <c r="AN36" s="35"/>
      <c r="AO36" s="35">
        <v>0</v>
      </c>
      <c r="AP36" s="35"/>
      <c r="AQ36" s="35">
        <v>0</v>
      </c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0"/>
        <v>0</v>
      </c>
      <c r="BN36" s="54" t="s">
        <v>347</v>
      </c>
    </row>
    <row r="37" spans="1:67" ht="12.75" hidden="1" customHeight="1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>
        <f t="shared" si="2"/>
        <v>0</v>
      </c>
      <c r="N37" s="35"/>
      <c r="O37" s="35"/>
      <c r="P37" s="35"/>
      <c r="Q37" s="35"/>
      <c r="R37" s="35"/>
      <c r="S37" s="35">
        <v>0</v>
      </c>
      <c r="T37" s="35"/>
      <c r="U37" s="35"/>
      <c r="V37" s="35"/>
      <c r="W37" s="35">
        <f t="shared" si="11"/>
        <v>0</v>
      </c>
      <c r="X37" s="35"/>
      <c r="Y37" s="35" t="s">
        <v>51</v>
      </c>
      <c r="Z37" s="55"/>
      <c r="AA37" s="35" t="s">
        <v>27</v>
      </c>
      <c r="AB37" s="35"/>
      <c r="AC37" s="35">
        <v>0</v>
      </c>
      <c r="AD37" s="35"/>
      <c r="AE37" s="35">
        <v>0</v>
      </c>
      <c r="AF37" s="35"/>
      <c r="AG37" s="35">
        <v>0</v>
      </c>
      <c r="AH37" s="35"/>
      <c r="AI37" s="45">
        <f t="shared" si="9"/>
        <v>0</v>
      </c>
      <c r="AJ37" s="45"/>
      <c r="AK37" s="35"/>
      <c r="AL37" s="35"/>
      <c r="AM37" s="35">
        <v>0</v>
      </c>
      <c r="AN37" s="35"/>
      <c r="AO37" s="35">
        <v>0</v>
      </c>
      <c r="AP37" s="35"/>
      <c r="AQ37" s="35">
        <v>0</v>
      </c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0"/>
        <v>0</v>
      </c>
      <c r="BN37" s="54" t="s">
        <v>347</v>
      </c>
    </row>
    <row r="38" spans="1:67" ht="12.75" hidden="1" customHeight="1">
      <c r="A38" s="35" t="s">
        <v>52</v>
      </c>
      <c r="C38" s="35" t="s">
        <v>53</v>
      </c>
      <c r="D38" s="35"/>
      <c r="E38" s="35">
        <f t="shared" si="0"/>
        <v>0</v>
      </c>
      <c r="F38" s="35"/>
      <c r="G38" s="35"/>
      <c r="H38" s="35"/>
      <c r="I38" s="35"/>
      <c r="J38" s="35"/>
      <c r="K38" s="35">
        <f t="shared" si="1"/>
        <v>0</v>
      </c>
      <c r="L38" s="35"/>
      <c r="M38" s="35">
        <f t="shared" si="2"/>
        <v>0</v>
      </c>
      <c r="N38" s="35"/>
      <c r="O38" s="35"/>
      <c r="P38" s="35"/>
      <c r="Q38" s="35"/>
      <c r="R38" s="35"/>
      <c r="S38" s="35">
        <v>0</v>
      </c>
      <c r="T38" s="35"/>
      <c r="U38" s="35"/>
      <c r="V38" s="35"/>
      <c r="W38" s="35">
        <f t="shared" si="11"/>
        <v>0</v>
      </c>
      <c r="X38" s="35"/>
      <c r="Y38" s="35" t="s">
        <v>52</v>
      </c>
      <c r="Z38" s="55"/>
      <c r="AA38" s="35" t="s">
        <v>53</v>
      </c>
      <c r="AB38" s="35"/>
      <c r="AC38" s="35">
        <v>0</v>
      </c>
      <c r="AD38" s="35"/>
      <c r="AE38" s="35">
        <v>0</v>
      </c>
      <c r="AF38" s="35"/>
      <c r="AG38" s="35">
        <v>0</v>
      </c>
      <c r="AH38" s="35"/>
      <c r="AI38" s="45">
        <f t="shared" si="9"/>
        <v>0</v>
      </c>
      <c r="AJ38" s="45"/>
      <c r="AK38" s="35"/>
      <c r="AL38" s="35"/>
      <c r="AM38" s="35">
        <v>0</v>
      </c>
      <c r="AN38" s="35"/>
      <c r="AO38" s="35">
        <v>0</v>
      </c>
      <c r="AP38" s="35"/>
      <c r="AQ38" s="35">
        <v>0</v>
      </c>
      <c r="AR38" s="35"/>
      <c r="AS38" s="45">
        <f t="shared" ref="AS38:AS101" si="12">+AI38+AK38+AM38-AO38+AQ38</f>
        <v>0</v>
      </c>
      <c r="AT38" s="45"/>
      <c r="AU38" s="35">
        <v>0</v>
      </c>
      <c r="AV38" s="35"/>
      <c r="AW38" s="35">
        <v>0</v>
      </c>
      <c r="AX38" s="35"/>
      <c r="AY38" s="35">
        <f t="shared" si="4"/>
        <v>0</v>
      </c>
      <c r="AZ38" s="35"/>
      <c r="BA38" s="35" t="s">
        <v>52</v>
      </c>
      <c r="BB38" s="55"/>
      <c r="BC38" s="35" t="s">
        <v>53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>
        <f t="shared" si="10"/>
        <v>0</v>
      </c>
      <c r="BN38" s="54" t="s">
        <v>347</v>
      </c>
    </row>
    <row r="39" spans="1:67" s="90" customFormat="1" ht="12.75" customHeight="1">
      <c r="A39" s="64" t="s">
        <v>54</v>
      </c>
      <c r="B39" s="66"/>
      <c r="C39" s="64" t="s">
        <v>55</v>
      </c>
      <c r="D39" s="64"/>
      <c r="E39" s="35">
        <f t="shared" ref="E39:E102" si="13">I39-G39</f>
        <v>10961282</v>
      </c>
      <c r="F39" s="35"/>
      <c r="G39" s="35">
        <v>20057279</v>
      </c>
      <c r="H39" s="35"/>
      <c r="I39" s="35">
        <v>31018561</v>
      </c>
      <c r="J39" s="35"/>
      <c r="K39" s="35">
        <f t="shared" ref="K39:K102" si="14">O39-M39</f>
        <v>1925644</v>
      </c>
      <c r="L39" s="35"/>
      <c r="M39" s="35">
        <v>2936284</v>
      </c>
      <c r="N39" s="35"/>
      <c r="O39" s="35">
        <v>4861928</v>
      </c>
      <c r="P39" s="35"/>
      <c r="Q39" s="35">
        <v>13860622</v>
      </c>
      <c r="R39" s="35"/>
      <c r="S39" s="35">
        <v>0</v>
      </c>
      <c r="T39" s="35"/>
      <c r="U39" s="35">
        <v>12296011</v>
      </c>
      <c r="V39" s="35"/>
      <c r="W39" s="35">
        <f t="shared" ref="W39:W102" si="15">SUM(Q39:U39)</f>
        <v>26156633</v>
      </c>
      <c r="X39" s="64"/>
      <c r="Y39" s="64" t="s">
        <v>54</v>
      </c>
      <c r="AA39" s="64" t="s">
        <v>55</v>
      </c>
      <c r="AB39" s="64"/>
      <c r="AC39" s="35">
        <v>21255604</v>
      </c>
      <c r="AD39" s="35"/>
      <c r="AE39" s="35">
        <f>19289383-1009012</f>
        <v>18280371</v>
      </c>
      <c r="AF39" s="35"/>
      <c r="AG39" s="35">
        <v>1009012</v>
      </c>
      <c r="AH39" s="35"/>
      <c r="AI39" s="45">
        <f t="shared" si="9"/>
        <v>1966221</v>
      </c>
      <c r="AJ39" s="45"/>
      <c r="AK39" s="35">
        <v>116378</v>
      </c>
      <c r="AL39" s="35"/>
      <c r="AM39" s="35">
        <v>0</v>
      </c>
      <c r="AN39" s="35"/>
      <c r="AO39" s="35">
        <v>429571</v>
      </c>
      <c r="AP39" s="35"/>
      <c r="AQ39" s="35">
        <v>684921</v>
      </c>
      <c r="AR39" s="35"/>
      <c r="AS39" s="45">
        <f t="shared" si="12"/>
        <v>2337949</v>
      </c>
      <c r="AT39" s="45"/>
      <c r="AU39" s="35">
        <v>0</v>
      </c>
      <c r="AV39" s="35"/>
      <c r="AW39" s="35">
        <v>0</v>
      </c>
      <c r="AX39" s="35"/>
      <c r="AY39" s="35">
        <f t="shared" ref="AY39:AY102" si="16">+E39-K39</f>
        <v>9035638</v>
      </c>
      <c r="AZ39" s="64"/>
      <c r="BA39" s="64" t="s">
        <v>54</v>
      </c>
      <c r="BC39" s="64" t="s">
        <v>55</v>
      </c>
      <c r="BD39" s="64"/>
      <c r="BE39" s="35">
        <v>0</v>
      </c>
      <c r="BF39" s="35"/>
      <c r="BG39" s="35"/>
      <c r="BH39" s="35"/>
      <c r="BI39" s="35">
        <v>0</v>
      </c>
      <c r="BJ39" s="35"/>
      <c r="BK39" s="35">
        <f>2936284+340000+128529</f>
        <v>3404813</v>
      </c>
      <c r="BL39" s="64"/>
      <c r="BM39" s="64">
        <f t="shared" si="10"/>
        <v>3404813</v>
      </c>
      <c r="BN39" s="91" t="s">
        <v>347</v>
      </c>
    </row>
    <row r="40" spans="1:67" ht="12.75" hidden="1" customHeight="1">
      <c r="A40" s="35" t="s">
        <v>56</v>
      </c>
      <c r="C40" s="35" t="s">
        <v>57</v>
      </c>
      <c r="D40" s="35"/>
      <c r="E40" s="35">
        <f t="shared" si="13"/>
        <v>0</v>
      </c>
      <c r="F40" s="35"/>
      <c r="G40" s="35">
        <v>0</v>
      </c>
      <c r="H40" s="35"/>
      <c r="I40" s="35">
        <v>0</v>
      </c>
      <c r="J40" s="35"/>
      <c r="K40" s="35">
        <f t="shared" si="14"/>
        <v>0</v>
      </c>
      <c r="L40" s="35"/>
      <c r="M40" s="35">
        <v>0</v>
      </c>
      <c r="N40" s="35"/>
      <c r="O40" s="35">
        <v>0</v>
      </c>
      <c r="P40" s="35"/>
      <c r="Q40" s="35">
        <v>0</v>
      </c>
      <c r="R40" s="35"/>
      <c r="S40" s="35">
        <v>0</v>
      </c>
      <c r="T40" s="35"/>
      <c r="U40" s="35">
        <v>0</v>
      </c>
      <c r="V40" s="35"/>
      <c r="W40" s="35">
        <f t="shared" si="15"/>
        <v>0</v>
      </c>
      <c r="X40" s="35"/>
      <c r="Y40" s="35" t="s">
        <v>56</v>
      </c>
      <c r="Z40" s="55"/>
      <c r="AA40" s="35" t="s">
        <v>57</v>
      </c>
      <c r="AB40" s="35"/>
      <c r="AC40" s="35">
        <v>0</v>
      </c>
      <c r="AD40" s="35"/>
      <c r="AE40" s="35">
        <v>0</v>
      </c>
      <c r="AF40" s="35"/>
      <c r="AG40" s="35">
        <v>0</v>
      </c>
      <c r="AH40" s="35"/>
      <c r="AI40" s="45">
        <f t="shared" si="9"/>
        <v>0</v>
      </c>
      <c r="AJ40" s="45"/>
      <c r="AK40" s="35">
        <v>0</v>
      </c>
      <c r="AL40" s="35"/>
      <c r="AM40" s="35">
        <v>0</v>
      </c>
      <c r="AN40" s="35"/>
      <c r="AO40" s="35">
        <v>0</v>
      </c>
      <c r="AP40" s="35"/>
      <c r="AQ40" s="35">
        <v>0</v>
      </c>
      <c r="AR40" s="35"/>
      <c r="AS40" s="45">
        <f t="shared" si="12"/>
        <v>0</v>
      </c>
      <c r="AT40" s="45"/>
      <c r="AU40" s="35">
        <v>0</v>
      </c>
      <c r="AV40" s="35"/>
      <c r="AW40" s="35">
        <v>0</v>
      </c>
      <c r="AX40" s="35"/>
      <c r="AY40" s="35">
        <f t="shared" si="16"/>
        <v>0</v>
      </c>
      <c r="AZ40" s="35"/>
      <c r="BA40" s="35" t="s">
        <v>56</v>
      </c>
      <c r="BB40" s="55"/>
      <c r="BC40" s="35" t="s">
        <v>57</v>
      </c>
      <c r="BD40" s="35"/>
      <c r="BE40" s="35">
        <v>0</v>
      </c>
      <c r="BF40" s="35"/>
      <c r="BG40" s="35"/>
      <c r="BH40" s="35"/>
      <c r="BI40" s="35">
        <v>0</v>
      </c>
      <c r="BJ40" s="35"/>
      <c r="BK40" s="35">
        <v>0</v>
      </c>
      <c r="BL40" s="35"/>
      <c r="BM40" s="35">
        <f t="shared" si="10"/>
        <v>0</v>
      </c>
      <c r="BN40" s="54" t="s">
        <v>347</v>
      </c>
    </row>
    <row r="41" spans="1:67" ht="12.75" hidden="1" customHeight="1">
      <c r="A41" s="35" t="s">
        <v>58</v>
      </c>
      <c r="C41" s="35" t="s">
        <v>59</v>
      </c>
      <c r="D41" s="35"/>
      <c r="E41" s="35">
        <f t="shared" si="13"/>
        <v>0</v>
      </c>
      <c r="F41" s="35"/>
      <c r="G41" s="35">
        <v>0</v>
      </c>
      <c r="H41" s="35"/>
      <c r="I41" s="35">
        <v>0</v>
      </c>
      <c r="J41" s="35"/>
      <c r="K41" s="35">
        <f t="shared" si="14"/>
        <v>0</v>
      </c>
      <c r="L41" s="35"/>
      <c r="M41" s="35">
        <v>0</v>
      </c>
      <c r="N41" s="35"/>
      <c r="O41" s="35">
        <v>0</v>
      </c>
      <c r="P41" s="35"/>
      <c r="Q41" s="35">
        <v>0</v>
      </c>
      <c r="R41" s="35"/>
      <c r="S41" s="35">
        <v>0</v>
      </c>
      <c r="T41" s="35"/>
      <c r="U41" s="35">
        <v>0</v>
      </c>
      <c r="V41" s="35"/>
      <c r="W41" s="35">
        <f t="shared" si="15"/>
        <v>0</v>
      </c>
      <c r="X41" s="35"/>
      <c r="Y41" s="35" t="s">
        <v>58</v>
      </c>
      <c r="Z41" s="55"/>
      <c r="AA41" s="35" t="s">
        <v>59</v>
      </c>
      <c r="AB41" s="35"/>
      <c r="AC41" s="35">
        <v>0</v>
      </c>
      <c r="AD41" s="35"/>
      <c r="AE41" s="35">
        <v>0</v>
      </c>
      <c r="AF41" s="35"/>
      <c r="AG41" s="35">
        <v>0</v>
      </c>
      <c r="AH41" s="35"/>
      <c r="AI41" s="45">
        <f t="shared" si="9"/>
        <v>0</v>
      </c>
      <c r="AJ41" s="45"/>
      <c r="AK41" s="35">
        <v>0</v>
      </c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2"/>
        <v>0</v>
      </c>
      <c r="AT41" s="45"/>
      <c r="AU41" s="35">
        <v>0</v>
      </c>
      <c r="AV41" s="35"/>
      <c r="AW41" s="35">
        <v>0</v>
      </c>
      <c r="AX41" s="35"/>
      <c r="AY41" s="35">
        <f t="shared" si="16"/>
        <v>0</v>
      </c>
      <c r="AZ41" s="35"/>
      <c r="BA41" s="35" t="s">
        <v>58</v>
      </c>
      <c r="BB41" s="55"/>
      <c r="BC41" s="35" t="s">
        <v>59</v>
      </c>
      <c r="BD41" s="35"/>
      <c r="BE41" s="35">
        <v>0</v>
      </c>
      <c r="BF41" s="35"/>
      <c r="BG41" s="35"/>
      <c r="BH41" s="35"/>
      <c r="BI41" s="35">
        <v>0</v>
      </c>
      <c r="BJ41" s="35"/>
      <c r="BK41" s="35">
        <v>0</v>
      </c>
      <c r="BL41" s="35"/>
      <c r="BM41" s="35">
        <f t="shared" si="10"/>
        <v>0</v>
      </c>
      <c r="BN41" s="54" t="s">
        <v>347</v>
      </c>
    </row>
    <row r="42" spans="1:67" ht="12.75" hidden="1" customHeight="1">
      <c r="A42" s="44" t="s">
        <v>476</v>
      </c>
      <c r="C42" s="35" t="s">
        <v>15</v>
      </c>
      <c r="D42" s="35"/>
      <c r="E42" s="35">
        <f t="shared" si="13"/>
        <v>0</v>
      </c>
      <c r="F42" s="35"/>
      <c r="G42" s="35">
        <v>0</v>
      </c>
      <c r="H42" s="35"/>
      <c r="I42" s="35">
        <v>0</v>
      </c>
      <c r="J42" s="35"/>
      <c r="K42" s="35">
        <f t="shared" si="14"/>
        <v>0</v>
      </c>
      <c r="L42" s="35"/>
      <c r="M42" s="35">
        <v>0</v>
      </c>
      <c r="N42" s="35"/>
      <c r="O42" s="35">
        <v>0</v>
      </c>
      <c r="P42" s="35"/>
      <c r="Q42" s="35">
        <v>0</v>
      </c>
      <c r="R42" s="35"/>
      <c r="S42" s="35">
        <v>0</v>
      </c>
      <c r="T42" s="35"/>
      <c r="U42" s="35">
        <v>0</v>
      </c>
      <c r="V42" s="35"/>
      <c r="W42" s="35">
        <f t="shared" si="15"/>
        <v>0</v>
      </c>
      <c r="X42" s="35"/>
      <c r="Y42" s="44" t="s">
        <v>62</v>
      </c>
      <c r="Z42" s="55"/>
      <c r="AA42" s="35" t="s">
        <v>15</v>
      </c>
      <c r="AB42" s="35"/>
      <c r="AC42" s="35">
        <v>0</v>
      </c>
      <c r="AD42" s="35"/>
      <c r="AE42" s="35">
        <v>0</v>
      </c>
      <c r="AF42" s="35"/>
      <c r="AG42" s="35">
        <v>0</v>
      </c>
      <c r="AH42" s="35"/>
      <c r="AI42" s="45">
        <f t="shared" si="9"/>
        <v>0</v>
      </c>
      <c r="AJ42" s="45"/>
      <c r="AK42" s="35">
        <v>0</v>
      </c>
      <c r="AL42" s="35"/>
      <c r="AM42" s="35">
        <v>0</v>
      </c>
      <c r="AN42" s="35"/>
      <c r="AO42" s="35">
        <v>0</v>
      </c>
      <c r="AP42" s="35"/>
      <c r="AQ42" s="35">
        <v>0</v>
      </c>
      <c r="AR42" s="35"/>
      <c r="AS42" s="45">
        <f t="shared" si="12"/>
        <v>0</v>
      </c>
      <c r="AT42" s="45"/>
      <c r="AU42" s="35">
        <v>0</v>
      </c>
      <c r="AV42" s="35"/>
      <c r="AW42" s="35">
        <v>0</v>
      </c>
      <c r="AX42" s="35"/>
      <c r="AY42" s="35">
        <f t="shared" si="16"/>
        <v>0</v>
      </c>
      <c r="AZ42" s="35"/>
      <c r="BA42" s="44" t="s">
        <v>62</v>
      </c>
      <c r="BB42" s="55"/>
      <c r="BC42" s="35" t="s">
        <v>15</v>
      </c>
      <c r="BD42" s="35"/>
      <c r="BE42" s="35">
        <v>0</v>
      </c>
      <c r="BF42" s="35"/>
      <c r="BG42" s="35"/>
      <c r="BH42" s="35"/>
      <c r="BI42" s="35">
        <v>0</v>
      </c>
      <c r="BJ42" s="35"/>
      <c r="BK42" s="35">
        <v>0</v>
      </c>
      <c r="BL42" s="35"/>
      <c r="BM42" s="35">
        <f t="shared" si="10"/>
        <v>0</v>
      </c>
      <c r="BN42" s="54" t="s">
        <v>347</v>
      </c>
    </row>
    <row r="43" spans="1:67" ht="12.75" hidden="1" customHeight="1">
      <c r="A43" s="35" t="s">
        <v>60</v>
      </c>
      <c r="C43" s="35" t="s">
        <v>61</v>
      </c>
      <c r="D43" s="35"/>
      <c r="E43" s="35">
        <f t="shared" si="13"/>
        <v>0</v>
      </c>
      <c r="F43" s="35"/>
      <c r="G43" s="35">
        <v>0</v>
      </c>
      <c r="H43" s="35"/>
      <c r="I43" s="35">
        <v>0</v>
      </c>
      <c r="J43" s="35"/>
      <c r="K43" s="35">
        <f t="shared" si="14"/>
        <v>0</v>
      </c>
      <c r="L43" s="35"/>
      <c r="M43" s="35">
        <v>0</v>
      </c>
      <c r="N43" s="35"/>
      <c r="O43" s="35">
        <v>0</v>
      </c>
      <c r="P43" s="35"/>
      <c r="Q43" s="35">
        <v>0</v>
      </c>
      <c r="R43" s="35"/>
      <c r="S43" s="35">
        <v>0</v>
      </c>
      <c r="T43" s="35"/>
      <c r="U43" s="35">
        <v>0</v>
      </c>
      <c r="V43" s="35"/>
      <c r="W43" s="35">
        <f t="shared" si="15"/>
        <v>0</v>
      </c>
      <c r="X43" s="35"/>
      <c r="Y43" s="35" t="s">
        <v>60</v>
      </c>
      <c r="Z43" s="55"/>
      <c r="AA43" s="35" t="s">
        <v>61</v>
      </c>
      <c r="AB43" s="35"/>
      <c r="AC43" s="35">
        <v>0</v>
      </c>
      <c r="AD43" s="35"/>
      <c r="AE43" s="35">
        <v>0</v>
      </c>
      <c r="AF43" s="35"/>
      <c r="AG43" s="35">
        <v>0</v>
      </c>
      <c r="AH43" s="35"/>
      <c r="AI43" s="45">
        <f t="shared" si="9"/>
        <v>0</v>
      </c>
      <c r="AJ43" s="45"/>
      <c r="AK43" s="35">
        <v>0</v>
      </c>
      <c r="AL43" s="35"/>
      <c r="AM43" s="35">
        <v>0</v>
      </c>
      <c r="AN43" s="35"/>
      <c r="AO43" s="35">
        <v>0</v>
      </c>
      <c r="AP43" s="35"/>
      <c r="AQ43" s="35">
        <v>0</v>
      </c>
      <c r="AR43" s="35"/>
      <c r="AS43" s="45">
        <f t="shared" si="12"/>
        <v>0</v>
      </c>
      <c r="AT43" s="45"/>
      <c r="AU43" s="35">
        <v>0</v>
      </c>
      <c r="AV43" s="35"/>
      <c r="AW43" s="35">
        <v>0</v>
      </c>
      <c r="AX43" s="35"/>
      <c r="AY43" s="35">
        <f t="shared" si="16"/>
        <v>0</v>
      </c>
      <c r="AZ43" s="35"/>
      <c r="BA43" s="35" t="s">
        <v>60</v>
      </c>
      <c r="BB43" s="55"/>
      <c r="BC43" s="35" t="s">
        <v>61</v>
      </c>
      <c r="BD43" s="35"/>
      <c r="BE43" s="35">
        <v>0</v>
      </c>
      <c r="BF43" s="35"/>
      <c r="BG43" s="35"/>
      <c r="BH43" s="35"/>
      <c r="BI43" s="35">
        <v>0</v>
      </c>
      <c r="BJ43" s="35"/>
      <c r="BK43" s="35">
        <v>0</v>
      </c>
      <c r="BL43" s="35"/>
      <c r="BM43" s="35">
        <f t="shared" si="10"/>
        <v>0</v>
      </c>
      <c r="BN43" s="54" t="s">
        <v>347</v>
      </c>
    </row>
    <row r="44" spans="1:67" ht="12.75" hidden="1" customHeight="1">
      <c r="A44" s="44" t="s">
        <v>62</v>
      </c>
      <c r="C44" s="35" t="s">
        <v>15</v>
      </c>
      <c r="D44" s="35"/>
      <c r="E44" s="35">
        <f t="shared" si="13"/>
        <v>0</v>
      </c>
      <c r="F44" s="35"/>
      <c r="G44" s="35">
        <v>0</v>
      </c>
      <c r="H44" s="35"/>
      <c r="I44" s="35">
        <v>0</v>
      </c>
      <c r="J44" s="35"/>
      <c r="K44" s="35">
        <f t="shared" si="14"/>
        <v>0</v>
      </c>
      <c r="L44" s="35"/>
      <c r="M44" s="35">
        <v>0</v>
      </c>
      <c r="N44" s="35"/>
      <c r="O44" s="35">
        <v>0</v>
      </c>
      <c r="P44" s="35"/>
      <c r="Q44" s="35">
        <v>0</v>
      </c>
      <c r="R44" s="35"/>
      <c r="S44" s="35">
        <v>0</v>
      </c>
      <c r="T44" s="35"/>
      <c r="U44" s="35">
        <v>0</v>
      </c>
      <c r="V44" s="35"/>
      <c r="W44" s="35">
        <f t="shared" si="15"/>
        <v>0</v>
      </c>
      <c r="X44" s="35"/>
      <c r="Y44" s="44" t="s">
        <v>62</v>
      </c>
      <c r="Z44" s="55"/>
      <c r="AA44" s="35" t="s">
        <v>15</v>
      </c>
      <c r="AB44" s="35"/>
      <c r="AC44" s="35">
        <v>0</v>
      </c>
      <c r="AD44" s="35"/>
      <c r="AE44" s="35">
        <v>0</v>
      </c>
      <c r="AF44" s="35"/>
      <c r="AG44" s="35">
        <v>0</v>
      </c>
      <c r="AH44" s="35"/>
      <c r="AI44" s="45">
        <f t="shared" si="9"/>
        <v>0</v>
      </c>
      <c r="AJ44" s="45"/>
      <c r="AK44" s="35">
        <v>0</v>
      </c>
      <c r="AL44" s="35"/>
      <c r="AM44" s="35">
        <v>0</v>
      </c>
      <c r="AN44" s="35"/>
      <c r="AO44" s="35">
        <v>0</v>
      </c>
      <c r="AP44" s="35"/>
      <c r="AQ44" s="35">
        <v>0</v>
      </c>
      <c r="AR44" s="35"/>
      <c r="AS44" s="45">
        <f t="shared" si="12"/>
        <v>0</v>
      </c>
      <c r="AT44" s="45"/>
      <c r="AU44" s="35">
        <v>0</v>
      </c>
      <c r="AV44" s="35"/>
      <c r="AW44" s="35">
        <v>0</v>
      </c>
      <c r="AX44" s="35"/>
      <c r="AY44" s="35">
        <f t="shared" si="16"/>
        <v>0</v>
      </c>
      <c r="AZ44" s="35"/>
      <c r="BA44" s="44" t="s">
        <v>62</v>
      </c>
      <c r="BB44" s="55"/>
      <c r="BC44" s="35" t="s">
        <v>15</v>
      </c>
      <c r="BD44" s="35"/>
      <c r="BE44" s="35">
        <v>0</v>
      </c>
      <c r="BF44" s="35"/>
      <c r="BG44" s="35"/>
      <c r="BH44" s="35"/>
      <c r="BI44" s="35">
        <v>0</v>
      </c>
      <c r="BJ44" s="35"/>
      <c r="BK44" s="35">
        <v>0</v>
      </c>
      <c r="BL44" s="35"/>
      <c r="BM44" s="35">
        <f t="shared" si="10"/>
        <v>0</v>
      </c>
      <c r="BN44" s="54" t="s">
        <v>347</v>
      </c>
    </row>
    <row r="45" spans="1:67" ht="12.75" hidden="1" customHeight="1">
      <c r="A45" s="35" t="s">
        <v>485</v>
      </c>
      <c r="C45" s="35" t="s">
        <v>111</v>
      </c>
      <c r="D45" s="35"/>
      <c r="E45" s="35">
        <f t="shared" si="13"/>
        <v>0</v>
      </c>
      <c r="F45" s="35"/>
      <c r="G45" s="35">
        <v>0</v>
      </c>
      <c r="H45" s="35"/>
      <c r="I45" s="35">
        <v>0</v>
      </c>
      <c r="J45" s="35"/>
      <c r="K45" s="35">
        <f t="shared" si="14"/>
        <v>0</v>
      </c>
      <c r="L45" s="35"/>
      <c r="M45" s="35">
        <v>0</v>
      </c>
      <c r="N45" s="35"/>
      <c r="O45" s="35">
        <v>0</v>
      </c>
      <c r="P45" s="35"/>
      <c r="Q45" s="35">
        <v>0</v>
      </c>
      <c r="R45" s="35"/>
      <c r="S45" s="35">
        <v>0</v>
      </c>
      <c r="T45" s="35"/>
      <c r="U45" s="35">
        <v>0</v>
      </c>
      <c r="V45" s="35"/>
      <c r="W45" s="35">
        <f t="shared" si="15"/>
        <v>0</v>
      </c>
      <c r="X45" s="35"/>
      <c r="Y45" s="35" t="s">
        <v>485</v>
      </c>
      <c r="Z45" s="55"/>
      <c r="AA45" s="35" t="s">
        <v>111</v>
      </c>
      <c r="AB45" s="35"/>
      <c r="AC45" s="35">
        <v>0</v>
      </c>
      <c r="AD45" s="35"/>
      <c r="AE45" s="35">
        <v>0</v>
      </c>
      <c r="AF45" s="35"/>
      <c r="AG45" s="35">
        <v>0</v>
      </c>
      <c r="AH45" s="35"/>
      <c r="AI45" s="45">
        <f t="shared" si="9"/>
        <v>0</v>
      </c>
      <c r="AJ45" s="45"/>
      <c r="AK45" s="35">
        <v>0</v>
      </c>
      <c r="AL45" s="35"/>
      <c r="AM45" s="35">
        <v>0</v>
      </c>
      <c r="AN45" s="35"/>
      <c r="AO45" s="35">
        <v>0</v>
      </c>
      <c r="AP45" s="35"/>
      <c r="AQ45" s="35">
        <v>0</v>
      </c>
      <c r="AR45" s="35"/>
      <c r="AS45" s="45">
        <f t="shared" si="12"/>
        <v>0</v>
      </c>
      <c r="AT45" s="45"/>
      <c r="AU45" s="35">
        <v>0</v>
      </c>
      <c r="AV45" s="35"/>
      <c r="AW45" s="35">
        <v>0</v>
      </c>
      <c r="AX45" s="35"/>
      <c r="AY45" s="35">
        <f t="shared" si="16"/>
        <v>0</v>
      </c>
      <c r="AZ45" s="35"/>
      <c r="BA45" s="35" t="s">
        <v>485</v>
      </c>
      <c r="BB45" s="55"/>
      <c r="BC45" s="35" t="s">
        <v>111</v>
      </c>
      <c r="BD45" s="35"/>
      <c r="BE45" s="35">
        <v>0</v>
      </c>
      <c r="BF45" s="35"/>
      <c r="BG45" s="35"/>
      <c r="BH45" s="35"/>
      <c r="BI45" s="35">
        <v>0</v>
      </c>
      <c r="BJ45" s="35"/>
      <c r="BK45" s="35">
        <v>0</v>
      </c>
      <c r="BL45" s="35"/>
      <c r="BM45" s="35">
        <f t="shared" si="10"/>
        <v>0</v>
      </c>
      <c r="BN45" s="54" t="s">
        <v>347</v>
      </c>
    </row>
    <row r="46" spans="1:67" ht="12.75" customHeight="1">
      <c r="A46" s="35" t="s">
        <v>63</v>
      </c>
      <c r="C46" s="35" t="s">
        <v>64</v>
      </c>
      <c r="D46" s="35"/>
      <c r="E46" s="35">
        <f t="shared" si="13"/>
        <v>7699814</v>
      </c>
      <c r="F46" s="35"/>
      <c r="G46" s="35">
        <v>14984828</v>
      </c>
      <c r="H46" s="35"/>
      <c r="I46" s="35">
        <v>22684642</v>
      </c>
      <c r="J46" s="35"/>
      <c r="K46" s="35">
        <f t="shared" si="14"/>
        <v>2059029</v>
      </c>
      <c r="L46" s="35"/>
      <c r="M46" s="35">
        <v>887228</v>
      </c>
      <c r="N46" s="35"/>
      <c r="O46" s="35">
        <v>2946257</v>
      </c>
      <c r="P46" s="35"/>
      <c r="Q46" s="35">
        <v>14103018</v>
      </c>
      <c r="R46" s="35"/>
      <c r="S46" s="35">
        <v>0</v>
      </c>
      <c r="T46" s="35"/>
      <c r="U46" s="35">
        <v>5635367</v>
      </c>
      <c r="V46" s="35"/>
      <c r="W46" s="35">
        <f t="shared" si="15"/>
        <v>19738385</v>
      </c>
      <c r="X46" s="35"/>
      <c r="Y46" s="35" t="s">
        <v>63</v>
      </c>
      <c r="Z46" s="55"/>
      <c r="AA46" s="35" t="s">
        <v>64</v>
      </c>
      <c r="AB46" s="35"/>
      <c r="AC46" s="35">
        <v>17395665</v>
      </c>
      <c r="AD46" s="35"/>
      <c r="AE46" s="35">
        <f>15936611-881932</f>
        <v>15054679</v>
      </c>
      <c r="AF46" s="35"/>
      <c r="AG46" s="35">
        <v>881932</v>
      </c>
      <c r="AH46" s="35"/>
      <c r="AI46" s="45">
        <f t="shared" si="9"/>
        <v>1459054</v>
      </c>
      <c r="AJ46" s="45"/>
      <c r="AK46" s="35">
        <v>197199</v>
      </c>
      <c r="AL46" s="35"/>
      <c r="AM46" s="35">
        <v>0</v>
      </c>
      <c r="AN46" s="35"/>
      <c r="AO46" s="35">
        <v>0</v>
      </c>
      <c r="AP46" s="35"/>
      <c r="AQ46" s="35">
        <v>210</v>
      </c>
      <c r="AR46" s="35"/>
      <c r="AS46" s="45">
        <f t="shared" si="12"/>
        <v>1656463</v>
      </c>
      <c r="AT46" s="45"/>
      <c r="AU46" s="35">
        <v>0</v>
      </c>
      <c r="AV46" s="35"/>
      <c r="AW46" s="35">
        <v>0</v>
      </c>
      <c r="AX46" s="35"/>
      <c r="AY46" s="35">
        <f t="shared" si="16"/>
        <v>5640785</v>
      </c>
      <c r="AZ46" s="35"/>
      <c r="BA46" s="35" t="s">
        <v>63</v>
      </c>
      <c r="BB46" s="55"/>
      <c r="BC46" s="35" t="s">
        <v>64</v>
      </c>
      <c r="BD46" s="35"/>
      <c r="BE46" s="35">
        <f>461836+410000</f>
        <v>871836</v>
      </c>
      <c r="BF46" s="35"/>
      <c r="BG46" s="35"/>
      <c r="BH46" s="35"/>
      <c r="BI46" s="35">
        <v>0</v>
      </c>
      <c r="BJ46" s="35"/>
      <c r="BK46" s="35">
        <f>361548+63844+27314</f>
        <v>452706</v>
      </c>
      <c r="BL46" s="35"/>
      <c r="BM46" s="35">
        <f t="shared" si="10"/>
        <v>1324542</v>
      </c>
      <c r="BN46" s="54" t="s">
        <v>347</v>
      </c>
      <c r="BO46" s="55" t="s">
        <v>315</v>
      </c>
    </row>
    <row r="47" spans="1:67" ht="12.75" hidden="1" customHeight="1">
      <c r="A47" s="35" t="s">
        <v>65</v>
      </c>
      <c r="C47" s="35" t="s">
        <v>66</v>
      </c>
      <c r="D47" s="35"/>
      <c r="E47" s="35">
        <f t="shared" si="13"/>
        <v>0</v>
      </c>
      <c r="F47" s="35"/>
      <c r="G47" s="35">
        <v>0</v>
      </c>
      <c r="H47" s="35"/>
      <c r="I47" s="35">
        <v>0</v>
      </c>
      <c r="J47" s="35"/>
      <c r="K47" s="35">
        <f t="shared" si="14"/>
        <v>0</v>
      </c>
      <c r="L47" s="35"/>
      <c r="M47" s="35">
        <v>0</v>
      </c>
      <c r="N47" s="35"/>
      <c r="O47" s="35">
        <v>0</v>
      </c>
      <c r="P47" s="35"/>
      <c r="Q47" s="35">
        <v>0</v>
      </c>
      <c r="R47" s="35"/>
      <c r="S47" s="35">
        <v>0</v>
      </c>
      <c r="T47" s="35"/>
      <c r="U47" s="35">
        <v>0</v>
      </c>
      <c r="V47" s="35"/>
      <c r="W47" s="35">
        <f t="shared" si="15"/>
        <v>0</v>
      </c>
      <c r="X47" s="35"/>
      <c r="Y47" s="35" t="s">
        <v>65</v>
      </c>
      <c r="Z47" s="55"/>
      <c r="AA47" s="35" t="s">
        <v>66</v>
      </c>
      <c r="AB47" s="35"/>
      <c r="AC47" s="35">
        <v>0</v>
      </c>
      <c r="AD47" s="35"/>
      <c r="AE47" s="35">
        <v>0</v>
      </c>
      <c r="AF47" s="35"/>
      <c r="AG47" s="35">
        <v>0</v>
      </c>
      <c r="AH47" s="35"/>
      <c r="AI47" s="45">
        <f t="shared" si="9"/>
        <v>0</v>
      </c>
      <c r="AJ47" s="45"/>
      <c r="AK47" s="35">
        <v>0</v>
      </c>
      <c r="AL47" s="35"/>
      <c r="AM47" s="35">
        <v>0</v>
      </c>
      <c r="AN47" s="35"/>
      <c r="AO47" s="35">
        <v>0</v>
      </c>
      <c r="AP47" s="35"/>
      <c r="AQ47" s="35">
        <v>0</v>
      </c>
      <c r="AR47" s="35"/>
      <c r="AS47" s="45">
        <f t="shared" si="12"/>
        <v>0</v>
      </c>
      <c r="AT47" s="45"/>
      <c r="AU47" s="35">
        <v>0</v>
      </c>
      <c r="AV47" s="35"/>
      <c r="AW47" s="35">
        <v>0</v>
      </c>
      <c r="AX47" s="35"/>
      <c r="AY47" s="35">
        <f t="shared" si="16"/>
        <v>0</v>
      </c>
      <c r="AZ47" s="35"/>
      <c r="BA47" s="35" t="s">
        <v>65</v>
      </c>
      <c r="BB47" s="55"/>
      <c r="BC47" s="35" t="s">
        <v>66</v>
      </c>
      <c r="BD47" s="35"/>
      <c r="BE47" s="35">
        <v>0</v>
      </c>
      <c r="BF47" s="35"/>
      <c r="BG47" s="35"/>
      <c r="BH47" s="35"/>
      <c r="BI47" s="35">
        <v>0</v>
      </c>
      <c r="BJ47" s="35"/>
      <c r="BK47" s="35">
        <v>0</v>
      </c>
      <c r="BL47" s="35"/>
      <c r="BM47" s="35">
        <f t="shared" si="10"/>
        <v>0</v>
      </c>
      <c r="BN47" s="54" t="s">
        <v>347</v>
      </c>
    </row>
    <row r="48" spans="1:67" ht="12.75" hidden="1" customHeight="1">
      <c r="A48" s="35" t="s">
        <v>67</v>
      </c>
      <c r="C48" s="35" t="s">
        <v>375</v>
      </c>
      <c r="D48" s="35"/>
      <c r="E48" s="35">
        <f t="shared" si="13"/>
        <v>0</v>
      </c>
      <c r="F48" s="35"/>
      <c r="G48" s="35">
        <v>0</v>
      </c>
      <c r="H48" s="35"/>
      <c r="I48" s="35">
        <v>0</v>
      </c>
      <c r="J48" s="35"/>
      <c r="K48" s="35">
        <f t="shared" si="14"/>
        <v>0</v>
      </c>
      <c r="L48" s="35"/>
      <c r="M48" s="35">
        <v>0</v>
      </c>
      <c r="N48" s="35"/>
      <c r="O48" s="35">
        <v>0</v>
      </c>
      <c r="P48" s="35"/>
      <c r="Q48" s="35">
        <v>0</v>
      </c>
      <c r="R48" s="35"/>
      <c r="S48" s="35">
        <v>0</v>
      </c>
      <c r="T48" s="35"/>
      <c r="U48" s="35">
        <v>0</v>
      </c>
      <c r="V48" s="35"/>
      <c r="W48" s="35">
        <f t="shared" si="15"/>
        <v>0</v>
      </c>
      <c r="X48" s="35"/>
      <c r="Y48" s="35" t="s">
        <v>67</v>
      </c>
      <c r="Z48" s="55"/>
      <c r="AA48" s="35" t="s">
        <v>375</v>
      </c>
      <c r="AB48" s="35"/>
      <c r="AC48" s="35">
        <v>0</v>
      </c>
      <c r="AD48" s="35"/>
      <c r="AE48" s="35">
        <v>0</v>
      </c>
      <c r="AF48" s="35"/>
      <c r="AG48" s="35">
        <v>0</v>
      </c>
      <c r="AH48" s="35"/>
      <c r="AI48" s="45">
        <f t="shared" si="9"/>
        <v>0</v>
      </c>
      <c r="AJ48" s="45"/>
      <c r="AK48" s="35">
        <v>0</v>
      </c>
      <c r="AL48" s="35"/>
      <c r="AM48" s="35">
        <v>0</v>
      </c>
      <c r="AN48" s="35"/>
      <c r="AO48" s="35">
        <v>0</v>
      </c>
      <c r="AP48" s="35"/>
      <c r="AQ48" s="35">
        <v>0</v>
      </c>
      <c r="AR48" s="35"/>
      <c r="AS48" s="45">
        <f t="shared" si="12"/>
        <v>0</v>
      </c>
      <c r="AT48" s="45"/>
      <c r="AU48" s="35">
        <v>0</v>
      </c>
      <c r="AV48" s="35"/>
      <c r="AW48" s="35">
        <v>0</v>
      </c>
      <c r="AX48" s="35"/>
      <c r="AY48" s="35">
        <f t="shared" si="16"/>
        <v>0</v>
      </c>
      <c r="AZ48" s="35"/>
      <c r="BA48" s="35" t="s">
        <v>67</v>
      </c>
      <c r="BB48" s="55"/>
      <c r="BC48" s="35" t="s">
        <v>375</v>
      </c>
      <c r="BD48" s="35"/>
      <c r="BE48" s="35">
        <v>0</v>
      </c>
      <c r="BF48" s="35"/>
      <c r="BG48" s="35"/>
      <c r="BH48" s="35"/>
      <c r="BI48" s="35">
        <v>0</v>
      </c>
      <c r="BJ48" s="35"/>
      <c r="BK48" s="35">
        <v>0</v>
      </c>
      <c r="BL48" s="35"/>
      <c r="BM48" s="35">
        <f t="shared" si="10"/>
        <v>0</v>
      </c>
      <c r="BN48" s="54" t="s">
        <v>347</v>
      </c>
    </row>
    <row r="49" spans="1:67" ht="12.75" hidden="1" customHeight="1">
      <c r="A49" s="35" t="s">
        <v>68</v>
      </c>
      <c r="C49" s="35" t="s">
        <v>45</v>
      </c>
      <c r="D49" s="35"/>
      <c r="E49" s="35">
        <f t="shared" si="13"/>
        <v>0</v>
      </c>
      <c r="F49" s="35"/>
      <c r="G49" s="35">
        <v>0</v>
      </c>
      <c r="H49" s="35"/>
      <c r="I49" s="35">
        <v>0</v>
      </c>
      <c r="J49" s="35"/>
      <c r="K49" s="35">
        <f t="shared" si="14"/>
        <v>0</v>
      </c>
      <c r="L49" s="35"/>
      <c r="M49" s="35">
        <v>0</v>
      </c>
      <c r="N49" s="35"/>
      <c r="O49" s="35">
        <v>0</v>
      </c>
      <c r="P49" s="35"/>
      <c r="Q49" s="35">
        <v>0</v>
      </c>
      <c r="R49" s="35"/>
      <c r="S49" s="35">
        <v>0</v>
      </c>
      <c r="T49" s="35"/>
      <c r="U49" s="35">
        <v>0</v>
      </c>
      <c r="V49" s="35"/>
      <c r="W49" s="35">
        <f t="shared" si="15"/>
        <v>0</v>
      </c>
      <c r="X49" s="35"/>
      <c r="Y49" s="35" t="s">
        <v>68</v>
      </c>
      <c r="Z49" s="55"/>
      <c r="AA49" s="35" t="s">
        <v>45</v>
      </c>
      <c r="AB49" s="35"/>
      <c r="AC49" s="35">
        <v>0</v>
      </c>
      <c r="AD49" s="35"/>
      <c r="AE49" s="35">
        <v>0</v>
      </c>
      <c r="AF49" s="35"/>
      <c r="AG49" s="35">
        <v>0</v>
      </c>
      <c r="AH49" s="35"/>
      <c r="AI49" s="45">
        <f t="shared" si="9"/>
        <v>0</v>
      </c>
      <c r="AJ49" s="45"/>
      <c r="AK49" s="35">
        <v>0</v>
      </c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2"/>
        <v>0</v>
      </c>
      <c r="AT49" s="45"/>
      <c r="AU49" s="35">
        <v>0</v>
      </c>
      <c r="AV49" s="35"/>
      <c r="AW49" s="35">
        <v>0</v>
      </c>
      <c r="AX49" s="35"/>
      <c r="AY49" s="35">
        <f t="shared" si="16"/>
        <v>0</v>
      </c>
      <c r="AZ49" s="35"/>
      <c r="BA49" s="35" t="s">
        <v>68</v>
      </c>
      <c r="BB49" s="55"/>
      <c r="BC49" s="35" t="s">
        <v>45</v>
      </c>
      <c r="BD49" s="35"/>
      <c r="BE49" s="35">
        <v>0</v>
      </c>
      <c r="BF49" s="35"/>
      <c r="BG49" s="35"/>
      <c r="BH49" s="35"/>
      <c r="BI49" s="35">
        <v>0</v>
      </c>
      <c r="BJ49" s="35"/>
      <c r="BK49" s="35">
        <v>0</v>
      </c>
      <c r="BL49" s="35"/>
      <c r="BM49" s="35">
        <f t="shared" si="10"/>
        <v>0</v>
      </c>
      <c r="BN49" s="54" t="s">
        <v>347</v>
      </c>
    </row>
    <row r="50" spans="1:67" ht="12.75" hidden="1" customHeight="1">
      <c r="A50" s="35" t="s">
        <v>69</v>
      </c>
      <c r="C50" s="35" t="s">
        <v>70</v>
      </c>
      <c r="D50" s="35"/>
      <c r="E50" s="35">
        <f t="shared" si="13"/>
        <v>0</v>
      </c>
      <c r="F50" s="35"/>
      <c r="G50" s="35">
        <v>0</v>
      </c>
      <c r="H50" s="35"/>
      <c r="I50" s="35">
        <v>0</v>
      </c>
      <c r="J50" s="35"/>
      <c r="K50" s="35">
        <f t="shared" si="14"/>
        <v>0</v>
      </c>
      <c r="L50" s="35"/>
      <c r="M50" s="35">
        <v>0</v>
      </c>
      <c r="N50" s="35"/>
      <c r="O50" s="35">
        <v>0</v>
      </c>
      <c r="P50" s="35"/>
      <c r="Q50" s="35">
        <v>0</v>
      </c>
      <c r="R50" s="35"/>
      <c r="S50" s="35">
        <v>0</v>
      </c>
      <c r="T50" s="35"/>
      <c r="U50" s="35">
        <v>0</v>
      </c>
      <c r="V50" s="35"/>
      <c r="W50" s="35">
        <f t="shared" si="15"/>
        <v>0</v>
      </c>
      <c r="X50" s="35"/>
      <c r="Y50" s="35" t="s">
        <v>69</v>
      </c>
      <c r="Z50" s="55"/>
      <c r="AA50" s="35" t="s">
        <v>70</v>
      </c>
      <c r="AB50" s="35"/>
      <c r="AC50" s="35">
        <v>0</v>
      </c>
      <c r="AD50" s="35"/>
      <c r="AE50" s="35">
        <v>0</v>
      </c>
      <c r="AF50" s="35"/>
      <c r="AG50" s="35">
        <v>0</v>
      </c>
      <c r="AH50" s="35"/>
      <c r="AI50" s="45">
        <f t="shared" si="9"/>
        <v>0</v>
      </c>
      <c r="AJ50" s="45"/>
      <c r="AK50" s="35">
        <v>0</v>
      </c>
      <c r="AL50" s="35"/>
      <c r="AM50" s="35">
        <v>0</v>
      </c>
      <c r="AN50" s="35"/>
      <c r="AO50" s="35">
        <v>0</v>
      </c>
      <c r="AP50" s="35"/>
      <c r="AQ50" s="35">
        <v>0</v>
      </c>
      <c r="AR50" s="35"/>
      <c r="AS50" s="45">
        <f t="shared" si="12"/>
        <v>0</v>
      </c>
      <c r="AT50" s="45"/>
      <c r="AU50" s="35">
        <v>0</v>
      </c>
      <c r="AV50" s="35"/>
      <c r="AW50" s="35">
        <v>0</v>
      </c>
      <c r="AX50" s="35"/>
      <c r="AY50" s="35">
        <f t="shared" si="16"/>
        <v>0</v>
      </c>
      <c r="AZ50" s="35"/>
      <c r="BA50" s="35" t="s">
        <v>69</v>
      </c>
      <c r="BB50" s="55"/>
      <c r="BC50" s="35" t="s">
        <v>70</v>
      </c>
      <c r="BD50" s="35"/>
      <c r="BE50" s="35">
        <v>0</v>
      </c>
      <c r="BF50" s="35"/>
      <c r="BG50" s="35"/>
      <c r="BH50" s="35"/>
      <c r="BI50" s="35">
        <v>0</v>
      </c>
      <c r="BJ50" s="35"/>
      <c r="BK50" s="35">
        <v>0</v>
      </c>
      <c r="BL50" s="35"/>
      <c r="BM50" s="35">
        <f t="shared" si="10"/>
        <v>0</v>
      </c>
      <c r="BN50" s="54" t="s">
        <v>347</v>
      </c>
    </row>
    <row r="51" spans="1:67" ht="12.75" hidden="1" customHeight="1">
      <c r="A51" s="35" t="s">
        <v>71</v>
      </c>
      <c r="C51" s="35" t="s">
        <v>45</v>
      </c>
      <c r="D51" s="35"/>
      <c r="E51" s="35">
        <f t="shared" si="13"/>
        <v>0</v>
      </c>
      <c r="F51" s="35"/>
      <c r="G51" s="35">
        <v>0</v>
      </c>
      <c r="H51" s="35"/>
      <c r="I51" s="35">
        <v>0</v>
      </c>
      <c r="J51" s="35"/>
      <c r="K51" s="35">
        <f t="shared" si="14"/>
        <v>0</v>
      </c>
      <c r="L51" s="35"/>
      <c r="M51" s="35">
        <v>0</v>
      </c>
      <c r="N51" s="35"/>
      <c r="O51" s="35">
        <v>0</v>
      </c>
      <c r="P51" s="35"/>
      <c r="Q51" s="35">
        <v>0</v>
      </c>
      <c r="R51" s="35"/>
      <c r="S51" s="35">
        <v>0</v>
      </c>
      <c r="T51" s="35"/>
      <c r="U51" s="35">
        <v>0</v>
      </c>
      <c r="V51" s="35"/>
      <c r="W51" s="35">
        <f t="shared" si="15"/>
        <v>0</v>
      </c>
      <c r="X51" s="35"/>
      <c r="Y51" s="35" t="s">
        <v>71</v>
      </c>
      <c r="Z51" s="55"/>
      <c r="AA51" s="35" t="s">
        <v>45</v>
      </c>
      <c r="AB51" s="35"/>
      <c r="AC51" s="35">
        <v>0</v>
      </c>
      <c r="AD51" s="35"/>
      <c r="AE51" s="35">
        <v>0</v>
      </c>
      <c r="AF51" s="35"/>
      <c r="AG51" s="35">
        <v>0</v>
      </c>
      <c r="AH51" s="35"/>
      <c r="AI51" s="45">
        <f t="shared" si="9"/>
        <v>0</v>
      </c>
      <c r="AJ51" s="45"/>
      <c r="AK51" s="35">
        <v>0</v>
      </c>
      <c r="AL51" s="35"/>
      <c r="AM51" s="35">
        <v>0</v>
      </c>
      <c r="AN51" s="35"/>
      <c r="AO51" s="35">
        <v>0</v>
      </c>
      <c r="AP51" s="35"/>
      <c r="AQ51" s="35">
        <v>0</v>
      </c>
      <c r="AR51" s="35"/>
      <c r="AS51" s="45">
        <f t="shared" si="12"/>
        <v>0</v>
      </c>
      <c r="AT51" s="45"/>
      <c r="AU51" s="35">
        <v>0</v>
      </c>
      <c r="AV51" s="35"/>
      <c r="AW51" s="35">
        <v>0</v>
      </c>
      <c r="AX51" s="35"/>
      <c r="AY51" s="35">
        <f t="shared" si="16"/>
        <v>0</v>
      </c>
      <c r="AZ51" s="35"/>
      <c r="BA51" s="35" t="s">
        <v>71</v>
      </c>
      <c r="BB51" s="55"/>
      <c r="BC51" s="35" t="s">
        <v>45</v>
      </c>
      <c r="BD51" s="35"/>
      <c r="BE51" s="35">
        <v>0</v>
      </c>
      <c r="BF51" s="35"/>
      <c r="BG51" s="35"/>
      <c r="BH51" s="35"/>
      <c r="BI51" s="35">
        <v>0</v>
      </c>
      <c r="BJ51" s="35"/>
      <c r="BK51" s="35">
        <v>0</v>
      </c>
      <c r="BL51" s="35"/>
      <c r="BM51" s="35">
        <f t="shared" si="10"/>
        <v>0</v>
      </c>
      <c r="BN51" s="54" t="s">
        <v>347</v>
      </c>
    </row>
    <row r="52" spans="1:67" ht="12.75" hidden="1" customHeight="1">
      <c r="A52" s="35" t="s">
        <v>72</v>
      </c>
      <c r="C52" s="35" t="s">
        <v>66</v>
      </c>
      <c r="D52" s="35"/>
      <c r="E52" s="35">
        <f t="shared" si="13"/>
        <v>0</v>
      </c>
      <c r="F52" s="35"/>
      <c r="G52" s="35">
        <v>0</v>
      </c>
      <c r="H52" s="35"/>
      <c r="I52" s="35">
        <v>0</v>
      </c>
      <c r="J52" s="35"/>
      <c r="K52" s="35">
        <f t="shared" si="14"/>
        <v>0</v>
      </c>
      <c r="L52" s="35"/>
      <c r="M52" s="35">
        <v>0</v>
      </c>
      <c r="N52" s="35"/>
      <c r="O52" s="35">
        <v>0</v>
      </c>
      <c r="P52" s="35"/>
      <c r="Q52" s="35">
        <v>0</v>
      </c>
      <c r="R52" s="35"/>
      <c r="S52" s="35">
        <v>0</v>
      </c>
      <c r="T52" s="35"/>
      <c r="U52" s="35">
        <v>0</v>
      </c>
      <c r="V52" s="35"/>
      <c r="W52" s="35">
        <f t="shared" si="15"/>
        <v>0</v>
      </c>
      <c r="X52" s="35"/>
      <c r="Y52" s="35" t="s">
        <v>72</v>
      </c>
      <c r="Z52" s="55"/>
      <c r="AA52" s="35" t="s">
        <v>66</v>
      </c>
      <c r="AB52" s="35"/>
      <c r="AC52" s="35">
        <v>0</v>
      </c>
      <c r="AD52" s="35"/>
      <c r="AE52" s="35">
        <v>0</v>
      </c>
      <c r="AF52" s="35"/>
      <c r="AG52" s="35">
        <v>0</v>
      </c>
      <c r="AH52" s="35"/>
      <c r="AI52" s="45">
        <f t="shared" si="9"/>
        <v>0</v>
      </c>
      <c r="AJ52" s="45"/>
      <c r="AK52" s="35">
        <v>0</v>
      </c>
      <c r="AL52" s="35"/>
      <c r="AM52" s="35">
        <v>0</v>
      </c>
      <c r="AN52" s="35"/>
      <c r="AO52" s="35">
        <v>0</v>
      </c>
      <c r="AP52" s="35"/>
      <c r="AQ52" s="35">
        <v>0</v>
      </c>
      <c r="AR52" s="35"/>
      <c r="AS52" s="45">
        <f t="shared" si="12"/>
        <v>0</v>
      </c>
      <c r="AT52" s="45"/>
      <c r="AU52" s="35">
        <v>0</v>
      </c>
      <c r="AV52" s="35"/>
      <c r="AW52" s="35">
        <v>0</v>
      </c>
      <c r="AX52" s="35"/>
      <c r="AY52" s="35">
        <f t="shared" si="16"/>
        <v>0</v>
      </c>
      <c r="AZ52" s="35"/>
      <c r="BA52" s="35" t="s">
        <v>72</v>
      </c>
      <c r="BB52" s="55"/>
      <c r="BC52" s="35" t="s">
        <v>66</v>
      </c>
      <c r="BD52" s="35"/>
      <c r="BE52" s="35">
        <v>0</v>
      </c>
      <c r="BF52" s="35"/>
      <c r="BG52" s="35"/>
      <c r="BH52" s="35"/>
      <c r="BI52" s="35">
        <v>0</v>
      </c>
      <c r="BJ52" s="35"/>
      <c r="BK52" s="35">
        <v>0</v>
      </c>
      <c r="BL52" s="35"/>
      <c r="BM52" s="35">
        <f t="shared" si="10"/>
        <v>0</v>
      </c>
      <c r="BN52" s="54" t="s">
        <v>347</v>
      </c>
    </row>
    <row r="53" spans="1:67" ht="12.75" customHeight="1">
      <c r="A53" s="35" t="s">
        <v>73</v>
      </c>
      <c r="B53" s="55"/>
      <c r="C53" s="35" t="s">
        <v>27</v>
      </c>
      <c r="D53" s="35"/>
      <c r="E53" s="35">
        <f t="shared" si="13"/>
        <v>83389000</v>
      </c>
      <c r="F53" s="35"/>
      <c r="G53" s="35">
        <v>401236000</v>
      </c>
      <c r="H53" s="35"/>
      <c r="I53" s="35">
        <v>484625000</v>
      </c>
      <c r="J53" s="35"/>
      <c r="K53" s="35">
        <f t="shared" si="14"/>
        <v>37302000</v>
      </c>
      <c r="L53" s="35"/>
      <c r="M53" s="35">
        <v>240565000</v>
      </c>
      <c r="N53" s="35"/>
      <c r="O53" s="35">
        <v>277867000</v>
      </c>
      <c r="P53" s="35"/>
      <c r="Q53" s="35">
        <v>144257000</v>
      </c>
      <c r="R53" s="35"/>
      <c r="S53" s="35">
        <v>4210000</v>
      </c>
      <c r="T53" s="35"/>
      <c r="U53" s="35">
        <v>59291000</v>
      </c>
      <c r="V53" s="35"/>
      <c r="W53" s="35">
        <f t="shared" si="15"/>
        <v>207758000</v>
      </c>
      <c r="X53" s="35"/>
      <c r="Y53" s="35" t="s">
        <v>73</v>
      </c>
      <c r="Z53" s="55"/>
      <c r="AA53" s="35" t="s">
        <v>27</v>
      </c>
      <c r="AB53" s="35"/>
      <c r="AC53" s="35">
        <v>166665000</v>
      </c>
      <c r="AD53" s="35"/>
      <c r="AE53" s="35">
        <f>154221000-16191000</f>
        <v>138030000</v>
      </c>
      <c r="AF53" s="35"/>
      <c r="AG53" s="35">
        <v>16191000</v>
      </c>
      <c r="AH53" s="35"/>
      <c r="AI53" s="45">
        <f t="shared" si="9"/>
        <v>12444000</v>
      </c>
      <c r="AJ53" s="45"/>
      <c r="AK53" s="35">
        <v>-10386000</v>
      </c>
      <c r="AL53" s="35"/>
      <c r="AM53" s="35">
        <v>0</v>
      </c>
      <c r="AN53" s="35"/>
      <c r="AO53" s="35">
        <v>0</v>
      </c>
      <c r="AP53" s="35"/>
      <c r="AQ53" s="35">
        <v>1021000</v>
      </c>
      <c r="AR53" s="35"/>
      <c r="AS53" s="45">
        <f t="shared" si="12"/>
        <v>3079000</v>
      </c>
      <c r="AT53" s="45"/>
      <c r="AU53" s="35">
        <v>0</v>
      </c>
      <c r="AV53" s="35"/>
      <c r="AW53" s="35">
        <v>0</v>
      </c>
      <c r="AX53" s="35"/>
      <c r="AY53" s="35">
        <f t="shared" si="16"/>
        <v>46087000</v>
      </c>
      <c r="AZ53" s="35"/>
      <c r="BA53" s="35" t="s">
        <v>73</v>
      </c>
      <c r="BB53" s="55"/>
      <c r="BC53" s="35" t="s">
        <v>27</v>
      </c>
      <c r="BD53" s="35"/>
      <c r="BE53" s="35">
        <v>0</v>
      </c>
      <c r="BF53" s="35"/>
      <c r="BG53" s="35">
        <f>824866000+17472000</f>
        <v>842338000</v>
      </c>
      <c r="BH53" s="35"/>
      <c r="BI53" s="35">
        <v>0</v>
      </c>
      <c r="BJ53" s="35"/>
      <c r="BK53" s="35">
        <f>651000+6500000+7716000</f>
        <v>14867000</v>
      </c>
      <c r="BL53" s="35"/>
      <c r="BM53" s="35">
        <f t="shared" si="10"/>
        <v>857205000</v>
      </c>
      <c r="BN53" s="54" t="s">
        <v>347</v>
      </c>
    </row>
    <row r="54" spans="1:67" s="140" customFormat="1" ht="12.75" hidden="1" customHeight="1">
      <c r="A54" s="126" t="s">
        <v>74</v>
      </c>
      <c r="B54" s="124"/>
      <c r="C54" s="126" t="s">
        <v>27</v>
      </c>
      <c r="D54" s="126"/>
      <c r="E54" s="126">
        <f t="shared" si="13"/>
        <v>0</v>
      </c>
      <c r="F54" s="126"/>
      <c r="G54" s="126">
        <v>0</v>
      </c>
      <c r="H54" s="126"/>
      <c r="I54" s="126">
        <v>0</v>
      </c>
      <c r="J54" s="126"/>
      <c r="K54" s="126">
        <f t="shared" si="14"/>
        <v>0</v>
      </c>
      <c r="L54" s="126"/>
      <c r="M54" s="126">
        <v>0</v>
      </c>
      <c r="N54" s="126"/>
      <c r="O54" s="126">
        <v>0</v>
      </c>
      <c r="P54" s="126"/>
      <c r="Q54" s="126">
        <v>0</v>
      </c>
      <c r="R54" s="126"/>
      <c r="S54" s="126">
        <v>0</v>
      </c>
      <c r="T54" s="126"/>
      <c r="U54" s="126">
        <v>0</v>
      </c>
      <c r="V54" s="126"/>
      <c r="W54" s="126">
        <f t="shared" si="15"/>
        <v>0</v>
      </c>
      <c r="X54" s="126"/>
      <c r="Y54" s="126" t="s">
        <v>74</v>
      </c>
      <c r="AA54" s="126" t="s">
        <v>27</v>
      </c>
      <c r="AB54" s="126"/>
      <c r="AC54" s="126">
        <v>0</v>
      </c>
      <c r="AD54" s="126"/>
      <c r="AE54" s="126">
        <v>0</v>
      </c>
      <c r="AF54" s="126"/>
      <c r="AG54" s="126">
        <v>0</v>
      </c>
      <c r="AH54" s="126"/>
      <c r="AI54" s="127">
        <f t="shared" si="9"/>
        <v>0</v>
      </c>
      <c r="AJ54" s="127"/>
      <c r="AK54" s="126">
        <v>0</v>
      </c>
      <c r="AL54" s="126"/>
      <c r="AM54" s="126">
        <v>0</v>
      </c>
      <c r="AN54" s="126"/>
      <c r="AO54" s="126">
        <v>0</v>
      </c>
      <c r="AP54" s="126"/>
      <c r="AQ54" s="126">
        <v>0</v>
      </c>
      <c r="AR54" s="126"/>
      <c r="AS54" s="127">
        <f t="shared" si="12"/>
        <v>0</v>
      </c>
      <c r="AT54" s="127"/>
      <c r="AU54" s="126">
        <v>0</v>
      </c>
      <c r="AV54" s="126"/>
      <c r="AW54" s="126">
        <v>0</v>
      </c>
      <c r="AX54" s="126"/>
      <c r="AY54" s="126">
        <f t="shared" si="16"/>
        <v>0</v>
      </c>
      <c r="AZ54" s="126"/>
      <c r="BA54" s="126" t="s">
        <v>74</v>
      </c>
      <c r="BC54" s="126" t="s">
        <v>27</v>
      </c>
      <c r="BD54" s="126"/>
      <c r="BE54" s="126">
        <v>0</v>
      </c>
      <c r="BF54" s="126"/>
      <c r="BG54" s="126"/>
      <c r="BH54" s="126"/>
      <c r="BI54" s="126">
        <v>0</v>
      </c>
      <c r="BJ54" s="126"/>
      <c r="BK54" s="126">
        <v>0</v>
      </c>
      <c r="BL54" s="126"/>
      <c r="BM54" s="126">
        <f t="shared" si="10"/>
        <v>0</v>
      </c>
      <c r="BN54" s="139" t="s">
        <v>347</v>
      </c>
    </row>
    <row r="55" spans="1:67" ht="12.75" customHeight="1">
      <c r="A55" s="35" t="s">
        <v>75</v>
      </c>
      <c r="C55" s="35" t="s">
        <v>76</v>
      </c>
      <c r="D55" s="35"/>
      <c r="E55" s="35">
        <f t="shared" si="13"/>
        <v>7988053</v>
      </c>
      <c r="F55" s="35"/>
      <c r="G55" s="35">
        <v>11882415</v>
      </c>
      <c r="H55" s="35"/>
      <c r="I55" s="35">
        <v>19870468</v>
      </c>
      <c r="J55" s="35"/>
      <c r="K55" s="35">
        <f t="shared" si="14"/>
        <v>2198921</v>
      </c>
      <c r="L55" s="35"/>
      <c r="M55" s="35">
        <v>3390468</v>
      </c>
      <c r="N55" s="35"/>
      <c r="O55" s="35">
        <v>5589389</v>
      </c>
      <c r="P55" s="35"/>
      <c r="Q55" s="35">
        <v>6897717</v>
      </c>
      <c r="R55" s="35"/>
      <c r="S55" s="35">
        <v>731320</v>
      </c>
      <c r="T55" s="35"/>
      <c r="U55" s="35">
        <v>6652042</v>
      </c>
      <c r="V55" s="35"/>
      <c r="W55" s="35">
        <f t="shared" si="15"/>
        <v>14281079</v>
      </c>
      <c r="X55" s="35"/>
      <c r="Y55" s="35" t="s">
        <v>75</v>
      </c>
      <c r="Z55" s="55"/>
      <c r="AA55" s="35" t="s">
        <v>76</v>
      </c>
      <c r="AB55" s="35"/>
      <c r="AC55" s="35">
        <v>17484366</v>
      </c>
      <c r="AD55" s="35"/>
      <c r="AE55" s="35">
        <f>17813124-405785</f>
        <v>17407339</v>
      </c>
      <c r="AF55" s="35"/>
      <c r="AG55" s="35">
        <v>405785</v>
      </c>
      <c r="AH55" s="35"/>
      <c r="AI55" s="45">
        <f t="shared" si="9"/>
        <v>-328758</v>
      </c>
      <c r="AJ55" s="45"/>
      <c r="AK55" s="35">
        <v>-549770</v>
      </c>
      <c r="AL55" s="35"/>
      <c r="AM55" s="35">
        <v>87448</v>
      </c>
      <c r="AN55" s="35"/>
      <c r="AO55" s="35">
        <v>5500</v>
      </c>
      <c r="AP55" s="35"/>
      <c r="AQ55" s="35">
        <v>0</v>
      </c>
      <c r="AR55" s="35"/>
      <c r="AS55" s="45">
        <f t="shared" si="12"/>
        <v>-796580</v>
      </c>
      <c r="AT55" s="45"/>
      <c r="AU55" s="35">
        <v>0</v>
      </c>
      <c r="AV55" s="35"/>
      <c r="AW55" s="35">
        <v>0</v>
      </c>
      <c r="AX55" s="35"/>
      <c r="AY55" s="35">
        <f t="shared" si="16"/>
        <v>5789132</v>
      </c>
      <c r="AZ55" s="35"/>
      <c r="BA55" s="35" t="s">
        <v>75</v>
      </c>
      <c r="BB55" s="55"/>
      <c r="BC55" s="35" t="s">
        <v>76</v>
      </c>
      <c r="BD55" s="35"/>
      <c r="BE55" s="35">
        <f>1148378+405000</f>
        <v>1553378</v>
      </c>
      <c r="BF55" s="35"/>
      <c r="BG55" s="35">
        <f>1125000+335000</f>
        <v>1460000</v>
      </c>
      <c r="BH55" s="35"/>
      <c r="BI55" s="35">
        <v>0</v>
      </c>
      <c r="BJ55" s="35"/>
      <c r="BK55" s="35">
        <f>17090+1100000+140000+10080</f>
        <v>1267170</v>
      </c>
      <c r="BL55" s="35"/>
      <c r="BM55" s="35">
        <f t="shared" si="10"/>
        <v>4280548</v>
      </c>
      <c r="BN55" s="54" t="s">
        <v>347</v>
      </c>
    </row>
    <row r="56" spans="1:67" ht="12.75" customHeight="1">
      <c r="A56" s="35" t="s">
        <v>94</v>
      </c>
      <c r="C56" s="35" t="s">
        <v>94</v>
      </c>
      <c r="D56" s="35"/>
      <c r="E56" s="35">
        <f t="shared" si="13"/>
        <v>3919695</v>
      </c>
      <c r="F56" s="35"/>
      <c r="G56" s="35">
        <v>4945644</v>
      </c>
      <c r="H56" s="35"/>
      <c r="I56" s="35">
        <v>8865339</v>
      </c>
      <c r="J56" s="35"/>
      <c r="K56" s="35">
        <f t="shared" si="14"/>
        <v>1203101</v>
      </c>
      <c r="L56" s="35"/>
      <c r="M56" s="35">
        <v>23755</v>
      </c>
      <c r="N56" s="35"/>
      <c r="O56" s="35">
        <v>1226856</v>
      </c>
      <c r="P56" s="35"/>
      <c r="Q56" s="35">
        <v>4151969</v>
      </c>
      <c r="R56" s="35"/>
      <c r="S56" s="35">
        <v>0</v>
      </c>
      <c r="T56" s="35"/>
      <c r="U56" s="35">
        <v>3486514</v>
      </c>
      <c r="V56" s="35"/>
      <c r="W56" s="35">
        <f t="shared" si="15"/>
        <v>7638483</v>
      </c>
      <c r="X56" s="35"/>
      <c r="Y56" s="35" t="str">
        <f>+A56</f>
        <v>Columbiana</v>
      </c>
      <c r="Z56" s="55"/>
      <c r="AA56" s="35" t="s">
        <v>94</v>
      </c>
      <c r="AB56" s="35"/>
      <c r="AC56" s="35">
        <v>7894717</v>
      </c>
      <c r="AD56" s="35"/>
      <c r="AE56" s="35">
        <f>7547719-397098</f>
        <v>7150621</v>
      </c>
      <c r="AF56" s="35"/>
      <c r="AG56" s="35">
        <v>397098</v>
      </c>
      <c r="AH56" s="35"/>
      <c r="AI56" s="45">
        <f t="shared" si="9"/>
        <v>346998</v>
      </c>
      <c r="AJ56" s="45"/>
      <c r="AK56" s="35">
        <v>-133666</v>
      </c>
      <c r="AL56" s="35"/>
      <c r="AM56" s="35">
        <v>0</v>
      </c>
      <c r="AN56" s="35"/>
      <c r="AO56" s="35">
        <v>0</v>
      </c>
      <c r="AP56" s="35"/>
      <c r="AQ56" s="35">
        <v>0</v>
      </c>
      <c r="AR56" s="35"/>
      <c r="AS56" s="45">
        <f t="shared" si="12"/>
        <v>213332</v>
      </c>
      <c r="AT56" s="45"/>
      <c r="AU56" s="35">
        <v>0</v>
      </c>
      <c r="AV56" s="35"/>
      <c r="AW56" s="35">
        <v>0</v>
      </c>
      <c r="AX56" s="35"/>
      <c r="AY56" s="35">
        <f t="shared" si="16"/>
        <v>2716594</v>
      </c>
      <c r="AZ56" s="35"/>
      <c r="BA56" s="35" t="str">
        <f>+Y56</f>
        <v>Columbiana</v>
      </c>
      <c r="BB56" s="55"/>
      <c r="BC56" s="35" t="s">
        <v>94</v>
      </c>
      <c r="BD56" s="35"/>
      <c r="BE56" s="35">
        <v>0</v>
      </c>
      <c r="BF56" s="35"/>
      <c r="BG56" s="35"/>
      <c r="BH56" s="35"/>
      <c r="BI56" s="35">
        <v>0</v>
      </c>
      <c r="BJ56" s="35"/>
      <c r="BK56" s="35">
        <f>23755+6189</f>
        <v>29944</v>
      </c>
      <c r="BL56" s="35"/>
      <c r="BM56" s="35">
        <f t="shared" si="10"/>
        <v>29944</v>
      </c>
      <c r="BN56" s="54" t="s">
        <v>347</v>
      </c>
    </row>
    <row r="57" spans="1:67" ht="12.75" customHeight="1">
      <c r="A57" s="35" t="s">
        <v>77</v>
      </c>
      <c r="C57" s="35" t="s">
        <v>43</v>
      </c>
      <c r="D57" s="35"/>
      <c r="E57" s="35">
        <f t="shared" si="13"/>
        <v>17120000</v>
      </c>
      <c r="F57" s="35"/>
      <c r="G57" s="35">
        <v>91075000</v>
      </c>
      <c r="H57" s="35"/>
      <c r="I57" s="35">
        <v>108195000</v>
      </c>
      <c r="J57" s="35"/>
      <c r="K57" s="35">
        <f t="shared" si="14"/>
        <v>5169000</v>
      </c>
      <c r="L57" s="35"/>
      <c r="M57" s="35">
        <v>20880000</v>
      </c>
      <c r="N57" s="35"/>
      <c r="O57" s="35">
        <v>26049000</v>
      </c>
      <c r="P57" s="35"/>
      <c r="Q57" s="35">
        <v>67167000</v>
      </c>
      <c r="R57" s="35"/>
      <c r="S57" s="35">
        <v>0</v>
      </c>
      <c r="T57" s="35"/>
      <c r="U57" s="35">
        <v>3979000</v>
      </c>
      <c r="V57" s="35"/>
      <c r="W57" s="35">
        <f t="shared" si="15"/>
        <v>71146000</v>
      </c>
      <c r="X57" s="35"/>
      <c r="Y57" s="35" t="s">
        <v>77</v>
      </c>
      <c r="Z57" s="55"/>
      <c r="AA57" s="35" t="s">
        <v>43</v>
      </c>
      <c r="AB57" s="35"/>
      <c r="AC57" s="35">
        <v>81481000</v>
      </c>
      <c r="AD57" s="35"/>
      <c r="AE57" s="35">
        <f>86348000-3916000</f>
        <v>82432000</v>
      </c>
      <c r="AF57" s="35"/>
      <c r="AG57" s="35">
        <v>3916000</v>
      </c>
      <c r="AH57" s="35"/>
      <c r="AI57" s="45">
        <f t="shared" si="9"/>
        <v>-4867000</v>
      </c>
      <c r="AJ57" s="45"/>
      <c r="AK57" s="35">
        <v>-3097000</v>
      </c>
      <c r="AL57" s="35"/>
      <c r="AM57" s="35">
        <v>360000</v>
      </c>
      <c r="AN57" s="35"/>
      <c r="AO57" s="35">
        <v>0</v>
      </c>
      <c r="AP57" s="35"/>
      <c r="AQ57" s="35">
        <v>0</v>
      </c>
      <c r="AR57" s="35"/>
      <c r="AS57" s="45">
        <f t="shared" si="12"/>
        <v>-7604000</v>
      </c>
      <c r="AT57" s="45"/>
      <c r="AU57" s="35">
        <v>0</v>
      </c>
      <c r="AV57" s="35"/>
      <c r="AW57" s="35">
        <v>0</v>
      </c>
      <c r="AX57" s="35"/>
      <c r="AY57" s="35">
        <f t="shared" si="16"/>
        <v>11951000</v>
      </c>
      <c r="AZ57" s="35"/>
      <c r="BA57" s="35" t="s">
        <v>77</v>
      </c>
      <c r="BB57" s="55"/>
      <c r="BC57" s="35" t="s">
        <v>43</v>
      </c>
      <c r="BD57" s="35"/>
      <c r="BE57" s="35">
        <f>4415000+20880000</f>
        <v>25295000</v>
      </c>
      <c r="BF57" s="35"/>
      <c r="BG57" s="35"/>
      <c r="BH57" s="35"/>
      <c r="BI57" s="35">
        <v>0</v>
      </c>
      <c r="BJ57" s="35"/>
      <c r="BK57" s="35">
        <v>0</v>
      </c>
      <c r="BL57" s="35"/>
      <c r="BM57" s="35">
        <f t="shared" si="10"/>
        <v>25295000</v>
      </c>
      <c r="BN57" s="54" t="s">
        <v>347</v>
      </c>
    </row>
    <row r="58" spans="1:67" ht="12.75" hidden="1" customHeight="1">
      <c r="A58" s="35" t="s">
        <v>78</v>
      </c>
      <c r="C58" s="35" t="s">
        <v>19</v>
      </c>
      <c r="D58" s="35"/>
      <c r="E58" s="35">
        <f t="shared" si="13"/>
        <v>0</v>
      </c>
      <c r="F58" s="35"/>
      <c r="G58" s="35">
        <v>0</v>
      </c>
      <c r="H58" s="35"/>
      <c r="I58" s="35">
        <v>0</v>
      </c>
      <c r="J58" s="35"/>
      <c r="K58" s="35">
        <f t="shared" si="14"/>
        <v>0</v>
      </c>
      <c r="L58" s="35"/>
      <c r="M58" s="35">
        <v>0</v>
      </c>
      <c r="N58" s="35"/>
      <c r="O58" s="35">
        <v>0</v>
      </c>
      <c r="P58" s="35"/>
      <c r="Q58" s="35">
        <v>0</v>
      </c>
      <c r="R58" s="35"/>
      <c r="S58" s="35">
        <v>0</v>
      </c>
      <c r="T58" s="35"/>
      <c r="U58" s="35">
        <v>0</v>
      </c>
      <c r="V58" s="35"/>
      <c r="W58" s="35">
        <f t="shared" si="15"/>
        <v>0</v>
      </c>
      <c r="X58" s="35"/>
      <c r="Y58" s="35" t="s">
        <v>78</v>
      </c>
      <c r="Z58" s="55"/>
      <c r="AA58" s="35" t="s">
        <v>19</v>
      </c>
      <c r="AB58" s="35"/>
      <c r="AC58" s="35">
        <v>0</v>
      </c>
      <c r="AD58" s="35"/>
      <c r="AE58" s="35">
        <v>0</v>
      </c>
      <c r="AF58" s="35"/>
      <c r="AG58" s="35">
        <v>0</v>
      </c>
      <c r="AH58" s="35"/>
      <c r="AI58" s="45">
        <f t="shared" si="9"/>
        <v>0</v>
      </c>
      <c r="AJ58" s="45"/>
      <c r="AK58" s="35">
        <v>0</v>
      </c>
      <c r="AL58" s="35"/>
      <c r="AM58" s="35">
        <v>0</v>
      </c>
      <c r="AN58" s="35"/>
      <c r="AO58" s="35">
        <v>0</v>
      </c>
      <c r="AP58" s="35"/>
      <c r="AQ58" s="35">
        <v>0</v>
      </c>
      <c r="AR58" s="35"/>
      <c r="AS58" s="45">
        <f t="shared" si="12"/>
        <v>0</v>
      </c>
      <c r="AT58" s="45"/>
      <c r="AU58" s="35">
        <v>0</v>
      </c>
      <c r="AV58" s="35"/>
      <c r="AW58" s="35">
        <v>0</v>
      </c>
      <c r="AX58" s="35"/>
      <c r="AY58" s="35">
        <f t="shared" si="16"/>
        <v>0</v>
      </c>
      <c r="AZ58" s="35"/>
      <c r="BA58" s="35" t="s">
        <v>78</v>
      </c>
      <c r="BB58" s="55"/>
      <c r="BC58" s="35" t="s">
        <v>19</v>
      </c>
      <c r="BD58" s="35"/>
      <c r="BE58" s="35">
        <v>0</v>
      </c>
      <c r="BF58" s="35"/>
      <c r="BG58" s="35"/>
      <c r="BH58" s="35"/>
      <c r="BI58" s="35">
        <v>0</v>
      </c>
      <c r="BJ58" s="35"/>
      <c r="BK58" s="35">
        <v>0</v>
      </c>
      <c r="BL58" s="35"/>
      <c r="BM58" s="35">
        <f t="shared" si="10"/>
        <v>0</v>
      </c>
      <c r="BN58" s="54" t="s">
        <v>347</v>
      </c>
    </row>
    <row r="59" spans="1:67" ht="12.75" hidden="1" customHeight="1">
      <c r="A59" s="35" t="s">
        <v>79</v>
      </c>
      <c r="C59" s="35" t="s">
        <v>80</v>
      </c>
      <c r="D59" s="35"/>
      <c r="E59" s="35">
        <f t="shared" si="13"/>
        <v>0</v>
      </c>
      <c r="F59" s="35"/>
      <c r="G59" s="35">
        <v>0</v>
      </c>
      <c r="H59" s="35"/>
      <c r="I59" s="35">
        <v>0</v>
      </c>
      <c r="J59" s="35"/>
      <c r="K59" s="35">
        <f t="shared" si="14"/>
        <v>0</v>
      </c>
      <c r="L59" s="35"/>
      <c r="M59" s="35">
        <v>0</v>
      </c>
      <c r="N59" s="35"/>
      <c r="O59" s="35">
        <v>0</v>
      </c>
      <c r="P59" s="35"/>
      <c r="Q59" s="35">
        <v>0</v>
      </c>
      <c r="R59" s="35"/>
      <c r="S59" s="35">
        <v>0</v>
      </c>
      <c r="T59" s="35"/>
      <c r="U59" s="35">
        <v>0</v>
      </c>
      <c r="V59" s="35"/>
      <c r="W59" s="35">
        <f t="shared" si="15"/>
        <v>0</v>
      </c>
      <c r="X59" s="35"/>
      <c r="Y59" s="35" t="s">
        <v>79</v>
      </c>
      <c r="Z59" s="55"/>
      <c r="AA59" s="35" t="s">
        <v>80</v>
      </c>
      <c r="AB59" s="35"/>
      <c r="AC59" s="35">
        <v>0</v>
      </c>
      <c r="AD59" s="35"/>
      <c r="AE59" s="35">
        <v>0</v>
      </c>
      <c r="AF59" s="35"/>
      <c r="AG59" s="35">
        <v>0</v>
      </c>
      <c r="AH59" s="35"/>
      <c r="AI59" s="45">
        <f t="shared" si="9"/>
        <v>0</v>
      </c>
      <c r="AJ59" s="45"/>
      <c r="AK59" s="35">
        <v>0</v>
      </c>
      <c r="AL59" s="35"/>
      <c r="AM59" s="35">
        <v>0</v>
      </c>
      <c r="AN59" s="35"/>
      <c r="AO59" s="35">
        <v>0</v>
      </c>
      <c r="AP59" s="35"/>
      <c r="AQ59" s="35">
        <v>0</v>
      </c>
      <c r="AR59" s="35"/>
      <c r="AS59" s="45">
        <f t="shared" si="12"/>
        <v>0</v>
      </c>
      <c r="AT59" s="45"/>
      <c r="AU59" s="35">
        <v>0</v>
      </c>
      <c r="AV59" s="35"/>
      <c r="AW59" s="35">
        <v>0</v>
      </c>
      <c r="AX59" s="35"/>
      <c r="AY59" s="35">
        <f t="shared" si="16"/>
        <v>0</v>
      </c>
      <c r="AZ59" s="35"/>
      <c r="BA59" s="35" t="s">
        <v>79</v>
      </c>
      <c r="BB59" s="55"/>
      <c r="BC59" s="35" t="s">
        <v>80</v>
      </c>
      <c r="BD59" s="35"/>
      <c r="BE59" s="35">
        <v>0</v>
      </c>
      <c r="BF59" s="35"/>
      <c r="BG59" s="35"/>
      <c r="BH59" s="35"/>
      <c r="BI59" s="35">
        <v>0</v>
      </c>
      <c r="BJ59" s="35"/>
      <c r="BK59" s="35">
        <v>0</v>
      </c>
      <c r="BL59" s="35"/>
      <c r="BM59" s="35">
        <f t="shared" si="10"/>
        <v>0</v>
      </c>
      <c r="BN59" s="54" t="s">
        <v>347</v>
      </c>
    </row>
    <row r="60" spans="1:67" ht="12.75" hidden="1" customHeight="1">
      <c r="A60" s="35" t="s">
        <v>81</v>
      </c>
      <c r="C60" s="35" t="s">
        <v>81</v>
      </c>
      <c r="D60" s="35"/>
      <c r="E60" s="35">
        <f t="shared" si="13"/>
        <v>0</v>
      </c>
      <c r="F60" s="35"/>
      <c r="G60" s="35">
        <v>0</v>
      </c>
      <c r="H60" s="35"/>
      <c r="I60" s="35">
        <v>0</v>
      </c>
      <c r="J60" s="35"/>
      <c r="K60" s="35">
        <f t="shared" si="14"/>
        <v>0</v>
      </c>
      <c r="L60" s="35"/>
      <c r="M60" s="35">
        <v>0</v>
      </c>
      <c r="N60" s="35"/>
      <c r="O60" s="35">
        <v>0</v>
      </c>
      <c r="P60" s="35"/>
      <c r="Q60" s="35">
        <v>0</v>
      </c>
      <c r="R60" s="35"/>
      <c r="S60" s="35">
        <v>0</v>
      </c>
      <c r="T60" s="35"/>
      <c r="U60" s="35">
        <v>0</v>
      </c>
      <c r="V60" s="35"/>
      <c r="W60" s="35">
        <f t="shared" si="15"/>
        <v>0</v>
      </c>
      <c r="X60" s="35"/>
      <c r="Y60" s="35" t="s">
        <v>81</v>
      </c>
      <c r="Z60" s="55"/>
      <c r="AA60" s="35" t="s">
        <v>81</v>
      </c>
      <c r="AB60" s="35"/>
      <c r="AC60" s="35">
        <v>0</v>
      </c>
      <c r="AD60" s="35"/>
      <c r="AE60" s="35">
        <v>0</v>
      </c>
      <c r="AF60" s="35"/>
      <c r="AG60" s="35">
        <v>0</v>
      </c>
      <c r="AH60" s="35"/>
      <c r="AI60" s="45">
        <f t="shared" si="9"/>
        <v>0</v>
      </c>
      <c r="AJ60" s="45"/>
      <c r="AK60" s="35">
        <v>0</v>
      </c>
      <c r="AL60" s="35"/>
      <c r="AM60" s="35">
        <v>0</v>
      </c>
      <c r="AN60" s="35"/>
      <c r="AO60" s="35">
        <v>0</v>
      </c>
      <c r="AP60" s="35"/>
      <c r="AQ60" s="35">
        <v>0</v>
      </c>
      <c r="AR60" s="35"/>
      <c r="AS60" s="45">
        <f t="shared" si="12"/>
        <v>0</v>
      </c>
      <c r="AT60" s="45"/>
      <c r="AU60" s="35">
        <v>0</v>
      </c>
      <c r="AV60" s="35"/>
      <c r="AW60" s="35">
        <v>0</v>
      </c>
      <c r="AX60" s="35"/>
      <c r="AY60" s="35">
        <f t="shared" si="16"/>
        <v>0</v>
      </c>
      <c r="AZ60" s="35"/>
      <c r="BA60" s="35" t="s">
        <v>81</v>
      </c>
      <c r="BB60" s="55"/>
      <c r="BC60" s="35" t="s">
        <v>81</v>
      </c>
      <c r="BD60" s="35"/>
      <c r="BE60" s="35">
        <v>0</v>
      </c>
      <c r="BF60" s="35"/>
      <c r="BG60" s="35"/>
      <c r="BH60" s="35"/>
      <c r="BI60" s="35">
        <v>0</v>
      </c>
      <c r="BJ60" s="35"/>
      <c r="BK60" s="35">
        <v>0</v>
      </c>
      <c r="BL60" s="35"/>
      <c r="BM60" s="35">
        <f t="shared" si="10"/>
        <v>0</v>
      </c>
      <c r="BN60" s="54" t="s">
        <v>347</v>
      </c>
    </row>
    <row r="61" spans="1:67" ht="12.75" customHeight="1">
      <c r="A61" s="35" t="s">
        <v>82</v>
      </c>
      <c r="C61" s="35" t="s">
        <v>13</v>
      </c>
      <c r="D61" s="35"/>
      <c r="E61" s="35">
        <f t="shared" si="13"/>
        <v>29012146</v>
      </c>
      <c r="F61" s="35"/>
      <c r="G61" s="35">
        <v>23493913</v>
      </c>
      <c r="H61" s="35"/>
      <c r="I61" s="35">
        <v>52506059</v>
      </c>
      <c r="J61" s="35"/>
      <c r="K61" s="35">
        <f t="shared" si="14"/>
        <v>13394730</v>
      </c>
      <c r="L61" s="35"/>
      <c r="M61" s="35">
        <v>1943455</v>
      </c>
      <c r="N61" s="35"/>
      <c r="O61" s="35">
        <v>15338185</v>
      </c>
      <c r="P61" s="35"/>
      <c r="Q61" s="35">
        <v>15991922</v>
      </c>
      <c r="R61" s="35"/>
      <c r="S61" s="35">
        <v>0</v>
      </c>
      <c r="T61" s="35"/>
      <c r="U61" s="35">
        <v>21175952</v>
      </c>
      <c r="V61" s="35"/>
      <c r="W61" s="35">
        <f t="shared" si="15"/>
        <v>37167874</v>
      </c>
      <c r="X61" s="35"/>
      <c r="Y61" s="35" t="s">
        <v>82</v>
      </c>
      <c r="Z61" s="55"/>
      <c r="AA61" s="35" t="s">
        <v>13</v>
      </c>
      <c r="AB61" s="35"/>
      <c r="AC61" s="35">
        <v>41561289</v>
      </c>
      <c r="AD61" s="35"/>
      <c r="AE61" s="35">
        <f>38501609-1365818</f>
        <v>37135791</v>
      </c>
      <c r="AF61" s="35"/>
      <c r="AG61" s="35">
        <v>1365818</v>
      </c>
      <c r="AH61" s="35"/>
      <c r="AI61" s="45">
        <f t="shared" si="9"/>
        <v>3059680</v>
      </c>
      <c r="AJ61" s="45"/>
      <c r="AK61" s="35">
        <v>-425829</v>
      </c>
      <c r="AL61" s="35"/>
      <c r="AM61" s="35">
        <v>1900677</v>
      </c>
      <c r="AN61" s="35"/>
      <c r="AO61" s="35">
        <v>1910179</v>
      </c>
      <c r="AP61" s="35"/>
      <c r="AQ61" s="35">
        <v>0</v>
      </c>
      <c r="AR61" s="35"/>
      <c r="AS61" s="45">
        <f t="shared" si="12"/>
        <v>2624349</v>
      </c>
      <c r="AT61" s="45"/>
      <c r="AU61" s="35">
        <v>0</v>
      </c>
      <c r="AV61" s="35"/>
      <c r="AW61" s="35">
        <v>0</v>
      </c>
      <c r="AX61" s="35"/>
      <c r="AY61" s="35">
        <f t="shared" si="16"/>
        <v>15617416</v>
      </c>
      <c r="AZ61" s="35"/>
      <c r="BA61" s="35" t="s">
        <v>82</v>
      </c>
      <c r="BB61" s="55"/>
      <c r="BC61" s="35" t="s">
        <v>13</v>
      </c>
      <c r="BD61" s="35"/>
      <c r="BE61" s="35">
        <v>0</v>
      </c>
      <c r="BF61" s="35"/>
      <c r="BG61" s="35"/>
      <c r="BH61" s="35"/>
      <c r="BI61" s="35">
        <v>0</v>
      </c>
      <c r="BJ61" s="35"/>
      <c r="BK61" s="35">
        <f>10943455+698497+182111</f>
        <v>11824063</v>
      </c>
      <c r="BL61" s="35"/>
      <c r="BM61" s="35">
        <f t="shared" si="10"/>
        <v>11824063</v>
      </c>
      <c r="BN61" s="54" t="s">
        <v>347</v>
      </c>
    </row>
    <row r="62" spans="1:67" ht="12.75" hidden="1" customHeight="1">
      <c r="A62" s="35" t="s">
        <v>83</v>
      </c>
      <c r="C62" s="35" t="s">
        <v>66</v>
      </c>
      <c r="D62" s="35"/>
      <c r="E62" s="35">
        <f t="shared" si="13"/>
        <v>0</v>
      </c>
      <c r="F62" s="35"/>
      <c r="G62" s="35">
        <v>0</v>
      </c>
      <c r="H62" s="35"/>
      <c r="I62" s="35">
        <v>0</v>
      </c>
      <c r="J62" s="35"/>
      <c r="K62" s="35">
        <f t="shared" si="14"/>
        <v>0</v>
      </c>
      <c r="L62" s="35"/>
      <c r="M62" s="35">
        <v>0</v>
      </c>
      <c r="N62" s="35"/>
      <c r="O62" s="35">
        <v>0</v>
      </c>
      <c r="P62" s="35"/>
      <c r="Q62" s="35">
        <v>0</v>
      </c>
      <c r="R62" s="35"/>
      <c r="S62" s="35">
        <v>0</v>
      </c>
      <c r="T62" s="35"/>
      <c r="U62" s="35">
        <v>0</v>
      </c>
      <c r="V62" s="35"/>
      <c r="W62" s="35">
        <f t="shared" si="15"/>
        <v>0</v>
      </c>
      <c r="X62" s="35"/>
      <c r="Y62" s="35" t="s">
        <v>83</v>
      </c>
      <c r="Z62" s="55"/>
      <c r="AA62" s="35" t="s">
        <v>66</v>
      </c>
      <c r="AB62" s="35"/>
      <c r="AC62" s="35">
        <v>0</v>
      </c>
      <c r="AD62" s="35"/>
      <c r="AE62" s="35">
        <v>0</v>
      </c>
      <c r="AF62" s="35"/>
      <c r="AG62" s="35">
        <v>0</v>
      </c>
      <c r="AH62" s="35"/>
      <c r="AI62" s="45">
        <f t="shared" si="9"/>
        <v>0</v>
      </c>
      <c r="AJ62" s="45"/>
      <c r="AK62" s="35">
        <v>0</v>
      </c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2"/>
        <v>0</v>
      </c>
      <c r="AT62" s="45"/>
      <c r="AU62" s="35">
        <v>0</v>
      </c>
      <c r="AV62" s="35"/>
      <c r="AW62" s="35">
        <v>0</v>
      </c>
      <c r="AX62" s="35"/>
      <c r="AY62" s="35">
        <f t="shared" si="16"/>
        <v>0</v>
      </c>
      <c r="AZ62" s="35"/>
      <c r="BA62" s="35" t="s">
        <v>83</v>
      </c>
      <c r="BB62" s="55"/>
      <c r="BC62" s="35" t="s">
        <v>66</v>
      </c>
      <c r="BD62" s="35"/>
      <c r="BE62" s="35">
        <v>0</v>
      </c>
      <c r="BF62" s="35"/>
      <c r="BG62" s="35"/>
      <c r="BH62" s="35"/>
      <c r="BI62" s="35">
        <v>0</v>
      </c>
      <c r="BJ62" s="35"/>
      <c r="BK62" s="35">
        <v>0</v>
      </c>
      <c r="BL62" s="35"/>
      <c r="BM62" s="35">
        <f t="shared" si="10"/>
        <v>0</v>
      </c>
      <c r="BN62" s="54" t="s">
        <v>347</v>
      </c>
    </row>
    <row r="63" spans="1:67" ht="12.75" hidden="1" customHeight="1">
      <c r="A63" s="35" t="s">
        <v>84</v>
      </c>
      <c r="C63" s="35" t="s">
        <v>45</v>
      </c>
      <c r="D63" s="35"/>
      <c r="E63" s="35">
        <f t="shared" si="13"/>
        <v>0</v>
      </c>
      <c r="F63" s="35"/>
      <c r="G63" s="35">
        <v>0</v>
      </c>
      <c r="H63" s="35"/>
      <c r="I63" s="35">
        <v>0</v>
      </c>
      <c r="J63" s="35"/>
      <c r="K63" s="35">
        <f t="shared" si="14"/>
        <v>0</v>
      </c>
      <c r="L63" s="35"/>
      <c r="M63" s="35">
        <v>0</v>
      </c>
      <c r="N63" s="35"/>
      <c r="O63" s="35">
        <v>0</v>
      </c>
      <c r="P63" s="35"/>
      <c r="Q63" s="35">
        <v>0</v>
      </c>
      <c r="R63" s="35"/>
      <c r="S63" s="35">
        <v>0</v>
      </c>
      <c r="T63" s="35"/>
      <c r="U63" s="35">
        <v>0</v>
      </c>
      <c r="V63" s="35"/>
      <c r="W63" s="35">
        <f t="shared" si="15"/>
        <v>0</v>
      </c>
      <c r="X63" s="35"/>
      <c r="Y63" s="35" t="s">
        <v>84</v>
      </c>
      <c r="Z63" s="55"/>
      <c r="AA63" s="35" t="s">
        <v>45</v>
      </c>
      <c r="AB63" s="35"/>
      <c r="AC63" s="35">
        <v>0</v>
      </c>
      <c r="AD63" s="35"/>
      <c r="AE63" s="35">
        <v>0</v>
      </c>
      <c r="AF63" s="35"/>
      <c r="AG63" s="35">
        <v>0</v>
      </c>
      <c r="AH63" s="35"/>
      <c r="AI63" s="45">
        <f t="shared" si="9"/>
        <v>0</v>
      </c>
      <c r="AJ63" s="45"/>
      <c r="AK63" s="35">
        <v>0</v>
      </c>
      <c r="AL63" s="35"/>
      <c r="AM63" s="35">
        <v>0</v>
      </c>
      <c r="AN63" s="35"/>
      <c r="AO63" s="35">
        <v>0</v>
      </c>
      <c r="AP63" s="35"/>
      <c r="AQ63" s="35">
        <v>0</v>
      </c>
      <c r="AR63" s="35"/>
      <c r="AS63" s="45">
        <f t="shared" si="12"/>
        <v>0</v>
      </c>
      <c r="AT63" s="45"/>
      <c r="AU63" s="35">
        <v>0</v>
      </c>
      <c r="AV63" s="35"/>
      <c r="AW63" s="35">
        <v>0</v>
      </c>
      <c r="AX63" s="35"/>
      <c r="AY63" s="35">
        <f t="shared" si="16"/>
        <v>0</v>
      </c>
      <c r="AZ63" s="35"/>
      <c r="BA63" s="35" t="s">
        <v>84</v>
      </c>
      <c r="BB63" s="55"/>
      <c r="BC63" s="35" t="s">
        <v>45</v>
      </c>
      <c r="BD63" s="35"/>
      <c r="BE63" s="35">
        <v>0</v>
      </c>
      <c r="BF63" s="35"/>
      <c r="BG63" s="35"/>
      <c r="BH63" s="35"/>
      <c r="BI63" s="35">
        <v>0</v>
      </c>
      <c r="BJ63" s="35"/>
      <c r="BK63" s="35">
        <v>0</v>
      </c>
      <c r="BL63" s="35"/>
      <c r="BM63" s="35">
        <f t="shared" si="10"/>
        <v>0</v>
      </c>
      <c r="BN63" s="54" t="s">
        <v>347</v>
      </c>
      <c r="BO63" s="55" t="s">
        <v>371</v>
      </c>
    </row>
    <row r="64" spans="1:67" ht="12.75" hidden="1" customHeight="1">
      <c r="A64" s="35" t="s">
        <v>85</v>
      </c>
      <c r="C64" s="35" t="s">
        <v>85</v>
      </c>
      <c r="D64" s="35"/>
      <c r="E64" s="35">
        <f t="shared" si="13"/>
        <v>0</v>
      </c>
      <c r="F64" s="35"/>
      <c r="G64" s="35">
        <v>0</v>
      </c>
      <c r="H64" s="35"/>
      <c r="I64" s="35">
        <v>0</v>
      </c>
      <c r="J64" s="35"/>
      <c r="K64" s="35">
        <f t="shared" si="14"/>
        <v>0</v>
      </c>
      <c r="L64" s="35"/>
      <c r="M64" s="35">
        <v>0</v>
      </c>
      <c r="N64" s="35"/>
      <c r="O64" s="35">
        <v>0</v>
      </c>
      <c r="P64" s="35"/>
      <c r="Q64" s="35">
        <v>0</v>
      </c>
      <c r="R64" s="35"/>
      <c r="S64" s="35">
        <v>0</v>
      </c>
      <c r="T64" s="35"/>
      <c r="U64" s="35">
        <v>0</v>
      </c>
      <c r="V64" s="35"/>
      <c r="W64" s="35">
        <f t="shared" si="15"/>
        <v>0</v>
      </c>
      <c r="X64" s="35"/>
      <c r="Y64" s="35" t="s">
        <v>85</v>
      </c>
      <c r="Z64" s="55"/>
      <c r="AA64" s="35" t="s">
        <v>85</v>
      </c>
      <c r="AB64" s="35"/>
      <c r="AC64" s="35">
        <v>0</v>
      </c>
      <c r="AD64" s="35"/>
      <c r="AE64" s="35">
        <v>0</v>
      </c>
      <c r="AF64" s="35"/>
      <c r="AG64" s="35">
        <v>0</v>
      </c>
      <c r="AH64" s="35"/>
      <c r="AI64" s="45">
        <f t="shared" si="9"/>
        <v>0</v>
      </c>
      <c r="AJ64" s="45"/>
      <c r="AK64" s="35">
        <v>0</v>
      </c>
      <c r="AL64" s="35"/>
      <c r="AM64" s="35">
        <v>0</v>
      </c>
      <c r="AN64" s="35"/>
      <c r="AO64" s="35">
        <v>0</v>
      </c>
      <c r="AP64" s="35"/>
      <c r="AQ64" s="35">
        <v>0</v>
      </c>
      <c r="AR64" s="35"/>
      <c r="AS64" s="45">
        <f t="shared" si="12"/>
        <v>0</v>
      </c>
      <c r="AT64" s="45"/>
      <c r="AU64" s="35">
        <v>0</v>
      </c>
      <c r="AV64" s="35"/>
      <c r="AW64" s="35">
        <v>0</v>
      </c>
      <c r="AX64" s="35"/>
      <c r="AY64" s="35">
        <f t="shared" si="16"/>
        <v>0</v>
      </c>
      <c r="AZ64" s="35"/>
      <c r="BA64" s="35" t="s">
        <v>85</v>
      </c>
      <c r="BB64" s="55"/>
      <c r="BC64" s="35" t="s">
        <v>85</v>
      </c>
      <c r="BD64" s="35"/>
      <c r="BE64" s="35">
        <v>0</v>
      </c>
      <c r="BF64" s="35"/>
      <c r="BG64" s="35"/>
      <c r="BH64" s="35"/>
      <c r="BI64" s="35">
        <v>0</v>
      </c>
      <c r="BJ64" s="35"/>
      <c r="BK64" s="35">
        <v>0</v>
      </c>
      <c r="BL64" s="35"/>
      <c r="BM64" s="35">
        <f t="shared" si="10"/>
        <v>0</v>
      </c>
      <c r="BN64" s="54" t="s">
        <v>347</v>
      </c>
    </row>
    <row r="65" spans="1:67" ht="12.75" hidden="1" customHeight="1">
      <c r="A65" s="35" t="s">
        <v>86</v>
      </c>
      <c r="C65" s="35" t="s">
        <v>86</v>
      </c>
      <c r="D65" s="35"/>
      <c r="E65" s="35">
        <f t="shared" si="13"/>
        <v>0</v>
      </c>
      <c r="F65" s="35"/>
      <c r="G65" s="35">
        <v>0</v>
      </c>
      <c r="H65" s="35"/>
      <c r="I65" s="35">
        <v>0</v>
      </c>
      <c r="J65" s="35"/>
      <c r="K65" s="35">
        <f t="shared" si="14"/>
        <v>0</v>
      </c>
      <c r="L65" s="35"/>
      <c r="M65" s="35">
        <v>0</v>
      </c>
      <c r="N65" s="35"/>
      <c r="O65" s="35">
        <v>0</v>
      </c>
      <c r="P65" s="35"/>
      <c r="Q65" s="35">
        <v>0</v>
      </c>
      <c r="R65" s="35"/>
      <c r="S65" s="35">
        <v>0</v>
      </c>
      <c r="T65" s="35"/>
      <c r="U65" s="35">
        <v>0</v>
      </c>
      <c r="V65" s="35"/>
      <c r="W65" s="35">
        <f t="shared" si="15"/>
        <v>0</v>
      </c>
      <c r="X65" s="35"/>
      <c r="Y65" s="35" t="s">
        <v>86</v>
      </c>
      <c r="Z65" s="55"/>
      <c r="AA65" s="35" t="s">
        <v>86</v>
      </c>
      <c r="AB65" s="35"/>
      <c r="AC65" s="35">
        <v>0</v>
      </c>
      <c r="AD65" s="35"/>
      <c r="AE65" s="35">
        <v>0</v>
      </c>
      <c r="AF65" s="35"/>
      <c r="AG65" s="35">
        <v>0</v>
      </c>
      <c r="AH65" s="35"/>
      <c r="AI65" s="45">
        <f t="shared" si="9"/>
        <v>0</v>
      </c>
      <c r="AJ65" s="45"/>
      <c r="AK65" s="35">
        <v>0</v>
      </c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2"/>
        <v>0</v>
      </c>
      <c r="AT65" s="45"/>
      <c r="AU65" s="35">
        <v>0</v>
      </c>
      <c r="AV65" s="35"/>
      <c r="AW65" s="35">
        <v>0</v>
      </c>
      <c r="AX65" s="35"/>
      <c r="AY65" s="35">
        <f t="shared" si="16"/>
        <v>0</v>
      </c>
      <c r="AZ65" s="35"/>
      <c r="BA65" s="35" t="s">
        <v>86</v>
      </c>
      <c r="BB65" s="55"/>
      <c r="BC65" s="35" t="s">
        <v>86</v>
      </c>
      <c r="BD65" s="35"/>
      <c r="BE65" s="35">
        <v>0</v>
      </c>
      <c r="BF65" s="35"/>
      <c r="BG65" s="35"/>
      <c r="BH65" s="35"/>
      <c r="BI65" s="35">
        <v>0</v>
      </c>
      <c r="BJ65" s="35"/>
      <c r="BK65" s="35">
        <v>0</v>
      </c>
      <c r="BL65" s="35"/>
      <c r="BM65" s="35">
        <f t="shared" ref="BM65:BM97" si="17">SUM(BE65:BK65)</f>
        <v>0</v>
      </c>
      <c r="BN65" s="54" t="s">
        <v>347</v>
      </c>
    </row>
    <row r="66" spans="1:67" s="90" customFormat="1" ht="12.75" hidden="1" customHeight="1">
      <c r="A66" s="64" t="s">
        <v>87</v>
      </c>
      <c r="C66" s="64" t="s">
        <v>88</v>
      </c>
      <c r="D66" s="64"/>
      <c r="E66" s="35">
        <f t="shared" si="13"/>
        <v>0</v>
      </c>
      <c r="F66" s="35"/>
      <c r="G66" s="35">
        <v>0</v>
      </c>
      <c r="H66" s="35"/>
      <c r="I66" s="35">
        <v>0</v>
      </c>
      <c r="J66" s="35"/>
      <c r="K66" s="35">
        <f t="shared" si="14"/>
        <v>0</v>
      </c>
      <c r="L66" s="35"/>
      <c r="M66" s="35">
        <v>0</v>
      </c>
      <c r="N66" s="35"/>
      <c r="O66" s="35">
        <v>0</v>
      </c>
      <c r="P66" s="35"/>
      <c r="Q66" s="35">
        <v>0</v>
      </c>
      <c r="R66" s="35"/>
      <c r="S66" s="35">
        <v>0</v>
      </c>
      <c r="T66" s="35"/>
      <c r="U66" s="35">
        <v>0</v>
      </c>
      <c r="V66" s="35"/>
      <c r="W66" s="35">
        <f t="shared" si="15"/>
        <v>0</v>
      </c>
      <c r="X66" s="64"/>
      <c r="Y66" s="64" t="s">
        <v>87</v>
      </c>
      <c r="AA66" s="64" t="s">
        <v>88</v>
      </c>
      <c r="AB66" s="64"/>
      <c r="AC66" s="35">
        <v>0</v>
      </c>
      <c r="AD66" s="35"/>
      <c r="AE66" s="35">
        <v>0</v>
      </c>
      <c r="AF66" s="35"/>
      <c r="AG66" s="35">
        <v>0</v>
      </c>
      <c r="AH66" s="35"/>
      <c r="AI66" s="45">
        <f t="shared" si="9"/>
        <v>0</v>
      </c>
      <c r="AJ66" s="45"/>
      <c r="AK66" s="35">
        <v>0</v>
      </c>
      <c r="AL66" s="35"/>
      <c r="AM66" s="35">
        <v>0</v>
      </c>
      <c r="AN66" s="35"/>
      <c r="AO66" s="35">
        <v>0</v>
      </c>
      <c r="AP66" s="35"/>
      <c r="AQ66" s="35">
        <v>0</v>
      </c>
      <c r="AR66" s="35"/>
      <c r="AS66" s="45">
        <f t="shared" si="12"/>
        <v>0</v>
      </c>
      <c r="AT66" s="45"/>
      <c r="AU66" s="35">
        <v>0</v>
      </c>
      <c r="AV66" s="35"/>
      <c r="AW66" s="35">
        <v>0</v>
      </c>
      <c r="AX66" s="35"/>
      <c r="AY66" s="35">
        <f t="shared" si="16"/>
        <v>0</v>
      </c>
      <c r="AZ66" s="64"/>
      <c r="BA66" s="64" t="s">
        <v>87</v>
      </c>
      <c r="BC66" s="64" t="s">
        <v>88</v>
      </c>
      <c r="BD66" s="64"/>
      <c r="BE66" s="35">
        <v>0</v>
      </c>
      <c r="BF66" s="35"/>
      <c r="BG66" s="35"/>
      <c r="BH66" s="35"/>
      <c r="BI66" s="35">
        <v>0</v>
      </c>
      <c r="BJ66" s="35"/>
      <c r="BK66" s="35">
        <v>0</v>
      </c>
      <c r="BL66" s="64"/>
      <c r="BM66" s="64">
        <f t="shared" si="17"/>
        <v>0</v>
      </c>
      <c r="BN66" s="91" t="s">
        <v>347</v>
      </c>
    </row>
    <row r="67" spans="1:67" ht="12.75" customHeight="1">
      <c r="A67" s="35" t="s">
        <v>394</v>
      </c>
      <c r="C67" s="35" t="s">
        <v>89</v>
      </c>
      <c r="D67" s="35"/>
      <c r="E67" s="35">
        <f t="shared" si="13"/>
        <v>6638346</v>
      </c>
      <c r="F67" s="35"/>
      <c r="G67" s="35">
        <v>24752907</v>
      </c>
      <c r="H67" s="35"/>
      <c r="I67" s="35">
        <v>31391253</v>
      </c>
      <c r="J67" s="35"/>
      <c r="K67" s="35">
        <f t="shared" si="14"/>
        <v>2681165</v>
      </c>
      <c r="L67" s="35"/>
      <c r="M67" s="35">
        <v>13593029</v>
      </c>
      <c r="N67" s="35"/>
      <c r="O67" s="35">
        <v>16274194</v>
      </c>
      <c r="P67" s="35"/>
      <c r="Q67" s="35">
        <v>6421463</v>
      </c>
      <c r="R67" s="35"/>
      <c r="S67" s="35">
        <f>988579+2035426</f>
        <v>3024005</v>
      </c>
      <c r="T67" s="35"/>
      <c r="U67" s="35">
        <v>5671591</v>
      </c>
      <c r="V67" s="35"/>
      <c r="W67" s="35">
        <f t="shared" si="15"/>
        <v>15117059</v>
      </c>
      <c r="X67" s="35"/>
      <c r="Y67" s="35" t="s">
        <v>394</v>
      </c>
      <c r="Z67" s="55"/>
      <c r="AA67" s="35" t="s">
        <v>89</v>
      </c>
      <c r="AB67" s="35"/>
      <c r="AC67" s="35">
        <v>21273864</v>
      </c>
      <c r="AD67" s="35"/>
      <c r="AE67" s="35">
        <f>22788058-1885549</f>
        <v>20902509</v>
      </c>
      <c r="AF67" s="35"/>
      <c r="AG67" s="35">
        <v>1885549</v>
      </c>
      <c r="AH67" s="35"/>
      <c r="AI67" s="45">
        <f t="shared" si="9"/>
        <v>-1514194</v>
      </c>
      <c r="AJ67" s="45"/>
      <c r="AK67" s="35">
        <v>-605537</v>
      </c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2"/>
        <v>-2119731</v>
      </c>
      <c r="AT67" s="45"/>
      <c r="AU67" s="35">
        <v>0</v>
      </c>
      <c r="AV67" s="35"/>
      <c r="AW67" s="35">
        <v>0</v>
      </c>
      <c r="AX67" s="35"/>
      <c r="AY67" s="35">
        <f t="shared" si="16"/>
        <v>3957181</v>
      </c>
      <c r="AZ67" s="35"/>
      <c r="BA67" s="35" t="s">
        <v>394</v>
      </c>
      <c r="BB67" s="55"/>
      <c r="BC67" s="35" t="s">
        <v>89</v>
      </c>
      <c r="BD67" s="35"/>
      <c r="BE67" s="35">
        <v>0</v>
      </c>
      <c r="BF67" s="35"/>
      <c r="BG67" s="35">
        <f>6428888+630000</f>
        <v>7058888</v>
      </c>
      <c r="BH67" s="35"/>
      <c r="BI67" s="35">
        <v>0</v>
      </c>
      <c r="BJ67" s="35"/>
      <c r="BK67" s="35">
        <f>264141+6900000+3002000+154217</f>
        <v>10320358</v>
      </c>
      <c r="BL67" s="35"/>
      <c r="BM67" s="35">
        <f t="shared" si="17"/>
        <v>17379246</v>
      </c>
      <c r="BN67" s="54" t="s">
        <v>347</v>
      </c>
      <c r="BO67" s="55" t="s">
        <v>315</v>
      </c>
    </row>
    <row r="68" spans="1:67" ht="12.75" hidden="1" customHeight="1">
      <c r="A68" s="35" t="s">
        <v>90</v>
      </c>
      <c r="C68" s="35" t="s">
        <v>43</v>
      </c>
      <c r="D68" s="35"/>
      <c r="E68" s="35">
        <f t="shared" si="13"/>
        <v>0</v>
      </c>
      <c r="F68" s="35"/>
      <c r="G68" s="35">
        <v>0</v>
      </c>
      <c r="H68" s="35"/>
      <c r="I68" s="35">
        <v>0</v>
      </c>
      <c r="J68" s="35"/>
      <c r="K68" s="35">
        <f t="shared" si="14"/>
        <v>0</v>
      </c>
      <c r="L68" s="35"/>
      <c r="M68" s="35">
        <v>0</v>
      </c>
      <c r="N68" s="35"/>
      <c r="O68" s="35">
        <v>0</v>
      </c>
      <c r="P68" s="35"/>
      <c r="Q68" s="35">
        <v>0</v>
      </c>
      <c r="R68" s="35"/>
      <c r="S68" s="35">
        <v>0</v>
      </c>
      <c r="T68" s="35"/>
      <c r="U68" s="35">
        <v>0</v>
      </c>
      <c r="V68" s="35"/>
      <c r="W68" s="35">
        <f t="shared" si="15"/>
        <v>0</v>
      </c>
      <c r="X68" s="35"/>
      <c r="Y68" s="35" t="s">
        <v>90</v>
      </c>
      <c r="Z68" s="55"/>
      <c r="AA68" s="35" t="s">
        <v>43</v>
      </c>
      <c r="AB68" s="35"/>
      <c r="AC68" s="35">
        <v>0</v>
      </c>
      <c r="AD68" s="35"/>
      <c r="AE68" s="35">
        <v>0</v>
      </c>
      <c r="AF68" s="35"/>
      <c r="AG68" s="35">
        <v>0</v>
      </c>
      <c r="AH68" s="35"/>
      <c r="AI68" s="45">
        <f t="shared" si="9"/>
        <v>0</v>
      </c>
      <c r="AJ68" s="45"/>
      <c r="AK68" s="35">
        <v>0</v>
      </c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2"/>
        <v>0</v>
      </c>
      <c r="AT68" s="45"/>
      <c r="AU68" s="35">
        <v>0</v>
      </c>
      <c r="AV68" s="35"/>
      <c r="AW68" s="35">
        <v>0</v>
      </c>
      <c r="AX68" s="35"/>
      <c r="AY68" s="35">
        <f t="shared" si="16"/>
        <v>0</v>
      </c>
      <c r="AZ68" s="35"/>
      <c r="BA68" s="35" t="s">
        <v>90</v>
      </c>
      <c r="BB68" s="55"/>
      <c r="BC68" s="35" t="s">
        <v>43</v>
      </c>
      <c r="BD68" s="35"/>
      <c r="BE68" s="35">
        <v>0</v>
      </c>
      <c r="BF68" s="35"/>
      <c r="BG68" s="35"/>
      <c r="BH68" s="35"/>
      <c r="BI68" s="35">
        <v>0</v>
      </c>
      <c r="BJ68" s="35"/>
      <c r="BK68" s="35">
        <v>0</v>
      </c>
      <c r="BL68" s="35"/>
      <c r="BM68" s="35">
        <f t="shared" si="17"/>
        <v>0</v>
      </c>
      <c r="BN68" s="54" t="s">
        <v>347</v>
      </c>
    </row>
    <row r="69" spans="1:67" ht="12.75" hidden="1" customHeight="1">
      <c r="A69" s="35" t="s">
        <v>93</v>
      </c>
      <c r="C69" s="35" t="s">
        <v>94</v>
      </c>
      <c r="D69" s="35"/>
      <c r="E69" s="35">
        <f t="shared" si="13"/>
        <v>0</v>
      </c>
      <c r="F69" s="35"/>
      <c r="G69" s="35">
        <v>0</v>
      </c>
      <c r="H69" s="35"/>
      <c r="I69" s="35">
        <v>0</v>
      </c>
      <c r="J69" s="35"/>
      <c r="K69" s="35">
        <f t="shared" si="14"/>
        <v>0</v>
      </c>
      <c r="L69" s="35"/>
      <c r="M69" s="35">
        <v>0</v>
      </c>
      <c r="N69" s="35"/>
      <c r="O69" s="35">
        <v>0</v>
      </c>
      <c r="P69" s="35"/>
      <c r="Q69" s="35">
        <v>0</v>
      </c>
      <c r="R69" s="35"/>
      <c r="S69" s="35">
        <v>0</v>
      </c>
      <c r="T69" s="35"/>
      <c r="U69" s="35">
        <v>0</v>
      </c>
      <c r="V69" s="35"/>
      <c r="W69" s="35">
        <f t="shared" si="15"/>
        <v>0</v>
      </c>
      <c r="X69" s="35"/>
      <c r="Y69" s="35" t="s">
        <v>93</v>
      </c>
      <c r="Z69" s="55"/>
      <c r="AA69" s="35" t="s">
        <v>94</v>
      </c>
      <c r="AB69" s="35"/>
      <c r="AC69" s="35">
        <v>0</v>
      </c>
      <c r="AD69" s="35"/>
      <c r="AE69" s="35">
        <v>0</v>
      </c>
      <c r="AF69" s="35"/>
      <c r="AG69" s="35">
        <v>0</v>
      </c>
      <c r="AH69" s="35"/>
      <c r="AI69" s="45">
        <f t="shared" si="9"/>
        <v>0</v>
      </c>
      <c r="AJ69" s="45"/>
      <c r="AK69" s="35">
        <v>0</v>
      </c>
      <c r="AL69" s="35"/>
      <c r="AM69" s="35">
        <v>0</v>
      </c>
      <c r="AN69" s="35"/>
      <c r="AO69" s="35">
        <v>0</v>
      </c>
      <c r="AP69" s="35"/>
      <c r="AQ69" s="35">
        <v>0</v>
      </c>
      <c r="AR69" s="35"/>
      <c r="AS69" s="45">
        <f t="shared" si="12"/>
        <v>0</v>
      </c>
      <c r="AT69" s="45"/>
      <c r="AU69" s="35">
        <v>0</v>
      </c>
      <c r="AV69" s="35"/>
      <c r="AW69" s="35">
        <v>0</v>
      </c>
      <c r="AX69" s="35"/>
      <c r="AY69" s="35">
        <f t="shared" si="16"/>
        <v>0</v>
      </c>
      <c r="AZ69" s="35"/>
      <c r="BA69" s="35" t="s">
        <v>93</v>
      </c>
      <c r="BB69" s="55"/>
      <c r="BC69" s="35" t="s">
        <v>94</v>
      </c>
      <c r="BD69" s="35"/>
      <c r="BE69" s="35">
        <v>0</v>
      </c>
      <c r="BF69" s="35"/>
      <c r="BG69" s="35"/>
      <c r="BH69" s="35"/>
      <c r="BI69" s="35">
        <v>0</v>
      </c>
      <c r="BJ69" s="35"/>
      <c r="BK69" s="35">
        <v>0</v>
      </c>
      <c r="BL69" s="35"/>
      <c r="BM69" s="35">
        <f t="shared" si="17"/>
        <v>0</v>
      </c>
      <c r="BN69" s="54" t="s">
        <v>347</v>
      </c>
    </row>
    <row r="70" spans="1:67" ht="12.75" hidden="1" customHeight="1">
      <c r="A70" s="35" t="s">
        <v>95</v>
      </c>
      <c r="C70" s="35" t="s">
        <v>94</v>
      </c>
      <c r="D70" s="35"/>
      <c r="E70" s="35">
        <f t="shared" si="13"/>
        <v>0</v>
      </c>
      <c r="F70" s="35"/>
      <c r="G70" s="35">
        <v>0</v>
      </c>
      <c r="H70" s="35"/>
      <c r="I70" s="35">
        <v>0</v>
      </c>
      <c r="J70" s="35"/>
      <c r="K70" s="35">
        <f t="shared" si="14"/>
        <v>0</v>
      </c>
      <c r="L70" s="35"/>
      <c r="M70" s="35">
        <v>0</v>
      </c>
      <c r="N70" s="35"/>
      <c r="O70" s="35">
        <v>0</v>
      </c>
      <c r="P70" s="35"/>
      <c r="Q70" s="35">
        <v>0</v>
      </c>
      <c r="R70" s="35"/>
      <c r="S70" s="35">
        <v>0</v>
      </c>
      <c r="T70" s="35"/>
      <c r="U70" s="35">
        <v>0</v>
      </c>
      <c r="V70" s="35"/>
      <c r="W70" s="35">
        <f t="shared" si="15"/>
        <v>0</v>
      </c>
      <c r="X70" s="35"/>
      <c r="Y70" s="35" t="s">
        <v>95</v>
      </c>
      <c r="Z70" s="55"/>
      <c r="AA70" s="35" t="s">
        <v>94</v>
      </c>
      <c r="AB70" s="35"/>
      <c r="AC70" s="35">
        <v>0</v>
      </c>
      <c r="AD70" s="35"/>
      <c r="AE70" s="35">
        <v>0</v>
      </c>
      <c r="AF70" s="35"/>
      <c r="AG70" s="35">
        <v>0</v>
      </c>
      <c r="AH70" s="35"/>
      <c r="AI70" s="45">
        <f t="shared" si="9"/>
        <v>0</v>
      </c>
      <c r="AJ70" s="45"/>
      <c r="AK70" s="35">
        <v>0</v>
      </c>
      <c r="AL70" s="35"/>
      <c r="AM70" s="35">
        <v>0</v>
      </c>
      <c r="AN70" s="35"/>
      <c r="AO70" s="35">
        <v>0</v>
      </c>
      <c r="AP70" s="35"/>
      <c r="AQ70" s="35">
        <v>0</v>
      </c>
      <c r="AR70" s="35"/>
      <c r="AS70" s="45">
        <f t="shared" si="12"/>
        <v>0</v>
      </c>
      <c r="AT70" s="45"/>
      <c r="AU70" s="35">
        <v>0</v>
      </c>
      <c r="AV70" s="35"/>
      <c r="AW70" s="35">
        <v>0</v>
      </c>
      <c r="AX70" s="35"/>
      <c r="AY70" s="35">
        <f t="shared" si="16"/>
        <v>0</v>
      </c>
      <c r="AZ70" s="35"/>
      <c r="BA70" s="35" t="s">
        <v>95</v>
      </c>
      <c r="BB70" s="55"/>
      <c r="BC70" s="35" t="s">
        <v>94</v>
      </c>
      <c r="BD70" s="35"/>
      <c r="BE70" s="35">
        <v>0</v>
      </c>
      <c r="BF70" s="35"/>
      <c r="BG70" s="35"/>
      <c r="BH70" s="35"/>
      <c r="BI70" s="35">
        <v>0</v>
      </c>
      <c r="BJ70" s="35"/>
      <c r="BK70" s="35">
        <v>0</v>
      </c>
      <c r="BL70" s="35"/>
      <c r="BM70" s="35">
        <f t="shared" si="17"/>
        <v>0</v>
      </c>
      <c r="BN70" s="54" t="s">
        <v>347</v>
      </c>
    </row>
    <row r="71" spans="1:67" ht="12.75" hidden="1" customHeight="1">
      <c r="A71" s="35" t="s">
        <v>91</v>
      </c>
      <c r="C71" s="35" t="s">
        <v>92</v>
      </c>
      <c r="D71" s="35"/>
      <c r="E71" s="35">
        <f t="shared" si="13"/>
        <v>0</v>
      </c>
      <c r="F71" s="35"/>
      <c r="G71" s="35">
        <v>0</v>
      </c>
      <c r="H71" s="35"/>
      <c r="I71" s="35">
        <v>0</v>
      </c>
      <c r="J71" s="35"/>
      <c r="K71" s="35">
        <f t="shared" si="14"/>
        <v>0</v>
      </c>
      <c r="L71" s="35"/>
      <c r="M71" s="35">
        <v>0</v>
      </c>
      <c r="N71" s="35"/>
      <c r="O71" s="35">
        <v>0</v>
      </c>
      <c r="P71" s="35"/>
      <c r="Q71" s="35">
        <v>0</v>
      </c>
      <c r="R71" s="35"/>
      <c r="S71" s="35">
        <v>0</v>
      </c>
      <c r="T71" s="35"/>
      <c r="U71" s="35">
        <v>0</v>
      </c>
      <c r="V71" s="35"/>
      <c r="W71" s="35">
        <f t="shared" si="15"/>
        <v>0</v>
      </c>
      <c r="X71" s="35"/>
      <c r="Y71" s="35" t="s">
        <v>91</v>
      </c>
      <c r="Z71" s="55"/>
      <c r="AA71" s="35" t="s">
        <v>92</v>
      </c>
      <c r="AB71" s="35"/>
      <c r="AC71" s="35">
        <v>0</v>
      </c>
      <c r="AD71" s="35"/>
      <c r="AE71" s="35">
        <v>0</v>
      </c>
      <c r="AF71" s="35"/>
      <c r="AG71" s="35">
        <v>0</v>
      </c>
      <c r="AH71" s="35"/>
      <c r="AI71" s="45">
        <f t="shared" si="9"/>
        <v>0</v>
      </c>
      <c r="AJ71" s="45"/>
      <c r="AK71" s="35">
        <v>0</v>
      </c>
      <c r="AL71" s="35"/>
      <c r="AM71" s="35">
        <v>0</v>
      </c>
      <c r="AN71" s="35"/>
      <c r="AO71" s="35">
        <v>0</v>
      </c>
      <c r="AP71" s="35"/>
      <c r="AQ71" s="35">
        <v>0</v>
      </c>
      <c r="AR71" s="35"/>
      <c r="AS71" s="45">
        <f t="shared" si="12"/>
        <v>0</v>
      </c>
      <c r="AT71" s="45"/>
      <c r="AU71" s="35">
        <v>0</v>
      </c>
      <c r="AV71" s="35"/>
      <c r="AW71" s="35">
        <v>0</v>
      </c>
      <c r="AX71" s="35"/>
      <c r="AY71" s="35">
        <f t="shared" si="16"/>
        <v>0</v>
      </c>
      <c r="AZ71" s="35"/>
      <c r="BA71" s="35" t="s">
        <v>91</v>
      </c>
      <c r="BB71" s="55"/>
      <c r="BC71" s="35" t="s">
        <v>92</v>
      </c>
      <c r="BD71" s="35"/>
      <c r="BE71" s="35">
        <v>0</v>
      </c>
      <c r="BF71" s="35"/>
      <c r="BG71" s="35"/>
      <c r="BH71" s="35"/>
      <c r="BI71" s="35">
        <v>0</v>
      </c>
      <c r="BJ71" s="35"/>
      <c r="BK71" s="35">
        <v>0</v>
      </c>
      <c r="BL71" s="35"/>
      <c r="BM71" s="35">
        <f t="shared" si="17"/>
        <v>0</v>
      </c>
      <c r="BN71" s="54" t="s">
        <v>347</v>
      </c>
    </row>
    <row r="72" spans="1:67" ht="12.75" hidden="1" customHeight="1">
      <c r="A72" s="35" t="s">
        <v>96</v>
      </c>
      <c r="C72" s="35" t="s">
        <v>97</v>
      </c>
      <c r="D72" s="35"/>
      <c r="E72" s="35">
        <f t="shared" si="13"/>
        <v>0</v>
      </c>
      <c r="F72" s="35"/>
      <c r="G72" s="35">
        <v>0</v>
      </c>
      <c r="H72" s="35"/>
      <c r="I72" s="35">
        <v>0</v>
      </c>
      <c r="J72" s="35"/>
      <c r="K72" s="35">
        <f t="shared" si="14"/>
        <v>0</v>
      </c>
      <c r="L72" s="35"/>
      <c r="M72" s="35">
        <v>0</v>
      </c>
      <c r="N72" s="35"/>
      <c r="O72" s="35">
        <v>0</v>
      </c>
      <c r="P72" s="35"/>
      <c r="Q72" s="35">
        <v>0</v>
      </c>
      <c r="R72" s="35"/>
      <c r="S72" s="35">
        <v>0</v>
      </c>
      <c r="T72" s="35"/>
      <c r="U72" s="35">
        <v>0</v>
      </c>
      <c r="V72" s="35"/>
      <c r="W72" s="35">
        <f t="shared" si="15"/>
        <v>0</v>
      </c>
      <c r="X72" s="35"/>
      <c r="Y72" s="35" t="s">
        <v>96</v>
      </c>
      <c r="Z72" s="55"/>
      <c r="AA72" s="35" t="s">
        <v>97</v>
      </c>
      <c r="AB72" s="35"/>
      <c r="AC72" s="35">
        <v>0</v>
      </c>
      <c r="AD72" s="35"/>
      <c r="AE72" s="35">
        <v>0</v>
      </c>
      <c r="AF72" s="35"/>
      <c r="AG72" s="35">
        <v>0</v>
      </c>
      <c r="AH72" s="35"/>
      <c r="AI72" s="45">
        <f t="shared" si="9"/>
        <v>0</v>
      </c>
      <c r="AJ72" s="45"/>
      <c r="AK72" s="35">
        <v>0</v>
      </c>
      <c r="AL72" s="35"/>
      <c r="AM72" s="35">
        <v>0</v>
      </c>
      <c r="AN72" s="35"/>
      <c r="AO72" s="35">
        <v>0</v>
      </c>
      <c r="AP72" s="35"/>
      <c r="AQ72" s="35">
        <v>0</v>
      </c>
      <c r="AR72" s="35"/>
      <c r="AS72" s="45">
        <f t="shared" si="12"/>
        <v>0</v>
      </c>
      <c r="AT72" s="45"/>
      <c r="AU72" s="35">
        <v>0</v>
      </c>
      <c r="AV72" s="35"/>
      <c r="AW72" s="35">
        <v>0</v>
      </c>
      <c r="AX72" s="35"/>
      <c r="AY72" s="35">
        <f t="shared" si="16"/>
        <v>0</v>
      </c>
      <c r="AZ72" s="35"/>
      <c r="BA72" s="35" t="s">
        <v>96</v>
      </c>
      <c r="BB72" s="55"/>
      <c r="BC72" s="35" t="s">
        <v>97</v>
      </c>
      <c r="BD72" s="35"/>
      <c r="BE72" s="35">
        <v>0</v>
      </c>
      <c r="BF72" s="35"/>
      <c r="BG72" s="35"/>
      <c r="BH72" s="35"/>
      <c r="BI72" s="35">
        <v>0</v>
      </c>
      <c r="BJ72" s="35"/>
      <c r="BK72" s="35">
        <v>0</v>
      </c>
      <c r="BL72" s="35"/>
      <c r="BM72" s="35">
        <f t="shared" si="17"/>
        <v>0</v>
      </c>
      <c r="BN72" s="54" t="s">
        <v>347</v>
      </c>
    </row>
    <row r="73" spans="1:67" ht="12.75" hidden="1" customHeight="1">
      <c r="A73" s="35" t="s">
        <v>98</v>
      </c>
      <c r="C73" s="35" t="s">
        <v>17</v>
      </c>
      <c r="D73" s="35"/>
      <c r="E73" s="35">
        <f t="shared" si="13"/>
        <v>0</v>
      </c>
      <c r="F73" s="35"/>
      <c r="G73" s="35">
        <v>0</v>
      </c>
      <c r="H73" s="35"/>
      <c r="I73" s="35">
        <v>0</v>
      </c>
      <c r="J73" s="35"/>
      <c r="K73" s="35">
        <f t="shared" si="14"/>
        <v>0</v>
      </c>
      <c r="L73" s="35"/>
      <c r="M73" s="35">
        <v>0</v>
      </c>
      <c r="N73" s="35"/>
      <c r="O73" s="35">
        <v>0</v>
      </c>
      <c r="P73" s="35"/>
      <c r="Q73" s="35">
        <v>0</v>
      </c>
      <c r="R73" s="35"/>
      <c r="S73" s="35">
        <v>0</v>
      </c>
      <c r="T73" s="35"/>
      <c r="U73" s="35">
        <v>0</v>
      </c>
      <c r="V73" s="35"/>
      <c r="W73" s="35">
        <f t="shared" si="15"/>
        <v>0</v>
      </c>
      <c r="X73" s="35"/>
      <c r="Y73" s="35" t="s">
        <v>98</v>
      </c>
      <c r="Z73" s="55"/>
      <c r="AA73" s="35" t="s">
        <v>17</v>
      </c>
      <c r="AB73" s="35"/>
      <c r="AC73" s="35">
        <v>0</v>
      </c>
      <c r="AD73" s="35"/>
      <c r="AE73" s="35">
        <v>0</v>
      </c>
      <c r="AF73" s="35"/>
      <c r="AG73" s="35">
        <v>0</v>
      </c>
      <c r="AH73" s="35"/>
      <c r="AI73" s="45">
        <f t="shared" si="9"/>
        <v>0</v>
      </c>
      <c r="AJ73" s="45"/>
      <c r="AK73" s="35">
        <v>0</v>
      </c>
      <c r="AL73" s="35"/>
      <c r="AM73" s="35">
        <v>0</v>
      </c>
      <c r="AN73" s="35"/>
      <c r="AO73" s="35">
        <v>0</v>
      </c>
      <c r="AP73" s="35"/>
      <c r="AQ73" s="35">
        <v>0</v>
      </c>
      <c r="AR73" s="35"/>
      <c r="AS73" s="45">
        <f t="shared" si="12"/>
        <v>0</v>
      </c>
      <c r="AT73" s="45"/>
      <c r="AU73" s="35">
        <v>0</v>
      </c>
      <c r="AV73" s="35"/>
      <c r="AW73" s="35">
        <v>0</v>
      </c>
      <c r="AX73" s="35"/>
      <c r="AY73" s="35">
        <f t="shared" si="16"/>
        <v>0</v>
      </c>
      <c r="AZ73" s="35"/>
      <c r="BA73" s="35" t="s">
        <v>98</v>
      </c>
      <c r="BB73" s="55"/>
      <c r="BC73" s="35" t="s">
        <v>17</v>
      </c>
      <c r="BD73" s="35"/>
      <c r="BE73" s="35">
        <v>0</v>
      </c>
      <c r="BF73" s="35"/>
      <c r="BG73" s="35"/>
      <c r="BH73" s="35"/>
      <c r="BI73" s="35">
        <v>0</v>
      </c>
      <c r="BJ73" s="35"/>
      <c r="BK73" s="35">
        <v>0</v>
      </c>
      <c r="BL73" s="35"/>
      <c r="BM73" s="35">
        <f t="shared" si="17"/>
        <v>0</v>
      </c>
      <c r="BN73" s="54" t="s">
        <v>347</v>
      </c>
    </row>
    <row r="74" spans="1:67" ht="12.75" hidden="1" customHeight="1">
      <c r="A74" s="35" t="s">
        <v>99</v>
      </c>
      <c r="C74" s="35" t="s">
        <v>66</v>
      </c>
      <c r="D74" s="35"/>
      <c r="E74" s="35">
        <f t="shared" si="13"/>
        <v>0</v>
      </c>
      <c r="F74" s="35"/>
      <c r="G74" s="35">
        <v>0</v>
      </c>
      <c r="H74" s="35"/>
      <c r="I74" s="35">
        <v>0</v>
      </c>
      <c r="J74" s="35"/>
      <c r="K74" s="35">
        <f t="shared" si="14"/>
        <v>0</v>
      </c>
      <c r="L74" s="35"/>
      <c r="M74" s="35">
        <v>0</v>
      </c>
      <c r="N74" s="35"/>
      <c r="O74" s="35">
        <v>0</v>
      </c>
      <c r="P74" s="35"/>
      <c r="Q74" s="35">
        <v>0</v>
      </c>
      <c r="R74" s="35"/>
      <c r="S74" s="35">
        <v>0</v>
      </c>
      <c r="T74" s="35"/>
      <c r="U74" s="35">
        <v>0</v>
      </c>
      <c r="V74" s="35"/>
      <c r="W74" s="35">
        <f t="shared" si="15"/>
        <v>0</v>
      </c>
      <c r="X74" s="35"/>
      <c r="Y74" s="35" t="s">
        <v>99</v>
      </c>
      <c r="Z74" s="55"/>
      <c r="AA74" s="35" t="s">
        <v>66</v>
      </c>
      <c r="AB74" s="35"/>
      <c r="AC74" s="35">
        <v>0</v>
      </c>
      <c r="AD74" s="35"/>
      <c r="AE74" s="35">
        <v>0</v>
      </c>
      <c r="AF74" s="35"/>
      <c r="AG74" s="35">
        <v>0</v>
      </c>
      <c r="AH74" s="35"/>
      <c r="AI74" s="45">
        <f t="shared" si="9"/>
        <v>0</v>
      </c>
      <c r="AJ74" s="45"/>
      <c r="AK74" s="35">
        <v>0</v>
      </c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2"/>
        <v>0</v>
      </c>
      <c r="AT74" s="45"/>
      <c r="AU74" s="35">
        <v>0</v>
      </c>
      <c r="AV74" s="35"/>
      <c r="AW74" s="35">
        <v>0</v>
      </c>
      <c r="AX74" s="35"/>
      <c r="AY74" s="35">
        <f t="shared" si="16"/>
        <v>0</v>
      </c>
      <c r="AZ74" s="35"/>
      <c r="BA74" s="35" t="s">
        <v>99</v>
      </c>
      <c r="BB74" s="55"/>
      <c r="BC74" s="35" t="s">
        <v>66</v>
      </c>
      <c r="BD74" s="35"/>
      <c r="BE74" s="35">
        <v>0</v>
      </c>
      <c r="BF74" s="35"/>
      <c r="BG74" s="35"/>
      <c r="BH74" s="35"/>
      <c r="BI74" s="35">
        <v>0</v>
      </c>
      <c r="BJ74" s="35"/>
      <c r="BK74" s="35">
        <v>0</v>
      </c>
      <c r="BL74" s="35"/>
      <c r="BM74" s="35">
        <f t="shared" si="17"/>
        <v>0</v>
      </c>
      <c r="BN74" s="54" t="s">
        <v>347</v>
      </c>
    </row>
    <row r="75" spans="1:67" ht="12.75" hidden="1" customHeight="1">
      <c r="A75" s="35" t="s">
        <v>100</v>
      </c>
      <c r="C75" s="35" t="s">
        <v>27</v>
      </c>
      <c r="D75" s="35"/>
      <c r="E75" s="35">
        <f t="shared" si="13"/>
        <v>0</v>
      </c>
      <c r="F75" s="35"/>
      <c r="G75" s="35">
        <v>0</v>
      </c>
      <c r="H75" s="35"/>
      <c r="I75" s="35">
        <v>0</v>
      </c>
      <c r="J75" s="35"/>
      <c r="K75" s="35">
        <f t="shared" si="14"/>
        <v>0</v>
      </c>
      <c r="L75" s="35"/>
      <c r="M75" s="35">
        <v>0</v>
      </c>
      <c r="N75" s="35"/>
      <c r="O75" s="35">
        <v>0</v>
      </c>
      <c r="P75" s="35"/>
      <c r="Q75" s="35">
        <v>0</v>
      </c>
      <c r="R75" s="35"/>
      <c r="S75" s="35">
        <v>0</v>
      </c>
      <c r="T75" s="35"/>
      <c r="U75" s="35">
        <v>0</v>
      </c>
      <c r="V75" s="35"/>
      <c r="W75" s="35">
        <f t="shared" si="15"/>
        <v>0</v>
      </c>
      <c r="X75" s="35"/>
      <c r="Y75" s="35" t="s">
        <v>100</v>
      </c>
      <c r="Z75" s="55"/>
      <c r="AA75" s="35" t="s">
        <v>27</v>
      </c>
      <c r="AB75" s="35"/>
      <c r="AC75" s="35">
        <v>0</v>
      </c>
      <c r="AD75" s="35"/>
      <c r="AE75" s="35">
        <v>0</v>
      </c>
      <c r="AF75" s="35"/>
      <c r="AG75" s="35">
        <v>0</v>
      </c>
      <c r="AH75" s="35"/>
      <c r="AI75" s="45">
        <f t="shared" si="9"/>
        <v>0</v>
      </c>
      <c r="AJ75" s="45"/>
      <c r="AK75" s="35">
        <v>0</v>
      </c>
      <c r="AL75" s="35"/>
      <c r="AM75" s="35">
        <v>0</v>
      </c>
      <c r="AN75" s="35"/>
      <c r="AO75" s="35">
        <v>0</v>
      </c>
      <c r="AP75" s="35"/>
      <c r="AQ75" s="35">
        <v>0</v>
      </c>
      <c r="AR75" s="35"/>
      <c r="AS75" s="45">
        <f t="shared" si="12"/>
        <v>0</v>
      </c>
      <c r="AT75" s="45"/>
      <c r="AU75" s="35">
        <v>0</v>
      </c>
      <c r="AV75" s="35"/>
      <c r="AW75" s="35">
        <v>0</v>
      </c>
      <c r="AX75" s="35"/>
      <c r="AY75" s="35">
        <f t="shared" si="16"/>
        <v>0</v>
      </c>
      <c r="AZ75" s="35"/>
      <c r="BA75" s="35" t="s">
        <v>100</v>
      </c>
      <c r="BB75" s="55"/>
      <c r="BC75" s="35" t="s">
        <v>27</v>
      </c>
      <c r="BD75" s="35"/>
      <c r="BE75" s="35">
        <v>0</v>
      </c>
      <c r="BF75" s="35"/>
      <c r="BG75" s="35"/>
      <c r="BH75" s="35"/>
      <c r="BI75" s="35">
        <v>0</v>
      </c>
      <c r="BJ75" s="35"/>
      <c r="BK75" s="35">
        <v>0</v>
      </c>
      <c r="BL75" s="35"/>
      <c r="BM75" s="35">
        <f t="shared" si="17"/>
        <v>0</v>
      </c>
      <c r="BN75" s="54" t="s">
        <v>347</v>
      </c>
    </row>
    <row r="76" spans="1:67" ht="12.75" hidden="1" customHeight="1">
      <c r="A76" s="35" t="s">
        <v>101</v>
      </c>
      <c r="C76" s="35" t="s">
        <v>30</v>
      </c>
      <c r="D76" s="35"/>
      <c r="E76" s="35">
        <f t="shared" si="13"/>
        <v>0</v>
      </c>
      <c r="F76" s="35"/>
      <c r="G76" s="35">
        <v>0</v>
      </c>
      <c r="H76" s="35"/>
      <c r="I76" s="35">
        <v>0</v>
      </c>
      <c r="J76" s="35"/>
      <c r="K76" s="35">
        <f t="shared" si="14"/>
        <v>0</v>
      </c>
      <c r="L76" s="35"/>
      <c r="M76" s="35">
        <v>0</v>
      </c>
      <c r="N76" s="35"/>
      <c r="O76" s="35">
        <v>0</v>
      </c>
      <c r="P76" s="35"/>
      <c r="Q76" s="35">
        <v>0</v>
      </c>
      <c r="R76" s="35"/>
      <c r="S76" s="35">
        <v>0</v>
      </c>
      <c r="T76" s="35"/>
      <c r="U76" s="35">
        <v>0</v>
      </c>
      <c r="V76" s="35"/>
      <c r="W76" s="35">
        <f t="shared" si="15"/>
        <v>0</v>
      </c>
      <c r="X76" s="35"/>
      <c r="Y76" s="35" t="s">
        <v>101</v>
      </c>
      <c r="Z76" s="55"/>
      <c r="AA76" s="35" t="s">
        <v>30</v>
      </c>
      <c r="AB76" s="35"/>
      <c r="AC76" s="35">
        <v>0</v>
      </c>
      <c r="AD76" s="35"/>
      <c r="AE76" s="35">
        <v>0</v>
      </c>
      <c r="AF76" s="35"/>
      <c r="AG76" s="35">
        <v>0</v>
      </c>
      <c r="AH76" s="35"/>
      <c r="AI76" s="45">
        <f t="shared" si="9"/>
        <v>0</v>
      </c>
      <c r="AJ76" s="45"/>
      <c r="AK76" s="35">
        <v>0</v>
      </c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2"/>
        <v>0</v>
      </c>
      <c r="AT76" s="45"/>
      <c r="AU76" s="35">
        <v>0</v>
      </c>
      <c r="AV76" s="35"/>
      <c r="AW76" s="35">
        <v>0</v>
      </c>
      <c r="AX76" s="35"/>
      <c r="AY76" s="35">
        <f t="shared" si="16"/>
        <v>0</v>
      </c>
      <c r="AZ76" s="35"/>
      <c r="BA76" s="35" t="s">
        <v>101</v>
      </c>
      <c r="BB76" s="55"/>
      <c r="BC76" s="35" t="s">
        <v>30</v>
      </c>
      <c r="BD76" s="35"/>
      <c r="BE76" s="35">
        <v>0</v>
      </c>
      <c r="BF76" s="35"/>
      <c r="BG76" s="35"/>
      <c r="BH76" s="35"/>
      <c r="BI76" s="35">
        <v>0</v>
      </c>
      <c r="BJ76" s="35"/>
      <c r="BK76" s="35">
        <v>0</v>
      </c>
      <c r="BL76" s="35"/>
      <c r="BM76" s="35">
        <f t="shared" si="17"/>
        <v>0</v>
      </c>
      <c r="BN76" s="54" t="s">
        <v>347</v>
      </c>
    </row>
    <row r="77" spans="1:67" ht="12.75" hidden="1" customHeight="1">
      <c r="A77" s="35" t="s">
        <v>102</v>
      </c>
      <c r="C77" s="35" t="s">
        <v>103</v>
      </c>
      <c r="D77" s="35"/>
      <c r="E77" s="35">
        <f t="shared" si="13"/>
        <v>0</v>
      </c>
      <c r="F77" s="35"/>
      <c r="G77" s="35">
        <v>0</v>
      </c>
      <c r="H77" s="35"/>
      <c r="I77" s="35">
        <v>0</v>
      </c>
      <c r="J77" s="35"/>
      <c r="K77" s="35">
        <f t="shared" si="14"/>
        <v>0</v>
      </c>
      <c r="L77" s="35"/>
      <c r="M77" s="35">
        <v>0</v>
      </c>
      <c r="N77" s="35"/>
      <c r="O77" s="35">
        <v>0</v>
      </c>
      <c r="P77" s="35"/>
      <c r="Q77" s="35">
        <v>0</v>
      </c>
      <c r="R77" s="35"/>
      <c r="S77" s="35">
        <v>0</v>
      </c>
      <c r="T77" s="35"/>
      <c r="U77" s="35">
        <v>0</v>
      </c>
      <c r="V77" s="35"/>
      <c r="W77" s="35">
        <f t="shared" si="15"/>
        <v>0</v>
      </c>
      <c r="X77" s="35"/>
      <c r="Y77" s="35" t="s">
        <v>102</v>
      </c>
      <c r="Z77" s="55"/>
      <c r="AA77" s="35" t="s">
        <v>103</v>
      </c>
      <c r="AB77" s="35"/>
      <c r="AC77" s="35">
        <v>0</v>
      </c>
      <c r="AD77" s="35"/>
      <c r="AE77" s="35">
        <v>0</v>
      </c>
      <c r="AF77" s="35"/>
      <c r="AG77" s="35">
        <v>0</v>
      </c>
      <c r="AH77" s="35"/>
      <c r="AI77" s="45">
        <f t="shared" si="9"/>
        <v>0</v>
      </c>
      <c r="AJ77" s="45"/>
      <c r="AK77" s="35">
        <v>0</v>
      </c>
      <c r="AL77" s="35"/>
      <c r="AM77" s="35">
        <v>0</v>
      </c>
      <c r="AN77" s="35"/>
      <c r="AO77" s="35">
        <v>0</v>
      </c>
      <c r="AP77" s="35"/>
      <c r="AQ77" s="35">
        <v>0</v>
      </c>
      <c r="AR77" s="35"/>
      <c r="AS77" s="45">
        <f t="shared" si="12"/>
        <v>0</v>
      </c>
      <c r="AT77" s="45"/>
      <c r="AU77" s="35">
        <v>0</v>
      </c>
      <c r="AV77" s="35"/>
      <c r="AW77" s="35">
        <v>0</v>
      </c>
      <c r="AX77" s="35"/>
      <c r="AY77" s="35">
        <f t="shared" si="16"/>
        <v>0</v>
      </c>
      <c r="AZ77" s="35"/>
      <c r="BA77" s="35" t="s">
        <v>102</v>
      </c>
      <c r="BB77" s="55"/>
      <c r="BC77" s="35" t="s">
        <v>103</v>
      </c>
      <c r="BD77" s="35"/>
      <c r="BE77" s="35">
        <v>0</v>
      </c>
      <c r="BF77" s="35"/>
      <c r="BG77" s="35"/>
      <c r="BH77" s="35"/>
      <c r="BI77" s="35">
        <v>0</v>
      </c>
      <c r="BJ77" s="35"/>
      <c r="BK77" s="35">
        <v>0</v>
      </c>
      <c r="BL77" s="35"/>
      <c r="BM77" s="35">
        <f t="shared" si="17"/>
        <v>0</v>
      </c>
      <c r="BN77" s="54" t="s">
        <v>347</v>
      </c>
    </row>
    <row r="78" spans="1:67" ht="12.75" hidden="1" customHeight="1">
      <c r="A78" s="35" t="s">
        <v>104</v>
      </c>
      <c r="C78" s="35" t="s">
        <v>13</v>
      </c>
      <c r="D78" s="35"/>
      <c r="E78" s="35">
        <f t="shared" si="13"/>
        <v>0</v>
      </c>
      <c r="F78" s="35"/>
      <c r="G78" s="35">
        <v>0</v>
      </c>
      <c r="H78" s="35"/>
      <c r="I78" s="35">
        <v>0</v>
      </c>
      <c r="J78" s="35"/>
      <c r="K78" s="35">
        <f t="shared" si="14"/>
        <v>0</v>
      </c>
      <c r="L78" s="35"/>
      <c r="M78" s="35">
        <v>0</v>
      </c>
      <c r="N78" s="35"/>
      <c r="O78" s="35">
        <v>0</v>
      </c>
      <c r="P78" s="35"/>
      <c r="Q78" s="35">
        <v>0</v>
      </c>
      <c r="R78" s="35"/>
      <c r="S78" s="35">
        <v>0</v>
      </c>
      <c r="T78" s="35"/>
      <c r="U78" s="35">
        <v>0</v>
      </c>
      <c r="V78" s="35"/>
      <c r="W78" s="35">
        <f t="shared" si="15"/>
        <v>0</v>
      </c>
      <c r="X78" s="35"/>
      <c r="Y78" s="35" t="s">
        <v>104</v>
      </c>
      <c r="Z78" s="55"/>
      <c r="AA78" s="35" t="s">
        <v>13</v>
      </c>
      <c r="AB78" s="35"/>
      <c r="AC78" s="35">
        <v>0</v>
      </c>
      <c r="AD78" s="35"/>
      <c r="AE78" s="35">
        <v>0</v>
      </c>
      <c r="AF78" s="35"/>
      <c r="AG78" s="35">
        <v>0</v>
      </c>
      <c r="AH78" s="35"/>
      <c r="AI78" s="45">
        <f t="shared" si="9"/>
        <v>0</v>
      </c>
      <c r="AJ78" s="45"/>
      <c r="AK78" s="35">
        <v>0</v>
      </c>
      <c r="AL78" s="35"/>
      <c r="AM78" s="35">
        <v>0</v>
      </c>
      <c r="AN78" s="35"/>
      <c r="AO78" s="35">
        <v>0</v>
      </c>
      <c r="AP78" s="35"/>
      <c r="AQ78" s="35">
        <v>0</v>
      </c>
      <c r="AR78" s="35"/>
      <c r="AS78" s="45">
        <f t="shared" si="12"/>
        <v>0</v>
      </c>
      <c r="AT78" s="45"/>
      <c r="AU78" s="35">
        <v>0</v>
      </c>
      <c r="AV78" s="35"/>
      <c r="AW78" s="35">
        <v>0</v>
      </c>
      <c r="AX78" s="35"/>
      <c r="AY78" s="35">
        <f t="shared" si="16"/>
        <v>0</v>
      </c>
      <c r="AZ78" s="35"/>
      <c r="BA78" s="35" t="s">
        <v>104</v>
      </c>
      <c r="BB78" s="55"/>
      <c r="BC78" s="35" t="s">
        <v>13</v>
      </c>
      <c r="BD78" s="35"/>
      <c r="BE78" s="35">
        <v>0</v>
      </c>
      <c r="BF78" s="35"/>
      <c r="BG78" s="35"/>
      <c r="BH78" s="35"/>
      <c r="BI78" s="35">
        <v>0</v>
      </c>
      <c r="BJ78" s="35"/>
      <c r="BK78" s="35">
        <v>0</v>
      </c>
      <c r="BL78" s="35"/>
      <c r="BM78" s="35">
        <f t="shared" si="17"/>
        <v>0</v>
      </c>
      <c r="BN78" s="54" t="s">
        <v>347</v>
      </c>
    </row>
    <row r="79" spans="1:67" ht="12.75" hidden="1" customHeight="1">
      <c r="A79" s="35" t="s">
        <v>105</v>
      </c>
      <c r="C79" s="35" t="s">
        <v>27</v>
      </c>
      <c r="D79" s="35"/>
      <c r="E79" s="35">
        <f t="shared" si="13"/>
        <v>0</v>
      </c>
      <c r="F79" s="35"/>
      <c r="G79" s="35">
        <v>0</v>
      </c>
      <c r="H79" s="35"/>
      <c r="I79" s="35">
        <v>0</v>
      </c>
      <c r="J79" s="35"/>
      <c r="K79" s="35">
        <f t="shared" si="14"/>
        <v>0</v>
      </c>
      <c r="L79" s="35"/>
      <c r="M79" s="35">
        <v>0</v>
      </c>
      <c r="N79" s="35"/>
      <c r="O79" s="35">
        <v>0</v>
      </c>
      <c r="P79" s="35"/>
      <c r="Q79" s="35">
        <v>0</v>
      </c>
      <c r="R79" s="35"/>
      <c r="S79" s="35">
        <v>0</v>
      </c>
      <c r="T79" s="35"/>
      <c r="U79" s="35">
        <v>0</v>
      </c>
      <c r="V79" s="35"/>
      <c r="W79" s="35">
        <f t="shared" si="15"/>
        <v>0</v>
      </c>
      <c r="X79" s="35"/>
      <c r="Y79" s="35" t="s">
        <v>105</v>
      </c>
      <c r="Z79" s="55"/>
      <c r="AA79" s="35" t="s">
        <v>27</v>
      </c>
      <c r="AB79" s="35"/>
      <c r="AC79" s="35">
        <v>0</v>
      </c>
      <c r="AD79" s="35"/>
      <c r="AE79" s="35">
        <v>0</v>
      </c>
      <c r="AF79" s="35"/>
      <c r="AG79" s="35">
        <v>0</v>
      </c>
      <c r="AH79" s="35"/>
      <c r="AI79" s="45">
        <f t="shared" si="9"/>
        <v>0</v>
      </c>
      <c r="AJ79" s="45"/>
      <c r="AK79" s="35">
        <v>0</v>
      </c>
      <c r="AL79" s="35"/>
      <c r="AM79" s="35">
        <v>0</v>
      </c>
      <c r="AN79" s="35"/>
      <c r="AO79" s="35">
        <v>0</v>
      </c>
      <c r="AP79" s="35"/>
      <c r="AQ79" s="35">
        <v>0</v>
      </c>
      <c r="AR79" s="35"/>
      <c r="AS79" s="45">
        <f t="shared" si="12"/>
        <v>0</v>
      </c>
      <c r="AT79" s="45"/>
      <c r="AU79" s="35">
        <v>0</v>
      </c>
      <c r="AV79" s="35"/>
      <c r="AW79" s="35">
        <v>0</v>
      </c>
      <c r="AX79" s="35"/>
      <c r="AY79" s="35">
        <f t="shared" si="16"/>
        <v>0</v>
      </c>
      <c r="AZ79" s="35"/>
      <c r="BA79" s="35" t="s">
        <v>105</v>
      </c>
      <c r="BB79" s="55"/>
      <c r="BC79" s="35" t="s">
        <v>27</v>
      </c>
      <c r="BD79" s="35"/>
      <c r="BE79" s="35">
        <v>0</v>
      </c>
      <c r="BF79" s="35"/>
      <c r="BG79" s="35"/>
      <c r="BH79" s="35"/>
      <c r="BI79" s="35">
        <v>0</v>
      </c>
      <c r="BJ79" s="35"/>
      <c r="BK79" s="35">
        <v>0</v>
      </c>
      <c r="BL79" s="35"/>
      <c r="BM79" s="35">
        <f t="shared" si="17"/>
        <v>0</v>
      </c>
      <c r="BN79" s="54" t="s">
        <v>347</v>
      </c>
    </row>
    <row r="80" spans="1:67" ht="12.75" hidden="1" customHeight="1">
      <c r="A80" s="35" t="s">
        <v>106</v>
      </c>
      <c r="C80" s="35" t="s">
        <v>107</v>
      </c>
      <c r="D80" s="35"/>
      <c r="E80" s="35">
        <f t="shared" si="13"/>
        <v>0</v>
      </c>
      <c r="F80" s="35"/>
      <c r="G80" s="35">
        <v>0</v>
      </c>
      <c r="H80" s="35"/>
      <c r="I80" s="35">
        <v>0</v>
      </c>
      <c r="J80" s="35"/>
      <c r="K80" s="35">
        <f t="shared" si="14"/>
        <v>0</v>
      </c>
      <c r="L80" s="35"/>
      <c r="M80" s="35">
        <v>0</v>
      </c>
      <c r="N80" s="35"/>
      <c r="O80" s="35">
        <v>0</v>
      </c>
      <c r="P80" s="35"/>
      <c r="Q80" s="35">
        <v>0</v>
      </c>
      <c r="R80" s="35"/>
      <c r="S80" s="35">
        <v>0</v>
      </c>
      <c r="T80" s="35"/>
      <c r="U80" s="35">
        <v>0</v>
      </c>
      <c r="V80" s="35"/>
      <c r="W80" s="35">
        <f t="shared" si="15"/>
        <v>0</v>
      </c>
      <c r="X80" s="35"/>
      <c r="Y80" s="35" t="s">
        <v>106</v>
      </c>
      <c r="Z80" s="55"/>
      <c r="AA80" s="35" t="s">
        <v>107</v>
      </c>
      <c r="AB80" s="35"/>
      <c r="AC80" s="35">
        <v>0</v>
      </c>
      <c r="AD80" s="35"/>
      <c r="AE80" s="35">
        <v>0</v>
      </c>
      <c r="AF80" s="35"/>
      <c r="AG80" s="35">
        <v>0</v>
      </c>
      <c r="AH80" s="35"/>
      <c r="AI80" s="45">
        <f t="shared" si="9"/>
        <v>0</v>
      </c>
      <c r="AJ80" s="45"/>
      <c r="AK80" s="35">
        <v>0</v>
      </c>
      <c r="AL80" s="35"/>
      <c r="AM80" s="35">
        <v>0</v>
      </c>
      <c r="AN80" s="35"/>
      <c r="AO80" s="35">
        <v>0</v>
      </c>
      <c r="AP80" s="35"/>
      <c r="AQ80" s="35">
        <v>0</v>
      </c>
      <c r="AR80" s="35"/>
      <c r="AS80" s="45">
        <f t="shared" si="12"/>
        <v>0</v>
      </c>
      <c r="AT80" s="45"/>
      <c r="AU80" s="35">
        <v>0</v>
      </c>
      <c r="AV80" s="35"/>
      <c r="AW80" s="35">
        <v>0</v>
      </c>
      <c r="AX80" s="35"/>
      <c r="AY80" s="35">
        <f t="shared" si="16"/>
        <v>0</v>
      </c>
      <c r="AZ80" s="35"/>
      <c r="BA80" s="35" t="s">
        <v>106</v>
      </c>
      <c r="BB80" s="55"/>
      <c r="BC80" s="35" t="s">
        <v>107</v>
      </c>
      <c r="BD80" s="35"/>
      <c r="BE80" s="35">
        <v>0</v>
      </c>
      <c r="BF80" s="35"/>
      <c r="BG80" s="35"/>
      <c r="BH80" s="35"/>
      <c r="BI80" s="35">
        <v>0</v>
      </c>
      <c r="BJ80" s="35"/>
      <c r="BK80" s="35">
        <v>0</v>
      </c>
      <c r="BL80" s="35"/>
      <c r="BM80" s="35">
        <f t="shared" si="17"/>
        <v>0</v>
      </c>
      <c r="BN80" s="54" t="s">
        <v>347</v>
      </c>
    </row>
    <row r="81" spans="1:67" ht="12.75" hidden="1" customHeight="1">
      <c r="A81" s="35" t="s">
        <v>108</v>
      </c>
      <c r="C81" s="35" t="s">
        <v>45</v>
      </c>
      <c r="D81" s="35"/>
      <c r="E81" s="35">
        <f t="shared" si="13"/>
        <v>0</v>
      </c>
      <c r="F81" s="35"/>
      <c r="G81" s="35">
        <v>0</v>
      </c>
      <c r="H81" s="35"/>
      <c r="I81" s="35">
        <v>0</v>
      </c>
      <c r="J81" s="35"/>
      <c r="K81" s="35">
        <f t="shared" si="14"/>
        <v>0</v>
      </c>
      <c r="L81" s="35"/>
      <c r="M81" s="35">
        <v>0</v>
      </c>
      <c r="N81" s="35"/>
      <c r="O81" s="35">
        <v>0</v>
      </c>
      <c r="P81" s="35"/>
      <c r="Q81" s="35">
        <v>0</v>
      </c>
      <c r="R81" s="35"/>
      <c r="S81" s="35">
        <v>0</v>
      </c>
      <c r="T81" s="35"/>
      <c r="U81" s="35">
        <v>0</v>
      </c>
      <c r="V81" s="35"/>
      <c r="W81" s="35">
        <f t="shared" si="15"/>
        <v>0</v>
      </c>
      <c r="X81" s="35"/>
      <c r="Y81" s="35" t="s">
        <v>108</v>
      </c>
      <c r="Z81" s="55"/>
      <c r="AA81" s="35" t="s">
        <v>45</v>
      </c>
      <c r="AB81" s="35"/>
      <c r="AC81" s="35">
        <v>0</v>
      </c>
      <c r="AD81" s="35"/>
      <c r="AE81" s="35">
        <v>0</v>
      </c>
      <c r="AF81" s="35"/>
      <c r="AG81" s="35">
        <v>0</v>
      </c>
      <c r="AH81" s="35"/>
      <c r="AI81" s="45">
        <f t="shared" si="9"/>
        <v>0</v>
      </c>
      <c r="AJ81" s="45"/>
      <c r="AK81" s="35">
        <v>0</v>
      </c>
      <c r="AL81" s="35"/>
      <c r="AM81" s="35">
        <v>0</v>
      </c>
      <c r="AN81" s="35"/>
      <c r="AO81" s="35">
        <v>0</v>
      </c>
      <c r="AP81" s="35"/>
      <c r="AQ81" s="35">
        <v>0</v>
      </c>
      <c r="AR81" s="35"/>
      <c r="AS81" s="45">
        <f t="shared" si="12"/>
        <v>0</v>
      </c>
      <c r="AT81" s="45"/>
      <c r="AU81" s="35">
        <v>0</v>
      </c>
      <c r="AV81" s="35"/>
      <c r="AW81" s="35">
        <v>0</v>
      </c>
      <c r="AX81" s="35"/>
      <c r="AY81" s="35">
        <f t="shared" si="16"/>
        <v>0</v>
      </c>
      <c r="AZ81" s="35"/>
      <c r="BA81" s="35" t="s">
        <v>108</v>
      </c>
      <c r="BB81" s="55"/>
      <c r="BC81" s="35" t="s">
        <v>45</v>
      </c>
      <c r="BD81" s="35"/>
      <c r="BE81" s="35">
        <v>0</v>
      </c>
      <c r="BF81" s="35"/>
      <c r="BG81" s="35"/>
      <c r="BH81" s="35"/>
      <c r="BI81" s="35">
        <v>0</v>
      </c>
      <c r="BJ81" s="35"/>
      <c r="BK81" s="35">
        <v>0</v>
      </c>
      <c r="BL81" s="35"/>
      <c r="BM81" s="35">
        <f t="shared" si="17"/>
        <v>0</v>
      </c>
      <c r="BN81" s="54" t="s">
        <v>347</v>
      </c>
    </row>
    <row r="82" spans="1:67" ht="12.75" hidden="1" customHeight="1">
      <c r="A82" s="35" t="s">
        <v>109</v>
      </c>
      <c r="C82" s="35" t="s">
        <v>110</v>
      </c>
      <c r="D82" s="35"/>
      <c r="E82" s="35">
        <f t="shared" si="13"/>
        <v>0</v>
      </c>
      <c r="F82" s="35"/>
      <c r="G82" s="35">
        <v>0</v>
      </c>
      <c r="H82" s="35"/>
      <c r="I82" s="35">
        <v>0</v>
      </c>
      <c r="J82" s="35"/>
      <c r="K82" s="35">
        <f t="shared" si="14"/>
        <v>0</v>
      </c>
      <c r="L82" s="35"/>
      <c r="M82" s="35">
        <v>0</v>
      </c>
      <c r="N82" s="35"/>
      <c r="O82" s="35">
        <v>0</v>
      </c>
      <c r="P82" s="35"/>
      <c r="Q82" s="35">
        <v>0</v>
      </c>
      <c r="R82" s="35"/>
      <c r="S82" s="35">
        <v>0</v>
      </c>
      <c r="T82" s="35"/>
      <c r="U82" s="35">
        <v>0</v>
      </c>
      <c r="V82" s="35"/>
      <c r="W82" s="35">
        <f t="shared" si="15"/>
        <v>0</v>
      </c>
      <c r="X82" s="35"/>
      <c r="Y82" s="35" t="s">
        <v>109</v>
      </c>
      <c r="Z82" s="55"/>
      <c r="AA82" s="35" t="s">
        <v>110</v>
      </c>
      <c r="AB82" s="35"/>
      <c r="AC82" s="35">
        <v>0</v>
      </c>
      <c r="AD82" s="35"/>
      <c r="AE82" s="35">
        <v>0</v>
      </c>
      <c r="AF82" s="35"/>
      <c r="AG82" s="35">
        <v>0</v>
      </c>
      <c r="AH82" s="35"/>
      <c r="AI82" s="45">
        <f t="shared" si="9"/>
        <v>0</v>
      </c>
      <c r="AJ82" s="45"/>
      <c r="AK82" s="35">
        <v>0</v>
      </c>
      <c r="AL82" s="35"/>
      <c r="AM82" s="35">
        <v>0</v>
      </c>
      <c r="AN82" s="35"/>
      <c r="AO82" s="35">
        <v>0</v>
      </c>
      <c r="AP82" s="35"/>
      <c r="AQ82" s="35">
        <v>0</v>
      </c>
      <c r="AR82" s="35"/>
      <c r="AS82" s="45">
        <f t="shared" si="12"/>
        <v>0</v>
      </c>
      <c r="AT82" s="45"/>
      <c r="AU82" s="35">
        <v>0</v>
      </c>
      <c r="AV82" s="35"/>
      <c r="AW82" s="35">
        <v>0</v>
      </c>
      <c r="AX82" s="35"/>
      <c r="AY82" s="35">
        <f t="shared" si="16"/>
        <v>0</v>
      </c>
      <c r="AZ82" s="35"/>
      <c r="BA82" s="35" t="s">
        <v>109</v>
      </c>
      <c r="BB82" s="55"/>
      <c r="BC82" s="35" t="s">
        <v>110</v>
      </c>
      <c r="BD82" s="35"/>
      <c r="BE82" s="35">
        <v>0</v>
      </c>
      <c r="BF82" s="35"/>
      <c r="BG82" s="35"/>
      <c r="BH82" s="35"/>
      <c r="BI82" s="35">
        <v>0</v>
      </c>
      <c r="BJ82" s="35"/>
      <c r="BK82" s="35">
        <v>0</v>
      </c>
      <c r="BL82" s="35"/>
      <c r="BM82" s="35">
        <f t="shared" si="17"/>
        <v>0</v>
      </c>
      <c r="BN82" s="54" t="s">
        <v>347</v>
      </c>
    </row>
    <row r="83" spans="1:67" ht="12.75" hidden="1" customHeight="1">
      <c r="A83" s="35" t="s">
        <v>43</v>
      </c>
      <c r="C83" s="35" t="s">
        <v>111</v>
      </c>
      <c r="D83" s="35"/>
      <c r="E83" s="35">
        <f t="shared" si="13"/>
        <v>0</v>
      </c>
      <c r="F83" s="35"/>
      <c r="G83" s="35">
        <v>0</v>
      </c>
      <c r="H83" s="35"/>
      <c r="I83" s="35">
        <v>0</v>
      </c>
      <c r="J83" s="35"/>
      <c r="K83" s="35">
        <f t="shared" si="14"/>
        <v>0</v>
      </c>
      <c r="L83" s="35"/>
      <c r="M83" s="35">
        <v>0</v>
      </c>
      <c r="N83" s="35"/>
      <c r="O83" s="35">
        <v>0</v>
      </c>
      <c r="P83" s="35"/>
      <c r="Q83" s="35">
        <v>0</v>
      </c>
      <c r="R83" s="35"/>
      <c r="S83" s="35">
        <v>0</v>
      </c>
      <c r="T83" s="35"/>
      <c r="U83" s="35">
        <v>0</v>
      </c>
      <c r="V83" s="35"/>
      <c r="W83" s="35">
        <f t="shared" si="15"/>
        <v>0</v>
      </c>
      <c r="X83" s="35"/>
      <c r="Y83" s="35" t="s">
        <v>43</v>
      </c>
      <c r="Z83" s="55"/>
      <c r="AA83" s="35" t="s">
        <v>111</v>
      </c>
      <c r="AB83" s="35"/>
      <c r="AC83" s="35">
        <v>0</v>
      </c>
      <c r="AD83" s="35"/>
      <c r="AE83" s="35">
        <v>0</v>
      </c>
      <c r="AF83" s="35"/>
      <c r="AG83" s="35">
        <v>0</v>
      </c>
      <c r="AH83" s="35"/>
      <c r="AI83" s="45">
        <f t="shared" si="9"/>
        <v>0</v>
      </c>
      <c r="AJ83" s="45"/>
      <c r="AK83" s="35">
        <v>0</v>
      </c>
      <c r="AL83" s="35"/>
      <c r="AM83" s="35">
        <v>0</v>
      </c>
      <c r="AN83" s="35"/>
      <c r="AO83" s="35">
        <v>0</v>
      </c>
      <c r="AP83" s="35"/>
      <c r="AQ83" s="35">
        <v>0</v>
      </c>
      <c r="AR83" s="35"/>
      <c r="AS83" s="45">
        <f t="shared" si="12"/>
        <v>0</v>
      </c>
      <c r="AT83" s="45"/>
      <c r="AU83" s="35">
        <v>0</v>
      </c>
      <c r="AV83" s="35"/>
      <c r="AW83" s="35">
        <v>0</v>
      </c>
      <c r="AX83" s="35"/>
      <c r="AY83" s="35">
        <f t="shared" si="16"/>
        <v>0</v>
      </c>
      <c r="AZ83" s="35"/>
      <c r="BA83" s="35" t="s">
        <v>43</v>
      </c>
      <c r="BB83" s="55"/>
      <c r="BC83" s="35" t="s">
        <v>111</v>
      </c>
      <c r="BD83" s="35"/>
      <c r="BE83" s="35">
        <v>0</v>
      </c>
      <c r="BF83" s="35"/>
      <c r="BG83" s="35"/>
      <c r="BH83" s="35"/>
      <c r="BI83" s="35">
        <v>0</v>
      </c>
      <c r="BJ83" s="35"/>
      <c r="BK83" s="35">
        <v>0</v>
      </c>
      <c r="BL83" s="35"/>
      <c r="BM83" s="35">
        <f t="shared" si="17"/>
        <v>0</v>
      </c>
      <c r="BN83" s="54" t="s">
        <v>347</v>
      </c>
    </row>
    <row r="84" spans="1:67" ht="12.75" hidden="1" customHeight="1">
      <c r="A84" s="35" t="s">
        <v>112</v>
      </c>
      <c r="C84" s="35" t="s">
        <v>76</v>
      </c>
      <c r="D84" s="35"/>
      <c r="E84" s="35">
        <f t="shared" si="13"/>
        <v>0</v>
      </c>
      <c r="F84" s="35"/>
      <c r="G84" s="35">
        <v>0</v>
      </c>
      <c r="H84" s="35"/>
      <c r="I84" s="35">
        <v>0</v>
      </c>
      <c r="J84" s="35"/>
      <c r="K84" s="35">
        <f t="shared" si="14"/>
        <v>0</v>
      </c>
      <c r="L84" s="35"/>
      <c r="M84" s="35">
        <v>0</v>
      </c>
      <c r="N84" s="35"/>
      <c r="O84" s="35">
        <v>0</v>
      </c>
      <c r="P84" s="35"/>
      <c r="Q84" s="35">
        <v>0</v>
      </c>
      <c r="R84" s="35"/>
      <c r="S84" s="35">
        <v>0</v>
      </c>
      <c r="T84" s="35"/>
      <c r="U84" s="35">
        <v>0</v>
      </c>
      <c r="V84" s="35"/>
      <c r="W84" s="35">
        <f t="shared" si="15"/>
        <v>0</v>
      </c>
      <c r="X84" s="35"/>
      <c r="Y84" s="35" t="s">
        <v>112</v>
      </c>
      <c r="Z84" s="55"/>
      <c r="AA84" s="35" t="s">
        <v>76</v>
      </c>
      <c r="AB84" s="35"/>
      <c r="AC84" s="35">
        <v>0</v>
      </c>
      <c r="AD84" s="35"/>
      <c r="AE84" s="35">
        <v>0</v>
      </c>
      <c r="AF84" s="35"/>
      <c r="AG84" s="35">
        <v>0</v>
      </c>
      <c r="AH84" s="35"/>
      <c r="AI84" s="45">
        <f t="shared" si="9"/>
        <v>0</v>
      </c>
      <c r="AJ84" s="45"/>
      <c r="AK84" s="35">
        <v>0</v>
      </c>
      <c r="AL84" s="35"/>
      <c r="AM84" s="35">
        <v>0</v>
      </c>
      <c r="AN84" s="35"/>
      <c r="AO84" s="35">
        <v>0</v>
      </c>
      <c r="AP84" s="35"/>
      <c r="AQ84" s="35">
        <v>0</v>
      </c>
      <c r="AR84" s="35"/>
      <c r="AS84" s="45">
        <f t="shared" si="12"/>
        <v>0</v>
      </c>
      <c r="AT84" s="45"/>
      <c r="AU84" s="35">
        <v>0</v>
      </c>
      <c r="AV84" s="35"/>
      <c r="AW84" s="35">
        <v>0</v>
      </c>
      <c r="AX84" s="35"/>
      <c r="AY84" s="35">
        <f t="shared" si="16"/>
        <v>0</v>
      </c>
      <c r="AZ84" s="35"/>
      <c r="BA84" s="35" t="s">
        <v>112</v>
      </c>
      <c r="BB84" s="55"/>
      <c r="BC84" s="35" t="s">
        <v>76</v>
      </c>
      <c r="BD84" s="35"/>
      <c r="BE84" s="35">
        <v>0</v>
      </c>
      <c r="BF84" s="35"/>
      <c r="BG84" s="35"/>
      <c r="BH84" s="35"/>
      <c r="BI84" s="35">
        <v>0</v>
      </c>
      <c r="BJ84" s="35"/>
      <c r="BK84" s="35">
        <v>0</v>
      </c>
      <c r="BL84" s="35"/>
      <c r="BM84" s="35">
        <f t="shared" si="17"/>
        <v>0</v>
      </c>
      <c r="BN84" s="54" t="s">
        <v>347</v>
      </c>
    </row>
    <row r="85" spans="1:67" ht="12.75" hidden="1" customHeight="1">
      <c r="A85" s="35" t="s">
        <v>113</v>
      </c>
      <c r="C85" s="35" t="s">
        <v>43</v>
      </c>
      <c r="D85" s="35"/>
      <c r="E85" s="35">
        <f t="shared" si="13"/>
        <v>0</v>
      </c>
      <c r="F85" s="35"/>
      <c r="G85" s="35">
        <v>0</v>
      </c>
      <c r="H85" s="35"/>
      <c r="I85" s="35">
        <v>0</v>
      </c>
      <c r="J85" s="35"/>
      <c r="K85" s="35">
        <f t="shared" si="14"/>
        <v>0</v>
      </c>
      <c r="L85" s="35"/>
      <c r="M85" s="35">
        <v>0</v>
      </c>
      <c r="N85" s="35"/>
      <c r="O85" s="35">
        <v>0</v>
      </c>
      <c r="P85" s="35"/>
      <c r="Q85" s="35">
        <v>0</v>
      </c>
      <c r="R85" s="35"/>
      <c r="S85" s="35">
        <v>0</v>
      </c>
      <c r="T85" s="35"/>
      <c r="U85" s="35">
        <v>0</v>
      </c>
      <c r="V85" s="35"/>
      <c r="W85" s="35">
        <f t="shared" si="15"/>
        <v>0</v>
      </c>
      <c r="X85" s="35"/>
      <c r="Y85" s="35" t="s">
        <v>113</v>
      </c>
      <c r="Z85" s="55"/>
      <c r="AA85" s="35" t="s">
        <v>43</v>
      </c>
      <c r="AB85" s="35"/>
      <c r="AC85" s="35">
        <v>0</v>
      </c>
      <c r="AD85" s="35"/>
      <c r="AE85" s="35">
        <v>0</v>
      </c>
      <c r="AF85" s="35"/>
      <c r="AG85" s="35">
        <v>0</v>
      </c>
      <c r="AH85" s="35"/>
      <c r="AI85" s="45">
        <f t="shared" si="9"/>
        <v>0</v>
      </c>
      <c r="AJ85" s="45"/>
      <c r="AK85" s="35">
        <v>0</v>
      </c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2"/>
        <v>0</v>
      </c>
      <c r="AT85" s="45"/>
      <c r="AU85" s="35">
        <v>0</v>
      </c>
      <c r="AV85" s="35"/>
      <c r="AW85" s="35">
        <v>0</v>
      </c>
      <c r="AX85" s="35"/>
      <c r="AY85" s="35">
        <f t="shared" si="16"/>
        <v>0</v>
      </c>
      <c r="AZ85" s="35"/>
      <c r="BA85" s="35" t="s">
        <v>113</v>
      </c>
      <c r="BB85" s="55"/>
      <c r="BC85" s="35" t="s">
        <v>43</v>
      </c>
      <c r="BD85" s="35"/>
      <c r="BE85" s="35">
        <v>0</v>
      </c>
      <c r="BF85" s="35"/>
      <c r="BG85" s="35"/>
      <c r="BH85" s="35"/>
      <c r="BI85" s="35">
        <v>0</v>
      </c>
      <c r="BJ85" s="35"/>
      <c r="BK85" s="35">
        <v>0</v>
      </c>
      <c r="BL85" s="35"/>
      <c r="BM85" s="35">
        <f t="shared" si="17"/>
        <v>0</v>
      </c>
      <c r="BN85" s="54" t="s">
        <v>347</v>
      </c>
    </row>
    <row r="86" spans="1:67" ht="12.75" customHeight="1">
      <c r="A86" s="44" t="s">
        <v>489</v>
      </c>
      <c r="C86" s="35" t="s">
        <v>57</v>
      </c>
      <c r="D86" s="35"/>
      <c r="E86" s="35">
        <f t="shared" si="13"/>
        <v>11502737</v>
      </c>
      <c r="F86" s="35"/>
      <c r="G86" s="35">
        <v>7373788</v>
      </c>
      <c r="H86" s="35"/>
      <c r="I86" s="35">
        <v>18876525</v>
      </c>
      <c r="J86" s="35"/>
      <c r="K86" s="35">
        <f t="shared" si="14"/>
        <v>1709998</v>
      </c>
      <c r="L86" s="35"/>
      <c r="M86" s="35">
        <v>9245265</v>
      </c>
      <c r="N86" s="35"/>
      <c r="O86" s="35">
        <v>10955263</v>
      </c>
      <c r="P86" s="35"/>
      <c r="Q86" s="35">
        <v>1262360</v>
      </c>
      <c r="R86" s="35"/>
      <c r="S86" s="35">
        <v>0</v>
      </c>
      <c r="T86" s="35"/>
      <c r="U86" s="35">
        <v>6658902</v>
      </c>
      <c r="V86" s="35"/>
      <c r="W86" s="35">
        <f t="shared" si="15"/>
        <v>7921262</v>
      </c>
      <c r="X86" s="35"/>
      <c r="Y86" s="44" t="s">
        <v>489</v>
      </c>
      <c r="Z86" s="55"/>
      <c r="AA86" s="35" t="s">
        <v>57</v>
      </c>
      <c r="AB86" s="35"/>
      <c r="AC86" s="35">
        <v>12012912</v>
      </c>
      <c r="AD86" s="35"/>
      <c r="AE86" s="35">
        <f>10408983-218414</f>
        <v>10190569</v>
      </c>
      <c r="AF86" s="35"/>
      <c r="AG86" s="35">
        <v>218414</v>
      </c>
      <c r="AH86" s="35"/>
      <c r="AI86" s="45">
        <f t="shared" si="9"/>
        <v>1603929</v>
      </c>
      <c r="AJ86" s="45"/>
      <c r="AK86" s="35">
        <v>-612740</v>
      </c>
      <c r="AL86" s="35"/>
      <c r="AM86" s="35">
        <v>0</v>
      </c>
      <c r="AN86" s="35"/>
      <c r="AO86" s="35">
        <v>0</v>
      </c>
      <c r="AP86" s="35"/>
      <c r="AQ86" s="35">
        <v>0</v>
      </c>
      <c r="AR86" s="35"/>
      <c r="AS86" s="45">
        <f t="shared" si="12"/>
        <v>991189</v>
      </c>
      <c r="AT86" s="45"/>
      <c r="AU86" s="35">
        <v>0</v>
      </c>
      <c r="AV86" s="35"/>
      <c r="AW86" s="35">
        <v>0</v>
      </c>
      <c r="AX86" s="35"/>
      <c r="AY86" s="35">
        <f t="shared" si="16"/>
        <v>9792739</v>
      </c>
      <c r="AZ86" s="35"/>
      <c r="BA86" s="44" t="s">
        <v>489</v>
      </c>
      <c r="BB86" s="55"/>
      <c r="BC86" s="35" t="s">
        <v>57</v>
      </c>
      <c r="BD86" s="35"/>
      <c r="BE86" s="35">
        <f>7322000+466000</f>
        <v>7788000</v>
      </c>
      <c r="BF86" s="35"/>
      <c r="BG86" s="35"/>
      <c r="BH86" s="35"/>
      <c r="BI86" s="35">
        <f>1568463+134674</f>
        <v>1703137</v>
      </c>
      <c r="BJ86" s="35"/>
      <c r="BK86" s="35">
        <f>121522+233280+26840</f>
        <v>381642</v>
      </c>
      <c r="BL86" s="35"/>
      <c r="BM86" s="35">
        <f>SUM(BE86:BK86)</f>
        <v>9872779</v>
      </c>
      <c r="BN86" s="54" t="s">
        <v>347</v>
      </c>
      <c r="BO86" s="55" t="s">
        <v>315</v>
      </c>
    </row>
    <row r="87" spans="1:67" ht="12.75" hidden="1" customHeight="1">
      <c r="A87" s="35" t="s">
        <v>114</v>
      </c>
      <c r="C87" s="35" t="s">
        <v>27</v>
      </c>
      <c r="D87" s="35"/>
      <c r="E87" s="35">
        <f t="shared" si="13"/>
        <v>0</v>
      </c>
      <c r="F87" s="35"/>
      <c r="G87" s="35">
        <v>0</v>
      </c>
      <c r="H87" s="35"/>
      <c r="I87" s="35">
        <v>0</v>
      </c>
      <c r="J87" s="35"/>
      <c r="K87" s="35">
        <f t="shared" si="14"/>
        <v>0</v>
      </c>
      <c r="L87" s="35"/>
      <c r="M87" s="35">
        <v>0</v>
      </c>
      <c r="N87" s="35"/>
      <c r="O87" s="35">
        <v>0</v>
      </c>
      <c r="P87" s="35"/>
      <c r="Q87" s="35">
        <v>0</v>
      </c>
      <c r="R87" s="35"/>
      <c r="S87" s="35">
        <v>0</v>
      </c>
      <c r="T87" s="35"/>
      <c r="U87" s="35">
        <v>0</v>
      </c>
      <c r="V87" s="35"/>
      <c r="W87" s="35">
        <f t="shared" si="15"/>
        <v>0</v>
      </c>
      <c r="X87" s="35"/>
      <c r="Y87" s="35" t="s">
        <v>114</v>
      </c>
      <c r="Z87" s="55"/>
      <c r="AA87" s="35" t="s">
        <v>27</v>
      </c>
      <c r="AB87" s="35"/>
      <c r="AC87" s="35">
        <v>0</v>
      </c>
      <c r="AD87" s="35"/>
      <c r="AE87" s="35">
        <v>0</v>
      </c>
      <c r="AF87" s="35"/>
      <c r="AG87" s="35">
        <v>0</v>
      </c>
      <c r="AH87" s="35"/>
      <c r="AI87" s="45">
        <f t="shared" si="9"/>
        <v>0</v>
      </c>
      <c r="AJ87" s="45"/>
      <c r="AK87" s="35">
        <v>0</v>
      </c>
      <c r="AL87" s="35"/>
      <c r="AM87" s="35">
        <v>0</v>
      </c>
      <c r="AN87" s="35"/>
      <c r="AO87" s="35">
        <v>0</v>
      </c>
      <c r="AP87" s="35"/>
      <c r="AQ87" s="35">
        <v>0</v>
      </c>
      <c r="AR87" s="35"/>
      <c r="AS87" s="45">
        <f t="shared" si="12"/>
        <v>0</v>
      </c>
      <c r="AT87" s="45"/>
      <c r="AU87" s="35">
        <v>0</v>
      </c>
      <c r="AV87" s="35"/>
      <c r="AW87" s="35">
        <v>0</v>
      </c>
      <c r="AX87" s="35"/>
      <c r="AY87" s="35">
        <f t="shared" si="16"/>
        <v>0</v>
      </c>
      <c r="AZ87" s="35"/>
      <c r="BA87" s="35" t="s">
        <v>114</v>
      </c>
      <c r="BB87" s="55"/>
      <c r="BC87" s="35" t="s">
        <v>27</v>
      </c>
      <c r="BD87" s="35"/>
      <c r="BE87" s="35">
        <v>0</v>
      </c>
      <c r="BF87" s="35"/>
      <c r="BG87" s="35"/>
      <c r="BH87" s="35"/>
      <c r="BI87" s="35">
        <v>0</v>
      </c>
      <c r="BJ87" s="35"/>
      <c r="BK87" s="35">
        <v>0</v>
      </c>
      <c r="BL87" s="35"/>
      <c r="BM87" s="35">
        <f t="shared" si="17"/>
        <v>0</v>
      </c>
      <c r="BN87" s="54" t="s">
        <v>347</v>
      </c>
    </row>
    <row r="88" spans="1:67" ht="12.75" hidden="1" customHeight="1">
      <c r="A88" s="35" t="s">
        <v>115</v>
      </c>
      <c r="C88" s="35" t="s">
        <v>19</v>
      </c>
      <c r="D88" s="35"/>
      <c r="E88" s="35">
        <f t="shared" si="13"/>
        <v>0</v>
      </c>
      <c r="F88" s="35"/>
      <c r="G88" s="35">
        <v>0</v>
      </c>
      <c r="H88" s="35"/>
      <c r="I88" s="35">
        <v>0</v>
      </c>
      <c r="J88" s="35"/>
      <c r="K88" s="35">
        <f t="shared" si="14"/>
        <v>0</v>
      </c>
      <c r="L88" s="35"/>
      <c r="M88" s="35">
        <v>0</v>
      </c>
      <c r="N88" s="35"/>
      <c r="O88" s="35">
        <v>0</v>
      </c>
      <c r="P88" s="35"/>
      <c r="Q88" s="35">
        <v>0</v>
      </c>
      <c r="R88" s="35"/>
      <c r="S88" s="35">
        <v>0</v>
      </c>
      <c r="T88" s="35"/>
      <c r="U88" s="35">
        <v>0</v>
      </c>
      <c r="V88" s="35"/>
      <c r="W88" s="35">
        <f t="shared" si="15"/>
        <v>0</v>
      </c>
      <c r="X88" s="35"/>
      <c r="Y88" s="35" t="s">
        <v>115</v>
      </c>
      <c r="Z88" s="55"/>
      <c r="AA88" s="35" t="s">
        <v>19</v>
      </c>
      <c r="AB88" s="35"/>
      <c r="AC88" s="35">
        <v>0</v>
      </c>
      <c r="AD88" s="35"/>
      <c r="AE88" s="35">
        <v>0</v>
      </c>
      <c r="AF88" s="35"/>
      <c r="AG88" s="35">
        <v>0</v>
      </c>
      <c r="AH88" s="35"/>
      <c r="AI88" s="45">
        <f t="shared" si="9"/>
        <v>0</v>
      </c>
      <c r="AJ88" s="45"/>
      <c r="AK88" s="35">
        <v>0</v>
      </c>
      <c r="AL88" s="35"/>
      <c r="AM88" s="35">
        <v>0</v>
      </c>
      <c r="AN88" s="35"/>
      <c r="AO88" s="35">
        <v>0</v>
      </c>
      <c r="AP88" s="35"/>
      <c r="AQ88" s="35">
        <v>0</v>
      </c>
      <c r="AR88" s="35"/>
      <c r="AS88" s="45">
        <f t="shared" si="12"/>
        <v>0</v>
      </c>
      <c r="AT88" s="45"/>
      <c r="AU88" s="35">
        <v>0</v>
      </c>
      <c r="AV88" s="35"/>
      <c r="AW88" s="35">
        <v>0</v>
      </c>
      <c r="AX88" s="35"/>
      <c r="AY88" s="35">
        <f t="shared" si="16"/>
        <v>0</v>
      </c>
      <c r="AZ88" s="35"/>
      <c r="BA88" s="35" t="s">
        <v>115</v>
      </c>
      <c r="BB88" s="55"/>
      <c r="BC88" s="35" t="s">
        <v>19</v>
      </c>
      <c r="BD88" s="35"/>
      <c r="BE88" s="35">
        <v>0</v>
      </c>
      <c r="BF88" s="35"/>
      <c r="BG88" s="35"/>
      <c r="BH88" s="35"/>
      <c r="BI88" s="35">
        <v>0</v>
      </c>
      <c r="BJ88" s="35"/>
      <c r="BK88" s="35">
        <v>0</v>
      </c>
      <c r="BL88" s="35"/>
      <c r="BM88" s="35">
        <f t="shared" si="17"/>
        <v>0</v>
      </c>
      <c r="BN88" s="54" t="s">
        <v>347</v>
      </c>
    </row>
    <row r="89" spans="1:67" ht="12.75" hidden="1" customHeight="1">
      <c r="A89" s="35" t="s">
        <v>116</v>
      </c>
      <c r="C89" s="35" t="s">
        <v>80</v>
      </c>
      <c r="D89" s="35"/>
      <c r="E89" s="35">
        <f t="shared" si="13"/>
        <v>0</v>
      </c>
      <c r="F89" s="35"/>
      <c r="G89" s="35">
        <v>0</v>
      </c>
      <c r="H89" s="35"/>
      <c r="I89" s="35">
        <v>0</v>
      </c>
      <c r="J89" s="35"/>
      <c r="K89" s="35">
        <f t="shared" si="14"/>
        <v>0</v>
      </c>
      <c r="L89" s="35"/>
      <c r="M89" s="35">
        <v>0</v>
      </c>
      <c r="N89" s="35"/>
      <c r="O89" s="35">
        <v>0</v>
      </c>
      <c r="P89" s="35"/>
      <c r="Q89" s="35">
        <v>0</v>
      </c>
      <c r="R89" s="35"/>
      <c r="S89" s="35">
        <v>0</v>
      </c>
      <c r="T89" s="35"/>
      <c r="U89" s="35">
        <v>0</v>
      </c>
      <c r="V89" s="35"/>
      <c r="W89" s="35">
        <f t="shared" si="15"/>
        <v>0</v>
      </c>
      <c r="X89" s="35"/>
      <c r="Y89" s="35" t="s">
        <v>116</v>
      </c>
      <c r="Z89" s="55"/>
      <c r="AA89" s="35" t="s">
        <v>80</v>
      </c>
      <c r="AB89" s="35"/>
      <c r="AC89" s="35">
        <v>0</v>
      </c>
      <c r="AD89" s="35"/>
      <c r="AE89" s="35">
        <v>0</v>
      </c>
      <c r="AF89" s="35"/>
      <c r="AG89" s="35">
        <v>0</v>
      </c>
      <c r="AH89" s="35"/>
      <c r="AI89" s="45">
        <f t="shared" si="9"/>
        <v>0</v>
      </c>
      <c r="AJ89" s="45"/>
      <c r="AK89" s="35">
        <v>0</v>
      </c>
      <c r="AL89" s="35"/>
      <c r="AM89" s="35">
        <v>0</v>
      </c>
      <c r="AN89" s="35"/>
      <c r="AO89" s="35">
        <v>0</v>
      </c>
      <c r="AP89" s="35"/>
      <c r="AQ89" s="35">
        <v>0</v>
      </c>
      <c r="AR89" s="35"/>
      <c r="AS89" s="45">
        <f t="shared" si="12"/>
        <v>0</v>
      </c>
      <c r="AT89" s="45"/>
      <c r="AU89" s="35">
        <v>0</v>
      </c>
      <c r="AV89" s="35"/>
      <c r="AW89" s="35">
        <v>0</v>
      </c>
      <c r="AX89" s="35"/>
      <c r="AY89" s="35">
        <f t="shared" si="16"/>
        <v>0</v>
      </c>
      <c r="AZ89" s="35"/>
      <c r="BA89" s="35" t="s">
        <v>116</v>
      </c>
      <c r="BB89" s="55"/>
      <c r="BC89" s="35" t="s">
        <v>80</v>
      </c>
      <c r="BD89" s="35"/>
      <c r="BE89" s="35">
        <v>0</v>
      </c>
      <c r="BF89" s="35"/>
      <c r="BG89" s="35"/>
      <c r="BH89" s="35"/>
      <c r="BI89" s="35">
        <v>0</v>
      </c>
      <c r="BJ89" s="35"/>
      <c r="BK89" s="35">
        <v>0</v>
      </c>
      <c r="BL89" s="35"/>
      <c r="BM89" s="35">
        <f t="shared" si="17"/>
        <v>0</v>
      </c>
      <c r="BN89" s="54" t="s">
        <v>347</v>
      </c>
    </row>
    <row r="90" spans="1:67" ht="12.75" hidden="1" customHeight="1">
      <c r="A90" s="44" t="s">
        <v>117</v>
      </c>
      <c r="C90" s="35" t="s">
        <v>43</v>
      </c>
      <c r="D90" s="35"/>
      <c r="E90" s="35">
        <f t="shared" si="13"/>
        <v>0</v>
      </c>
      <c r="F90" s="35"/>
      <c r="G90" s="35">
        <v>0</v>
      </c>
      <c r="H90" s="35"/>
      <c r="I90" s="35">
        <v>0</v>
      </c>
      <c r="J90" s="35"/>
      <c r="K90" s="35">
        <f t="shared" si="14"/>
        <v>0</v>
      </c>
      <c r="L90" s="35"/>
      <c r="M90" s="35">
        <v>0</v>
      </c>
      <c r="N90" s="35"/>
      <c r="O90" s="35">
        <v>0</v>
      </c>
      <c r="P90" s="35"/>
      <c r="Q90" s="35">
        <v>0</v>
      </c>
      <c r="R90" s="35"/>
      <c r="S90" s="35">
        <v>0</v>
      </c>
      <c r="T90" s="35"/>
      <c r="U90" s="35">
        <v>0</v>
      </c>
      <c r="V90" s="35"/>
      <c r="W90" s="35">
        <f t="shared" si="15"/>
        <v>0</v>
      </c>
      <c r="X90" s="35"/>
      <c r="Y90" s="44" t="s">
        <v>117</v>
      </c>
      <c r="Z90" s="55"/>
      <c r="AA90" s="35" t="s">
        <v>43</v>
      </c>
      <c r="AB90" s="35"/>
      <c r="AC90" s="35">
        <v>0</v>
      </c>
      <c r="AD90" s="35"/>
      <c r="AE90" s="35">
        <v>0</v>
      </c>
      <c r="AF90" s="35"/>
      <c r="AG90" s="35">
        <v>0</v>
      </c>
      <c r="AH90" s="35"/>
      <c r="AI90" s="45">
        <f t="shared" si="9"/>
        <v>0</v>
      </c>
      <c r="AJ90" s="45"/>
      <c r="AK90" s="35">
        <v>0</v>
      </c>
      <c r="AL90" s="35"/>
      <c r="AM90" s="35">
        <v>0</v>
      </c>
      <c r="AN90" s="35"/>
      <c r="AO90" s="35">
        <v>0</v>
      </c>
      <c r="AP90" s="35"/>
      <c r="AQ90" s="35">
        <v>0</v>
      </c>
      <c r="AR90" s="35"/>
      <c r="AS90" s="45">
        <f t="shared" si="12"/>
        <v>0</v>
      </c>
      <c r="AT90" s="45"/>
      <c r="AU90" s="35">
        <v>0</v>
      </c>
      <c r="AV90" s="35"/>
      <c r="AW90" s="35">
        <v>0</v>
      </c>
      <c r="AX90" s="35"/>
      <c r="AY90" s="35">
        <f t="shared" si="16"/>
        <v>0</v>
      </c>
      <c r="AZ90" s="35"/>
      <c r="BA90" s="44" t="s">
        <v>117</v>
      </c>
      <c r="BB90" s="55"/>
      <c r="BC90" s="35" t="s">
        <v>43</v>
      </c>
      <c r="BD90" s="35"/>
      <c r="BE90" s="35">
        <v>0</v>
      </c>
      <c r="BF90" s="35"/>
      <c r="BG90" s="35"/>
      <c r="BH90" s="35"/>
      <c r="BI90" s="35">
        <v>0</v>
      </c>
      <c r="BJ90" s="35"/>
      <c r="BK90" s="35">
        <v>0</v>
      </c>
      <c r="BL90" s="35"/>
      <c r="BM90" s="35">
        <f t="shared" si="17"/>
        <v>0</v>
      </c>
      <c r="BN90" s="54" t="s">
        <v>347</v>
      </c>
    </row>
    <row r="91" spans="1:67" ht="12.75" hidden="1" customHeight="1">
      <c r="A91" s="35" t="s">
        <v>118</v>
      </c>
      <c r="C91" s="35" t="s">
        <v>13</v>
      </c>
      <c r="D91" s="35"/>
      <c r="E91" s="35">
        <f t="shared" si="13"/>
        <v>0</v>
      </c>
      <c r="F91" s="35"/>
      <c r="G91" s="35">
        <v>0</v>
      </c>
      <c r="H91" s="35"/>
      <c r="I91" s="35">
        <v>0</v>
      </c>
      <c r="J91" s="35"/>
      <c r="K91" s="35">
        <f t="shared" si="14"/>
        <v>0</v>
      </c>
      <c r="L91" s="35"/>
      <c r="M91" s="35">
        <v>0</v>
      </c>
      <c r="N91" s="35"/>
      <c r="O91" s="35">
        <v>0</v>
      </c>
      <c r="P91" s="35"/>
      <c r="Q91" s="35">
        <v>0</v>
      </c>
      <c r="R91" s="35"/>
      <c r="S91" s="35">
        <v>0</v>
      </c>
      <c r="T91" s="35"/>
      <c r="U91" s="35">
        <v>0</v>
      </c>
      <c r="V91" s="35"/>
      <c r="W91" s="35">
        <f t="shared" si="15"/>
        <v>0</v>
      </c>
      <c r="X91" s="35"/>
      <c r="Y91" s="35" t="s">
        <v>118</v>
      </c>
      <c r="Z91" s="55"/>
      <c r="AA91" s="35" t="s">
        <v>13</v>
      </c>
      <c r="AB91" s="35"/>
      <c r="AC91" s="35">
        <v>0</v>
      </c>
      <c r="AD91" s="35"/>
      <c r="AE91" s="35">
        <v>0</v>
      </c>
      <c r="AF91" s="35"/>
      <c r="AG91" s="35">
        <v>0</v>
      </c>
      <c r="AH91" s="35"/>
      <c r="AI91" s="45">
        <f t="shared" si="9"/>
        <v>0</v>
      </c>
      <c r="AJ91" s="45"/>
      <c r="AK91" s="35">
        <v>0</v>
      </c>
      <c r="AL91" s="35"/>
      <c r="AM91" s="35">
        <v>0</v>
      </c>
      <c r="AN91" s="35"/>
      <c r="AO91" s="35">
        <v>0</v>
      </c>
      <c r="AP91" s="35"/>
      <c r="AQ91" s="35">
        <v>0</v>
      </c>
      <c r="AR91" s="35"/>
      <c r="AS91" s="45">
        <f t="shared" si="12"/>
        <v>0</v>
      </c>
      <c r="AT91" s="45"/>
      <c r="AU91" s="35">
        <v>0</v>
      </c>
      <c r="AV91" s="35"/>
      <c r="AW91" s="35">
        <v>0</v>
      </c>
      <c r="AX91" s="35"/>
      <c r="AY91" s="35">
        <f t="shared" si="16"/>
        <v>0</v>
      </c>
      <c r="AZ91" s="35"/>
      <c r="BA91" s="35" t="s">
        <v>118</v>
      </c>
      <c r="BB91" s="55"/>
      <c r="BC91" s="35" t="s">
        <v>13</v>
      </c>
      <c r="BD91" s="35"/>
      <c r="BE91" s="35">
        <v>0</v>
      </c>
      <c r="BF91" s="35"/>
      <c r="BG91" s="35"/>
      <c r="BH91" s="35"/>
      <c r="BI91" s="35">
        <v>0</v>
      </c>
      <c r="BJ91" s="35"/>
      <c r="BK91" s="35">
        <v>0</v>
      </c>
      <c r="BL91" s="35"/>
      <c r="BM91" s="35">
        <f t="shared" si="17"/>
        <v>0</v>
      </c>
      <c r="BN91" s="54" t="s">
        <v>347</v>
      </c>
    </row>
    <row r="92" spans="1:67" ht="12.75" hidden="1" customHeight="1">
      <c r="A92" s="35" t="s">
        <v>120</v>
      </c>
      <c r="C92" s="35" t="s">
        <v>121</v>
      </c>
      <c r="D92" s="35"/>
      <c r="E92" s="35">
        <f t="shared" si="13"/>
        <v>0</v>
      </c>
      <c r="F92" s="35"/>
      <c r="G92" s="35">
        <v>0</v>
      </c>
      <c r="H92" s="35"/>
      <c r="I92" s="35">
        <v>0</v>
      </c>
      <c r="J92" s="35"/>
      <c r="K92" s="35">
        <f t="shared" si="14"/>
        <v>0</v>
      </c>
      <c r="L92" s="35"/>
      <c r="M92" s="35">
        <v>0</v>
      </c>
      <c r="N92" s="35"/>
      <c r="O92" s="35">
        <v>0</v>
      </c>
      <c r="P92" s="35"/>
      <c r="Q92" s="35">
        <v>0</v>
      </c>
      <c r="R92" s="35"/>
      <c r="S92" s="35">
        <v>0</v>
      </c>
      <c r="T92" s="35"/>
      <c r="U92" s="35">
        <v>0</v>
      </c>
      <c r="V92" s="35"/>
      <c r="W92" s="35">
        <f t="shared" si="15"/>
        <v>0</v>
      </c>
      <c r="X92" s="35"/>
      <c r="Y92" s="35" t="s">
        <v>120</v>
      </c>
      <c r="Z92" s="55"/>
      <c r="AA92" s="35" t="s">
        <v>121</v>
      </c>
      <c r="AB92" s="35"/>
      <c r="AC92" s="35">
        <v>0</v>
      </c>
      <c r="AD92" s="35"/>
      <c r="AE92" s="35">
        <v>0</v>
      </c>
      <c r="AF92" s="35"/>
      <c r="AG92" s="35">
        <v>0</v>
      </c>
      <c r="AH92" s="35"/>
      <c r="AI92" s="45">
        <f t="shared" si="9"/>
        <v>0</v>
      </c>
      <c r="AJ92" s="45"/>
      <c r="AK92" s="35">
        <v>0</v>
      </c>
      <c r="AL92" s="35"/>
      <c r="AM92" s="35">
        <v>0</v>
      </c>
      <c r="AN92" s="35"/>
      <c r="AO92" s="35">
        <v>0</v>
      </c>
      <c r="AP92" s="35"/>
      <c r="AQ92" s="35">
        <v>0</v>
      </c>
      <c r="AR92" s="35"/>
      <c r="AS92" s="45">
        <f t="shared" si="12"/>
        <v>0</v>
      </c>
      <c r="AT92" s="45"/>
      <c r="AU92" s="35">
        <v>0</v>
      </c>
      <c r="AV92" s="35"/>
      <c r="AW92" s="35">
        <v>0</v>
      </c>
      <c r="AX92" s="35"/>
      <c r="AY92" s="35">
        <f t="shared" si="16"/>
        <v>0</v>
      </c>
      <c r="AZ92" s="35"/>
      <c r="BA92" s="35" t="s">
        <v>120</v>
      </c>
      <c r="BB92" s="55"/>
      <c r="BC92" s="35" t="s">
        <v>121</v>
      </c>
      <c r="BD92" s="35"/>
      <c r="BE92" s="35">
        <v>0</v>
      </c>
      <c r="BF92" s="35"/>
      <c r="BG92" s="35"/>
      <c r="BH92" s="35"/>
      <c r="BI92" s="35">
        <v>0</v>
      </c>
      <c r="BJ92" s="35"/>
      <c r="BK92" s="35">
        <v>0</v>
      </c>
      <c r="BL92" s="35"/>
      <c r="BM92" s="35">
        <f t="shared" si="17"/>
        <v>0</v>
      </c>
      <c r="BN92" s="54" t="s">
        <v>347</v>
      </c>
      <c r="BO92" s="55" t="s">
        <v>371</v>
      </c>
    </row>
    <row r="93" spans="1:67" ht="12.75" hidden="1" customHeight="1">
      <c r="A93" s="35" t="s">
        <v>122</v>
      </c>
      <c r="C93" s="35" t="s">
        <v>43</v>
      </c>
      <c r="D93" s="35"/>
      <c r="E93" s="35">
        <f t="shared" si="13"/>
        <v>0</v>
      </c>
      <c r="F93" s="35"/>
      <c r="G93" s="35">
        <v>0</v>
      </c>
      <c r="H93" s="35"/>
      <c r="I93" s="35">
        <v>0</v>
      </c>
      <c r="J93" s="35"/>
      <c r="K93" s="35">
        <f t="shared" si="14"/>
        <v>0</v>
      </c>
      <c r="L93" s="35"/>
      <c r="M93" s="35">
        <v>0</v>
      </c>
      <c r="N93" s="35"/>
      <c r="O93" s="35">
        <v>0</v>
      </c>
      <c r="P93" s="35"/>
      <c r="Q93" s="35">
        <v>0</v>
      </c>
      <c r="R93" s="35"/>
      <c r="S93" s="35">
        <v>0</v>
      </c>
      <c r="T93" s="35"/>
      <c r="U93" s="35">
        <v>0</v>
      </c>
      <c r="V93" s="35"/>
      <c r="W93" s="35">
        <f t="shared" si="15"/>
        <v>0</v>
      </c>
      <c r="X93" s="35"/>
      <c r="Y93" s="35" t="s">
        <v>122</v>
      </c>
      <c r="Z93" s="55"/>
      <c r="AA93" s="35" t="s">
        <v>43</v>
      </c>
      <c r="AB93" s="35"/>
      <c r="AC93" s="35">
        <v>0</v>
      </c>
      <c r="AD93" s="35"/>
      <c r="AE93" s="35">
        <v>0</v>
      </c>
      <c r="AF93" s="35"/>
      <c r="AG93" s="35">
        <v>0</v>
      </c>
      <c r="AH93" s="35"/>
      <c r="AI93" s="45">
        <f t="shared" si="9"/>
        <v>0</v>
      </c>
      <c r="AJ93" s="45"/>
      <c r="AK93" s="35">
        <v>0</v>
      </c>
      <c r="AL93" s="35"/>
      <c r="AM93" s="35">
        <v>0</v>
      </c>
      <c r="AN93" s="35"/>
      <c r="AO93" s="35">
        <v>0</v>
      </c>
      <c r="AP93" s="35"/>
      <c r="AQ93" s="35">
        <v>0</v>
      </c>
      <c r="AR93" s="35"/>
      <c r="AS93" s="45">
        <f t="shared" si="12"/>
        <v>0</v>
      </c>
      <c r="AT93" s="45"/>
      <c r="AU93" s="35">
        <v>0</v>
      </c>
      <c r="AV93" s="35"/>
      <c r="AW93" s="35">
        <v>0</v>
      </c>
      <c r="AX93" s="35"/>
      <c r="AY93" s="35">
        <f t="shared" si="16"/>
        <v>0</v>
      </c>
      <c r="AZ93" s="35"/>
      <c r="BA93" s="35" t="s">
        <v>122</v>
      </c>
      <c r="BB93" s="55"/>
      <c r="BC93" s="35" t="s">
        <v>43</v>
      </c>
      <c r="BD93" s="35"/>
      <c r="BE93" s="35">
        <v>0</v>
      </c>
      <c r="BF93" s="35"/>
      <c r="BG93" s="35"/>
      <c r="BH93" s="35"/>
      <c r="BI93" s="35">
        <v>0</v>
      </c>
      <c r="BJ93" s="35"/>
      <c r="BK93" s="35">
        <v>0</v>
      </c>
      <c r="BL93" s="35"/>
      <c r="BM93" s="35">
        <f t="shared" si="17"/>
        <v>0</v>
      </c>
      <c r="BN93" s="54" t="s">
        <v>347</v>
      </c>
    </row>
    <row r="94" spans="1:67" ht="12.75" customHeight="1">
      <c r="A94" s="44" t="s">
        <v>45</v>
      </c>
      <c r="C94" s="35" t="s">
        <v>103</v>
      </c>
      <c r="D94" s="35"/>
      <c r="E94" s="35">
        <f t="shared" si="13"/>
        <v>50021418</v>
      </c>
      <c r="F94" s="35"/>
      <c r="G94" s="35">
        <v>135827939</v>
      </c>
      <c r="H94" s="35"/>
      <c r="I94" s="35">
        <v>185849357</v>
      </c>
      <c r="J94" s="35"/>
      <c r="K94" s="35">
        <f t="shared" si="14"/>
        <v>15076698</v>
      </c>
      <c r="L94" s="35"/>
      <c r="M94" s="35">
        <v>157323299</v>
      </c>
      <c r="N94" s="35"/>
      <c r="O94" s="35">
        <v>172399997</v>
      </c>
      <c r="P94" s="35"/>
      <c r="Q94" s="35">
        <v>-17658145</v>
      </c>
      <c r="R94" s="35"/>
      <c r="S94" s="35">
        <f>6289997+4000000</f>
        <v>10289997</v>
      </c>
      <c r="T94" s="35"/>
      <c r="U94" s="35">
        <v>20817509</v>
      </c>
      <c r="V94" s="35"/>
      <c r="W94" s="35">
        <f t="shared" si="15"/>
        <v>13449361</v>
      </c>
      <c r="X94" s="35"/>
      <c r="Y94" s="44" t="s">
        <v>45</v>
      </c>
      <c r="Z94" s="55"/>
      <c r="AA94" s="35" t="s">
        <v>103</v>
      </c>
      <c r="AB94" s="35"/>
      <c r="AC94" s="35">
        <v>63816276</v>
      </c>
      <c r="AD94" s="35"/>
      <c r="AE94" s="35">
        <f>54305325-10454987</f>
        <v>43850338</v>
      </c>
      <c r="AF94" s="35"/>
      <c r="AG94" s="35">
        <v>10454987</v>
      </c>
      <c r="AH94" s="35"/>
      <c r="AI94" s="45">
        <f t="shared" si="9"/>
        <v>9510951</v>
      </c>
      <c r="AJ94" s="45"/>
      <c r="AK94" s="35">
        <f>-8463815+3888044</f>
        <v>-4575771</v>
      </c>
      <c r="AL94" s="35"/>
      <c r="AM94" s="35">
        <v>0</v>
      </c>
      <c r="AN94" s="35"/>
      <c r="AO94" s="35">
        <v>0</v>
      </c>
      <c r="AP94" s="35"/>
      <c r="AQ94" s="35">
        <v>0</v>
      </c>
      <c r="AR94" s="35"/>
      <c r="AS94" s="45">
        <f t="shared" si="12"/>
        <v>4935180</v>
      </c>
      <c r="AT94" s="45"/>
      <c r="AU94" s="35">
        <v>0</v>
      </c>
      <c r="AV94" s="35"/>
      <c r="AW94" s="35">
        <v>0</v>
      </c>
      <c r="AX94" s="35"/>
      <c r="AY94" s="35">
        <f t="shared" si="16"/>
        <v>34944720</v>
      </c>
      <c r="AZ94" s="35"/>
      <c r="BA94" s="44" t="s">
        <v>45</v>
      </c>
      <c r="BB94" s="55"/>
      <c r="BC94" s="35" t="s">
        <v>103</v>
      </c>
      <c r="BD94" s="35"/>
      <c r="BE94" s="35">
        <v>0</v>
      </c>
      <c r="BF94" s="35"/>
      <c r="BG94" s="35">
        <f>156213287+7025000</f>
        <v>163238287</v>
      </c>
      <c r="BH94" s="35"/>
      <c r="BI94" s="35">
        <v>0</v>
      </c>
      <c r="BJ94" s="35"/>
      <c r="BK94" s="35">
        <f>1110012+654138</f>
        <v>1764150</v>
      </c>
      <c r="BL94" s="35"/>
      <c r="BM94" s="35">
        <f t="shared" si="17"/>
        <v>165002437</v>
      </c>
      <c r="BN94" s="54" t="s">
        <v>347</v>
      </c>
      <c r="BO94" s="55" t="s">
        <v>315</v>
      </c>
    </row>
    <row r="95" spans="1:67" ht="12.75" hidden="1" customHeight="1">
      <c r="A95" s="44" t="s">
        <v>123</v>
      </c>
      <c r="C95" s="35" t="s">
        <v>45</v>
      </c>
      <c r="D95" s="35"/>
      <c r="E95" s="35">
        <f t="shared" si="13"/>
        <v>0</v>
      </c>
      <c r="F95" s="35"/>
      <c r="G95" s="35">
        <v>0</v>
      </c>
      <c r="H95" s="35"/>
      <c r="I95" s="35">
        <v>0</v>
      </c>
      <c r="J95" s="35"/>
      <c r="K95" s="35">
        <f t="shared" si="14"/>
        <v>0</v>
      </c>
      <c r="L95" s="35"/>
      <c r="M95" s="35">
        <v>0</v>
      </c>
      <c r="N95" s="35"/>
      <c r="O95" s="35">
        <v>0</v>
      </c>
      <c r="P95" s="35"/>
      <c r="Q95" s="35">
        <v>0</v>
      </c>
      <c r="R95" s="35"/>
      <c r="S95" s="35">
        <v>0</v>
      </c>
      <c r="T95" s="35"/>
      <c r="U95" s="35">
        <v>0</v>
      </c>
      <c r="V95" s="35"/>
      <c r="W95" s="35">
        <f t="shared" si="15"/>
        <v>0</v>
      </c>
      <c r="X95" s="35"/>
      <c r="Y95" s="44" t="s">
        <v>123</v>
      </c>
      <c r="Z95" s="55"/>
      <c r="AA95" s="35" t="s">
        <v>45</v>
      </c>
      <c r="AB95" s="35"/>
      <c r="AC95" s="35">
        <v>0</v>
      </c>
      <c r="AD95" s="35"/>
      <c r="AE95" s="35">
        <v>0</v>
      </c>
      <c r="AF95" s="35"/>
      <c r="AG95" s="35">
        <v>0</v>
      </c>
      <c r="AH95" s="35"/>
      <c r="AI95" s="45">
        <f t="shared" si="9"/>
        <v>0</v>
      </c>
      <c r="AJ95" s="45"/>
      <c r="AK95" s="35">
        <v>0</v>
      </c>
      <c r="AL95" s="35"/>
      <c r="AM95" s="35">
        <v>0</v>
      </c>
      <c r="AN95" s="35"/>
      <c r="AO95" s="35">
        <v>0</v>
      </c>
      <c r="AP95" s="35"/>
      <c r="AQ95" s="35">
        <v>0</v>
      </c>
      <c r="AR95" s="35"/>
      <c r="AS95" s="45">
        <f t="shared" si="12"/>
        <v>0</v>
      </c>
      <c r="AT95" s="45"/>
      <c r="AU95" s="35">
        <v>0</v>
      </c>
      <c r="AV95" s="35"/>
      <c r="AW95" s="35">
        <v>0</v>
      </c>
      <c r="AX95" s="35"/>
      <c r="AY95" s="35">
        <f t="shared" si="16"/>
        <v>0</v>
      </c>
      <c r="AZ95" s="35"/>
      <c r="BA95" s="44" t="s">
        <v>123</v>
      </c>
      <c r="BB95" s="55"/>
      <c r="BC95" s="35" t="s">
        <v>45</v>
      </c>
      <c r="BD95" s="35"/>
      <c r="BE95" s="35">
        <v>0</v>
      </c>
      <c r="BF95" s="35"/>
      <c r="BG95" s="35"/>
      <c r="BH95" s="35"/>
      <c r="BI95" s="35">
        <v>0</v>
      </c>
      <c r="BJ95" s="35"/>
      <c r="BK95" s="35">
        <v>0</v>
      </c>
      <c r="BL95" s="35"/>
      <c r="BM95" s="35">
        <f t="shared" si="17"/>
        <v>0</v>
      </c>
      <c r="BN95" s="54" t="s">
        <v>347</v>
      </c>
    </row>
    <row r="96" spans="1:67" ht="12.75" hidden="1" customHeight="1">
      <c r="A96" s="35" t="s">
        <v>124</v>
      </c>
      <c r="C96" s="35" t="s">
        <v>125</v>
      </c>
      <c r="D96" s="35"/>
      <c r="E96" s="35">
        <f t="shared" si="13"/>
        <v>0</v>
      </c>
      <c r="F96" s="35"/>
      <c r="G96" s="35">
        <v>0</v>
      </c>
      <c r="H96" s="35"/>
      <c r="I96" s="35">
        <v>0</v>
      </c>
      <c r="J96" s="35"/>
      <c r="K96" s="35">
        <f t="shared" si="14"/>
        <v>0</v>
      </c>
      <c r="L96" s="35"/>
      <c r="M96" s="35">
        <v>0</v>
      </c>
      <c r="N96" s="35"/>
      <c r="O96" s="35">
        <v>0</v>
      </c>
      <c r="P96" s="35"/>
      <c r="Q96" s="35">
        <v>0</v>
      </c>
      <c r="R96" s="35"/>
      <c r="S96" s="35">
        <v>0</v>
      </c>
      <c r="T96" s="35"/>
      <c r="U96" s="35">
        <v>0</v>
      </c>
      <c r="V96" s="35"/>
      <c r="W96" s="35">
        <f t="shared" si="15"/>
        <v>0</v>
      </c>
      <c r="X96" s="35"/>
      <c r="Y96" s="35" t="s">
        <v>124</v>
      </c>
      <c r="Z96" s="55"/>
      <c r="AA96" s="35" t="s">
        <v>125</v>
      </c>
      <c r="AB96" s="35"/>
      <c r="AC96" s="35">
        <v>0</v>
      </c>
      <c r="AD96" s="35"/>
      <c r="AE96" s="35">
        <v>0</v>
      </c>
      <c r="AF96" s="35"/>
      <c r="AG96" s="35">
        <v>0</v>
      </c>
      <c r="AH96" s="35"/>
      <c r="AI96" s="45">
        <f t="shared" si="9"/>
        <v>0</v>
      </c>
      <c r="AJ96" s="45"/>
      <c r="AK96" s="35">
        <v>0</v>
      </c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2"/>
        <v>0</v>
      </c>
      <c r="AT96" s="45"/>
      <c r="AU96" s="35">
        <v>0</v>
      </c>
      <c r="AV96" s="35"/>
      <c r="AW96" s="35">
        <v>0</v>
      </c>
      <c r="AX96" s="35"/>
      <c r="AY96" s="35">
        <f t="shared" si="16"/>
        <v>0</v>
      </c>
      <c r="AZ96" s="35"/>
      <c r="BA96" s="35" t="s">
        <v>124</v>
      </c>
      <c r="BB96" s="55"/>
      <c r="BC96" s="35" t="s">
        <v>125</v>
      </c>
      <c r="BD96" s="35"/>
      <c r="BE96" s="35">
        <v>0</v>
      </c>
      <c r="BF96" s="35"/>
      <c r="BG96" s="35"/>
      <c r="BH96" s="35"/>
      <c r="BI96" s="35">
        <v>0</v>
      </c>
      <c r="BJ96" s="35"/>
      <c r="BK96" s="35">
        <v>0</v>
      </c>
      <c r="BL96" s="35"/>
      <c r="BM96" s="35">
        <f t="shared" si="17"/>
        <v>0</v>
      </c>
      <c r="BN96" s="54" t="s">
        <v>347</v>
      </c>
    </row>
    <row r="97" spans="1:67" ht="12.75" hidden="1" customHeight="1">
      <c r="A97" s="35" t="s">
        <v>126</v>
      </c>
      <c r="C97" s="35" t="s">
        <v>27</v>
      </c>
      <c r="D97" s="35"/>
      <c r="E97" s="35">
        <f t="shared" si="13"/>
        <v>0</v>
      </c>
      <c r="F97" s="35"/>
      <c r="G97" s="35">
        <v>0</v>
      </c>
      <c r="H97" s="35"/>
      <c r="I97" s="35">
        <v>0</v>
      </c>
      <c r="J97" s="35"/>
      <c r="K97" s="35">
        <f t="shared" si="14"/>
        <v>0</v>
      </c>
      <c r="L97" s="35"/>
      <c r="M97" s="35">
        <v>0</v>
      </c>
      <c r="N97" s="35"/>
      <c r="O97" s="35">
        <v>0</v>
      </c>
      <c r="P97" s="35"/>
      <c r="Q97" s="35">
        <v>0</v>
      </c>
      <c r="R97" s="35"/>
      <c r="S97" s="35">
        <v>0</v>
      </c>
      <c r="T97" s="35"/>
      <c r="U97" s="35">
        <v>0</v>
      </c>
      <c r="V97" s="35"/>
      <c r="W97" s="35">
        <f t="shared" si="15"/>
        <v>0</v>
      </c>
      <c r="X97" s="35"/>
      <c r="Y97" s="35" t="s">
        <v>126</v>
      </c>
      <c r="Z97" s="55"/>
      <c r="AA97" s="35" t="s">
        <v>27</v>
      </c>
      <c r="AB97" s="35"/>
      <c r="AC97" s="35">
        <v>0</v>
      </c>
      <c r="AD97" s="35"/>
      <c r="AE97" s="35">
        <v>0</v>
      </c>
      <c r="AF97" s="35"/>
      <c r="AG97" s="35">
        <v>0</v>
      </c>
      <c r="AH97" s="35"/>
      <c r="AI97" s="45">
        <f t="shared" si="9"/>
        <v>0</v>
      </c>
      <c r="AJ97" s="45"/>
      <c r="AK97" s="35">
        <v>0</v>
      </c>
      <c r="AL97" s="35"/>
      <c r="AM97" s="35">
        <v>0</v>
      </c>
      <c r="AN97" s="35"/>
      <c r="AO97" s="35">
        <v>0</v>
      </c>
      <c r="AP97" s="35"/>
      <c r="AQ97" s="35">
        <v>0</v>
      </c>
      <c r="AR97" s="35"/>
      <c r="AS97" s="45">
        <f t="shared" si="12"/>
        <v>0</v>
      </c>
      <c r="AT97" s="45"/>
      <c r="AU97" s="35">
        <v>0</v>
      </c>
      <c r="AV97" s="35"/>
      <c r="AW97" s="35">
        <v>0</v>
      </c>
      <c r="AX97" s="35"/>
      <c r="AY97" s="35">
        <f t="shared" si="16"/>
        <v>0</v>
      </c>
      <c r="AZ97" s="35"/>
      <c r="BA97" s="35" t="s">
        <v>126</v>
      </c>
      <c r="BB97" s="55"/>
      <c r="BC97" s="35" t="s">
        <v>27</v>
      </c>
      <c r="BD97" s="35"/>
      <c r="BE97" s="35">
        <v>0</v>
      </c>
      <c r="BF97" s="35"/>
      <c r="BG97" s="35"/>
      <c r="BH97" s="35"/>
      <c r="BI97" s="35">
        <v>0</v>
      </c>
      <c r="BJ97" s="35"/>
      <c r="BK97" s="35">
        <v>0</v>
      </c>
      <c r="BL97" s="35"/>
      <c r="BM97" s="35">
        <f t="shared" si="17"/>
        <v>0</v>
      </c>
      <c r="BN97" s="54" t="s">
        <v>347</v>
      </c>
    </row>
    <row r="98" spans="1:67" ht="12.75" hidden="1" customHeight="1">
      <c r="A98" s="35" t="s">
        <v>127</v>
      </c>
      <c r="C98" s="35" t="s">
        <v>43</v>
      </c>
      <c r="D98" s="35"/>
      <c r="E98" s="35">
        <f t="shared" si="13"/>
        <v>0</v>
      </c>
      <c r="F98" s="35"/>
      <c r="G98" s="35">
        <v>0</v>
      </c>
      <c r="H98" s="35"/>
      <c r="I98" s="35">
        <v>0</v>
      </c>
      <c r="J98" s="35"/>
      <c r="K98" s="35">
        <f t="shared" si="14"/>
        <v>0</v>
      </c>
      <c r="L98" s="35"/>
      <c r="M98" s="35">
        <v>0</v>
      </c>
      <c r="N98" s="35"/>
      <c r="O98" s="35">
        <v>0</v>
      </c>
      <c r="P98" s="35"/>
      <c r="Q98" s="35">
        <v>0</v>
      </c>
      <c r="R98" s="35"/>
      <c r="S98" s="35">
        <v>0</v>
      </c>
      <c r="T98" s="35"/>
      <c r="U98" s="35">
        <v>0</v>
      </c>
      <c r="V98" s="35"/>
      <c r="W98" s="35">
        <f t="shared" si="15"/>
        <v>0</v>
      </c>
      <c r="X98" s="35"/>
      <c r="Y98" s="35" t="s">
        <v>127</v>
      </c>
      <c r="Z98" s="55"/>
      <c r="AA98" s="35" t="s">
        <v>43</v>
      </c>
      <c r="AB98" s="35"/>
      <c r="AC98" s="35">
        <v>0</v>
      </c>
      <c r="AD98" s="35"/>
      <c r="AE98" s="35">
        <v>0</v>
      </c>
      <c r="AF98" s="35"/>
      <c r="AG98" s="35">
        <v>0</v>
      </c>
      <c r="AH98" s="35"/>
      <c r="AI98" s="45">
        <f t="shared" ref="AI98:AI161" si="18">+AC98-AE98-AG98</f>
        <v>0</v>
      </c>
      <c r="AJ98" s="45"/>
      <c r="AK98" s="35">
        <v>0</v>
      </c>
      <c r="AL98" s="35"/>
      <c r="AM98" s="35">
        <v>0</v>
      </c>
      <c r="AN98" s="35"/>
      <c r="AO98" s="35">
        <v>0</v>
      </c>
      <c r="AP98" s="35"/>
      <c r="AQ98" s="35">
        <v>0</v>
      </c>
      <c r="AR98" s="35"/>
      <c r="AS98" s="45">
        <f t="shared" si="12"/>
        <v>0</v>
      </c>
      <c r="AT98" s="45"/>
      <c r="AU98" s="35">
        <v>0</v>
      </c>
      <c r="AV98" s="35"/>
      <c r="AW98" s="35">
        <v>0</v>
      </c>
      <c r="AX98" s="35"/>
      <c r="AY98" s="35">
        <f t="shared" si="16"/>
        <v>0</v>
      </c>
      <c r="AZ98" s="35"/>
      <c r="BA98" s="35" t="s">
        <v>127</v>
      </c>
      <c r="BB98" s="55"/>
      <c r="BC98" s="35" t="s">
        <v>43</v>
      </c>
      <c r="BD98" s="35"/>
      <c r="BE98" s="35">
        <v>0</v>
      </c>
      <c r="BF98" s="35"/>
      <c r="BG98" s="35"/>
      <c r="BH98" s="35"/>
      <c r="BI98" s="35">
        <v>0</v>
      </c>
      <c r="BJ98" s="35"/>
      <c r="BK98" s="35">
        <v>0</v>
      </c>
      <c r="BL98" s="35"/>
      <c r="BM98" s="35">
        <f t="shared" ref="BM98:BM129" si="19">SUM(BE98:BK98)</f>
        <v>0</v>
      </c>
      <c r="BN98" s="54" t="s">
        <v>347</v>
      </c>
    </row>
    <row r="99" spans="1:67" ht="12.75" hidden="1" customHeight="1">
      <c r="A99" s="35" t="s">
        <v>128</v>
      </c>
      <c r="C99" s="35" t="s">
        <v>119</v>
      </c>
      <c r="D99" s="35"/>
      <c r="E99" s="35">
        <f t="shared" si="13"/>
        <v>0</v>
      </c>
      <c r="F99" s="35"/>
      <c r="G99" s="35">
        <v>0</v>
      </c>
      <c r="H99" s="35"/>
      <c r="I99" s="35">
        <v>0</v>
      </c>
      <c r="J99" s="35"/>
      <c r="K99" s="35">
        <f t="shared" si="14"/>
        <v>0</v>
      </c>
      <c r="L99" s="35"/>
      <c r="M99" s="35">
        <v>0</v>
      </c>
      <c r="N99" s="35"/>
      <c r="O99" s="35">
        <v>0</v>
      </c>
      <c r="P99" s="35"/>
      <c r="Q99" s="35">
        <v>0</v>
      </c>
      <c r="R99" s="35"/>
      <c r="S99" s="35">
        <v>0</v>
      </c>
      <c r="T99" s="35"/>
      <c r="U99" s="35">
        <v>0</v>
      </c>
      <c r="V99" s="35"/>
      <c r="W99" s="35">
        <f t="shared" si="15"/>
        <v>0</v>
      </c>
      <c r="X99" s="35"/>
      <c r="Y99" s="35" t="s">
        <v>128</v>
      </c>
      <c r="Z99" s="55"/>
      <c r="AA99" s="35" t="s">
        <v>119</v>
      </c>
      <c r="AB99" s="35"/>
      <c r="AC99" s="35">
        <v>0</v>
      </c>
      <c r="AD99" s="35"/>
      <c r="AE99" s="35">
        <v>0</v>
      </c>
      <c r="AF99" s="35"/>
      <c r="AG99" s="35">
        <v>0</v>
      </c>
      <c r="AH99" s="35"/>
      <c r="AI99" s="45">
        <f t="shared" si="18"/>
        <v>0</v>
      </c>
      <c r="AJ99" s="45"/>
      <c r="AK99" s="35">
        <v>0</v>
      </c>
      <c r="AL99" s="35"/>
      <c r="AM99" s="35">
        <v>0</v>
      </c>
      <c r="AN99" s="35"/>
      <c r="AO99" s="35">
        <v>0</v>
      </c>
      <c r="AP99" s="35"/>
      <c r="AQ99" s="35">
        <v>0</v>
      </c>
      <c r="AR99" s="35"/>
      <c r="AS99" s="45">
        <f t="shared" si="12"/>
        <v>0</v>
      </c>
      <c r="AT99" s="45"/>
      <c r="AU99" s="35">
        <v>0</v>
      </c>
      <c r="AV99" s="35"/>
      <c r="AW99" s="35">
        <v>0</v>
      </c>
      <c r="AX99" s="35"/>
      <c r="AY99" s="35">
        <f t="shared" si="16"/>
        <v>0</v>
      </c>
      <c r="AZ99" s="35"/>
      <c r="BA99" s="35" t="s">
        <v>128</v>
      </c>
      <c r="BB99" s="55"/>
      <c r="BC99" s="35" t="s">
        <v>119</v>
      </c>
      <c r="BD99" s="35"/>
      <c r="BE99" s="35">
        <v>0</v>
      </c>
      <c r="BF99" s="35"/>
      <c r="BG99" s="35"/>
      <c r="BH99" s="35"/>
      <c r="BI99" s="35">
        <v>0</v>
      </c>
      <c r="BJ99" s="35"/>
      <c r="BK99" s="35">
        <v>0</v>
      </c>
      <c r="BL99" s="35"/>
      <c r="BM99" s="35">
        <f t="shared" si="19"/>
        <v>0</v>
      </c>
      <c r="BN99" s="54" t="s">
        <v>347</v>
      </c>
    </row>
    <row r="100" spans="1:67" ht="12.75" customHeight="1">
      <c r="A100" s="35" t="s">
        <v>129</v>
      </c>
      <c r="B100" s="55"/>
      <c r="C100" s="35" t="s">
        <v>80</v>
      </c>
      <c r="D100" s="35"/>
      <c r="E100" s="35">
        <f t="shared" si="13"/>
        <v>4967699</v>
      </c>
      <c r="F100" s="35"/>
      <c r="G100" s="35">
        <v>4452254</v>
      </c>
      <c r="H100" s="35"/>
      <c r="I100" s="35">
        <v>9419953</v>
      </c>
      <c r="J100" s="35"/>
      <c r="K100" s="35">
        <f t="shared" si="14"/>
        <v>2226302</v>
      </c>
      <c r="L100" s="35"/>
      <c r="M100" s="35">
        <v>48495</v>
      </c>
      <c r="N100" s="35"/>
      <c r="O100" s="35">
        <v>2274797</v>
      </c>
      <c r="P100" s="35"/>
      <c r="Q100" s="35">
        <v>2410973</v>
      </c>
      <c r="R100" s="35"/>
      <c r="S100" s="35">
        <v>0</v>
      </c>
      <c r="T100" s="35"/>
      <c r="U100" s="35">
        <v>4734183</v>
      </c>
      <c r="V100" s="35"/>
      <c r="W100" s="35">
        <f t="shared" si="15"/>
        <v>7145156</v>
      </c>
      <c r="X100" s="35"/>
      <c r="Y100" s="35" t="s">
        <v>129</v>
      </c>
      <c r="Z100" s="55"/>
      <c r="AA100" s="35" t="s">
        <v>80</v>
      </c>
      <c r="AB100" s="35"/>
      <c r="AC100" s="35">
        <v>5894313</v>
      </c>
      <c r="AD100" s="35"/>
      <c r="AE100" s="35">
        <f>5405233-328380</f>
        <v>5076853</v>
      </c>
      <c r="AF100" s="35"/>
      <c r="AG100" s="35">
        <v>328380</v>
      </c>
      <c r="AH100" s="35"/>
      <c r="AI100" s="45">
        <f t="shared" si="18"/>
        <v>489080</v>
      </c>
      <c r="AJ100" s="45"/>
      <c r="AK100" s="35">
        <v>-263834</v>
      </c>
      <c r="AL100" s="35"/>
      <c r="AM100" s="35">
        <v>0</v>
      </c>
      <c r="AN100" s="35"/>
      <c r="AO100" s="35">
        <v>0</v>
      </c>
      <c r="AP100" s="35"/>
      <c r="AQ100" s="35">
        <v>1775375</v>
      </c>
      <c r="AR100" s="35"/>
      <c r="AS100" s="45">
        <f t="shared" si="12"/>
        <v>2000621</v>
      </c>
      <c r="AT100" s="45"/>
      <c r="AU100" s="35">
        <v>0</v>
      </c>
      <c r="AV100" s="35"/>
      <c r="AW100" s="35">
        <v>0</v>
      </c>
      <c r="AX100" s="35"/>
      <c r="AY100" s="35">
        <f t="shared" si="16"/>
        <v>2741397</v>
      </c>
      <c r="AZ100" s="35"/>
      <c r="BA100" s="35" t="s">
        <v>129</v>
      </c>
      <c r="BB100" s="55"/>
      <c r="BC100" s="35" t="s">
        <v>80</v>
      </c>
      <c r="BD100" s="35"/>
      <c r="BE100" s="35">
        <v>0</v>
      </c>
      <c r="BF100" s="35"/>
      <c r="BG100" s="35"/>
      <c r="BH100" s="35"/>
      <c r="BI100" s="35">
        <v>0</v>
      </c>
      <c r="BJ100" s="35"/>
      <c r="BK100" s="35">
        <f>48495+35233</f>
        <v>83728</v>
      </c>
      <c r="BL100" s="35"/>
      <c r="BM100" s="35">
        <f t="shared" si="19"/>
        <v>83728</v>
      </c>
      <c r="BN100" s="54" t="s">
        <v>347</v>
      </c>
    </row>
    <row r="101" spans="1:67" ht="12.75" hidden="1" customHeight="1">
      <c r="A101" s="35" t="s">
        <v>130</v>
      </c>
      <c r="C101" s="35" t="s">
        <v>66</v>
      </c>
      <c r="D101" s="35"/>
      <c r="E101" s="35">
        <f t="shared" si="13"/>
        <v>0</v>
      </c>
      <c r="F101" s="35"/>
      <c r="G101" s="35">
        <v>0</v>
      </c>
      <c r="H101" s="35"/>
      <c r="I101" s="35">
        <v>0</v>
      </c>
      <c r="J101" s="35"/>
      <c r="K101" s="35">
        <f t="shared" si="14"/>
        <v>0</v>
      </c>
      <c r="L101" s="35"/>
      <c r="M101" s="35">
        <v>0</v>
      </c>
      <c r="N101" s="35"/>
      <c r="O101" s="35">
        <v>0</v>
      </c>
      <c r="P101" s="35"/>
      <c r="Q101" s="35">
        <v>0</v>
      </c>
      <c r="R101" s="35"/>
      <c r="S101" s="35">
        <v>0</v>
      </c>
      <c r="T101" s="35"/>
      <c r="U101" s="35">
        <v>0</v>
      </c>
      <c r="V101" s="35"/>
      <c r="W101" s="35">
        <f t="shared" si="15"/>
        <v>0</v>
      </c>
      <c r="X101" s="35"/>
      <c r="Y101" s="35" t="s">
        <v>130</v>
      </c>
      <c r="Z101" s="55"/>
      <c r="AA101" s="35" t="s">
        <v>66</v>
      </c>
      <c r="AB101" s="35"/>
      <c r="AC101" s="35">
        <v>0</v>
      </c>
      <c r="AD101" s="35"/>
      <c r="AE101" s="35">
        <v>0</v>
      </c>
      <c r="AF101" s="35"/>
      <c r="AG101" s="35">
        <v>0</v>
      </c>
      <c r="AH101" s="35"/>
      <c r="AI101" s="45">
        <f t="shared" si="18"/>
        <v>0</v>
      </c>
      <c r="AJ101" s="45"/>
      <c r="AK101" s="35">
        <v>0</v>
      </c>
      <c r="AL101" s="35"/>
      <c r="AM101" s="35">
        <v>0</v>
      </c>
      <c r="AN101" s="35"/>
      <c r="AO101" s="35">
        <v>0</v>
      </c>
      <c r="AP101" s="35"/>
      <c r="AQ101" s="35">
        <v>0</v>
      </c>
      <c r="AR101" s="35"/>
      <c r="AS101" s="45">
        <f t="shared" si="12"/>
        <v>0</v>
      </c>
      <c r="AT101" s="45"/>
      <c r="AU101" s="35">
        <v>0</v>
      </c>
      <c r="AV101" s="35"/>
      <c r="AW101" s="35">
        <v>0</v>
      </c>
      <c r="AX101" s="35"/>
      <c r="AY101" s="35">
        <f t="shared" si="16"/>
        <v>0</v>
      </c>
      <c r="AZ101" s="35"/>
      <c r="BA101" s="35" t="s">
        <v>130</v>
      </c>
      <c r="BB101" s="55"/>
      <c r="BC101" s="35" t="s">
        <v>66</v>
      </c>
      <c r="BD101" s="35"/>
      <c r="BE101" s="35">
        <v>0</v>
      </c>
      <c r="BF101" s="35"/>
      <c r="BG101" s="35"/>
      <c r="BH101" s="35"/>
      <c r="BI101" s="35">
        <v>0</v>
      </c>
      <c r="BJ101" s="35"/>
      <c r="BK101" s="35">
        <v>0</v>
      </c>
      <c r="BL101" s="35"/>
      <c r="BM101" s="35">
        <f t="shared" si="19"/>
        <v>0</v>
      </c>
      <c r="BN101" s="54" t="s">
        <v>347</v>
      </c>
    </row>
    <row r="102" spans="1:67" ht="12.75" customHeight="1">
      <c r="A102" s="35" t="s">
        <v>131</v>
      </c>
      <c r="C102" s="35" t="s">
        <v>13</v>
      </c>
      <c r="D102" s="35"/>
      <c r="E102" s="35">
        <f t="shared" si="13"/>
        <v>22480665</v>
      </c>
      <c r="F102" s="35"/>
      <c r="G102" s="35">
        <v>8049378</v>
      </c>
      <c r="H102" s="35"/>
      <c r="I102" s="35">
        <v>30530043</v>
      </c>
      <c r="J102" s="35"/>
      <c r="K102" s="35">
        <f t="shared" si="14"/>
        <v>5814453</v>
      </c>
      <c r="L102" s="35"/>
      <c r="M102" s="35">
        <v>2777375</v>
      </c>
      <c r="N102" s="35"/>
      <c r="O102" s="35">
        <v>8591828</v>
      </c>
      <c r="P102" s="35"/>
      <c r="Q102" s="35">
        <v>3518545</v>
      </c>
      <c r="R102" s="35"/>
      <c r="S102" s="35">
        <v>0</v>
      </c>
      <c r="T102" s="35"/>
      <c r="U102" s="35">
        <v>18419670</v>
      </c>
      <c r="V102" s="35"/>
      <c r="W102" s="35">
        <f t="shared" si="15"/>
        <v>21938215</v>
      </c>
      <c r="X102" s="35"/>
      <c r="Y102" s="35" t="s">
        <v>131</v>
      </c>
      <c r="Z102" s="55"/>
      <c r="AA102" s="35" t="s">
        <v>13</v>
      </c>
      <c r="AB102" s="35"/>
      <c r="AC102" s="35">
        <v>18466112</v>
      </c>
      <c r="AD102" s="35"/>
      <c r="AE102" s="35">
        <f>18219985-434521</f>
        <v>17785464</v>
      </c>
      <c r="AF102" s="35"/>
      <c r="AG102" s="35">
        <v>434521</v>
      </c>
      <c r="AH102" s="35"/>
      <c r="AI102" s="45">
        <f t="shared" si="18"/>
        <v>246127</v>
      </c>
      <c r="AJ102" s="45"/>
      <c r="AK102" s="35">
        <v>-141941</v>
      </c>
      <c r="AL102" s="35"/>
      <c r="AM102" s="35">
        <v>0</v>
      </c>
      <c r="AN102" s="35"/>
      <c r="AO102" s="35">
        <v>0</v>
      </c>
      <c r="AP102" s="35"/>
      <c r="AQ102" s="35">
        <v>0</v>
      </c>
      <c r="AR102" s="35"/>
      <c r="AS102" s="45">
        <f t="shared" ref="AS102:AS165" si="20">+AI102+AK102+AM102-AO102+AQ102</f>
        <v>104186</v>
      </c>
      <c r="AT102" s="45"/>
      <c r="AU102" s="35">
        <v>0</v>
      </c>
      <c r="AV102" s="35"/>
      <c r="AW102" s="35">
        <v>0</v>
      </c>
      <c r="AX102" s="35"/>
      <c r="AY102" s="35">
        <f t="shared" si="16"/>
        <v>16666212</v>
      </c>
      <c r="AZ102" s="35"/>
      <c r="BA102" s="35" t="s">
        <v>131</v>
      </c>
      <c r="BB102" s="55"/>
      <c r="BC102" s="35" t="s">
        <v>13</v>
      </c>
      <c r="BD102" s="35"/>
      <c r="BE102" s="35">
        <f>2405000+115000</f>
        <v>2520000</v>
      </c>
      <c r="BF102" s="35"/>
      <c r="BG102" s="35"/>
      <c r="BH102" s="35"/>
      <c r="BI102" s="35">
        <v>0</v>
      </c>
      <c r="BJ102" s="35"/>
      <c r="BK102" s="35">
        <f>372375+284816</f>
        <v>657191</v>
      </c>
      <c r="BL102" s="35"/>
      <c r="BM102" s="35">
        <f t="shared" si="19"/>
        <v>3177191</v>
      </c>
      <c r="BN102" s="54" t="s">
        <v>347</v>
      </c>
    </row>
    <row r="103" spans="1:67" ht="12.75" hidden="1" customHeight="1">
      <c r="A103" s="35" t="s">
        <v>38</v>
      </c>
      <c r="C103" s="35" t="s">
        <v>132</v>
      </c>
      <c r="D103" s="35"/>
      <c r="E103" s="35">
        <f t="shared" ref="E103:E166" si="21">I103-G103</f>
        <v>0</v>
      </c>
      <c r="F103" s="35"/>
      <c r="G103" s="35">
        <v>0</v>
      </c>
      <c r="H103" s="35"/>
      <c r="I103" s="35">
        <v>0</v>
      </c>
      <c r="J103" s="35"/>
      <c r="K103" s="35">
        <f t="shared" ref="K103:K166" si="22">O103-M103</f>
        <v>0</v>
      </c>
      <c r="L103" s="35"/>
      <c r="M103" s="35">
        <v>0</v>
      </c>
      <c r="N103" s="35"/>
      <c r="O103" s="35">
        <v>0</v>
      </c>
      <c r="P103" s="35"/>
      <c r="Q103" s="35">
        <v>0</v>
      </c>
      <c r="R103" s="35"/>
      <c r="S103" s="35">
        <v>0</v>
      </c>
      <c r="T103" s="35"/>
      <c r="U103" s="35">
        <v>0</v>
      </c>
      <c r="V103" s="35"/>
      <c r="W103" s="35">
        <f t="shared" ref="W103:W166" si="23">SUM(Q103:U103)</f>
        <v>0</v>
      </c>
      <c r="X103" s="35"/>
      <c r="Y103" s="35" t="s">
        <v>38</v>
      </c>
      <c r="Z103" s="55"/>
      <c r="AA103" s="35" t="s">
        <v>132</v>
      </c>
      <c r="AB103" s="35"/>
      <c r="AC103" s="35">
        <v>0</v>
      </c>
      <c r="AD103" s="35"/>
      <c r="AE103" s="35">
        <v>0</v>
      </c>
      <c r="AF103" s="35"/>
      <c r="AG103" s="35">
        <v>0</v>
      </c>
      <c r="AH103" s="35"/>
      <c r="AI103" s="45">
        <f t="shared" si="18"/>
        <v>0</v>
      </c>
      <c r="AJ103" s="45"/>
      <c r="AK103" s="35">
        <v>0</v>
      </c>
      <c r="AL103" s="35"/>
      <c r="AM103" s="35">
        <v>0</v>
      </c>
      <c r="AN103" s="35"/>
      <c r="AO103" s="35">
        <v>0</v>
      </c>
      <c r="AP103" s="35"/>
      <c r="AQ103" s="35">
        <v>0</v>
      </c>
      <c r="AR103" s="35"/>
      <c r="AS103" s="45">
        <f t="shared" si="20"/>
        <v>0</v>
      </c>
      <c r="AT103" s="45"/>
      <c r="AU103" s="35">
        <v>0</v>
      </c>
      <c r="AV103" s="35"/>
      <c r="AW103" s="35">
        <v>0</v>
      </c>
      <c r="AX103" s="35"/>
      <c r="AY103" s="35">
        <f t="shared" ref="AY103:AY166" si="24">+E103-K103</f>
        <v>0</v>
      </c>
      <c r="AZ103" s="35"/>
      <c r="BA103" s="35" t="s">
        <v>38</v>
      </c>
      <c r="BB103" s="55"/>
      <c r="BC103" s="35" t="s">
        <v>132</v>
      </c>
      <c r="BD103" s="35"/>
      <c r="BE103" s="35">
        <v>0</v>
      </c>
      <c r="BF103" s="35"/>
      <c r="BG103" s="35"/>
      <c r="BH103" s="35"/>
      <c r="BI103" s="35">
        <v>0</v>
      </c>
      <c r="BJ103" s="35"/>
      <c r="BK103" s="35">
        <v>0</v>
      </c>
      <c r="BL103" s="35"/>
      <c r="BM103" s="35">
        <f t="shared" si="19"/>
        <v>0</v>
      </c>
      <c r="BN103" s="54" t="s">
        <v>347</v>
      </c>
    </row>
    <row r="104" spans="1:67" ht="12.75" hidden="1" customHeight="1">
      <c r="A104" s="35" t="s">
        <v>133</v>
      </c>
      <c r="C104" s="35" t="s">
        <v>27</v>
      </c>
      <c r="D104" s="35"/>
      <c r="E104" s="35">
        <f t="shared" si="21"/>
        <v>0</v>
      </c>
      <c r="F104" s="35"/>
      <c r="G104" s="35">
        <v>0</v>
      </c>
      <c r="H104" s="35"/>
      <c r="I104" s="35">
        <v>0</v>
      </c>
      <c r="J104" s="35"/>
      <c r="K104" s="35">
        <f t="shared" si="22"/>
        <v>0</v>
      </c>
      <c r="L104" s="35"/>
      <c r="M104" s="35">
        <v>0</v>
      </c>
      <c r="N104" s="35"/>
      <c r="O104" s="35">
        <v>0</v>
      </c>
      <c r="P104" s="35"/>
      <c r="Q104" s="35">
        <v>0</v>
      </c>
      <c r="R104" s="35"/>
      <c r="S104" s="35">
        <v>0</v>
      </c>
      <c r="T104" s="35"/>
      <c r="U104" s="35">
        <v>0</v>
      </c>
      <c r="V104" s="35"/>
      <c r="W104" s="35">
        <f t="shared" si="23"/>
        <v>0</v>
      </c>
      <c r="X104" s="35"/>
      <c r="Y104" s="35" t="s">
        <v>133</v>
      </c>
      <c r="Z104" s="55"/>
      <c r="AA104" s="35" t="s">
        <v>27</v>
      </c>
      <c r="AB104" s="35"/>
      <c r="AC104" s="35">
        <v>0</v>
      </c>
      <c r="AD104" s="35"/>
      <c r="AE104" s="35">
        <v>0</v>
      </c>
      <c r="AF104" s="35"/>
      <c r="AG104" s="35">
        <v>0</v>
      </c>
      <c r="AH104" s="35"/>
      <c r="AI104" s="45">
        <f t="shared" si="18"/>
        <v>0</v>
      </c>
      <c r="AJ104" s="45"/>
      <c r="AK104" s="35">
        <v>0</v>
      </c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si="20"/>
        <v>0</v>
      </c>
      <c r="AT104" s="45"/>
      <c r="AU104" s="35">
        <v>0</v>
      </c>
      <c r="AV104" s="35"/>
      <c r="AW104" s="35">
        <v>0</v>
      </c>
      <c r="AX104" s="35"/>
      <c r="AY104" s="35">
        <f t="shared" si="24"/>
        <v>0</v>
      </c>
      <c r="AZ104" s="35"/>
      <c r="BA104" s="35" t="s">
        <v>133</v>
      </c>
      <c r="BB104" s="55"/>
      <c r="BC104" s="35" t="s">
        <v>27</v>
      </c>
      <c r="BD104" s="35"/>
      <c r="BE104" s="35">
        <v>0</v>
      </c>
      <c r="BF104" s="35"/>
      <c r="BG104" s="35"/>
      <c r="BH104" s="35"/>
      <c r="BI104" s="35">
        <v>0</v>
      </c>
      <c r="BJ104" s="35"/>
      <c r="BK104" s="35">
        <v>0</v>
      </c>
      <c r="BL104" s="35"/>
      <c r="BM104" s="35">
        <f t="shared" si="19"/>
        <v>0</v>
      </c>
      <c r="BN104" s="54" t="s">
        <v>347</v>
      </c>
    </row>
    <row r="105" spans="1:67" ht="12.75" hidden="1" customHeight="1">
      <c r="A105" s="35" t="s">
        <v>134</v>
      </c>
      <c r="C105" s="35" t="s">
        <v>135</v>
      </c>
      <c r="D105" s="35"/>
      <c r="E105" s="35">
        <f t="shared" si="21"/>
        <v>0</v>
      </c>
      <c r="F105" s="35"/>
      <c r="G105" s="35">
        <v>0</v>
      </c>
      <c r="H105" s="35"/>
      <c r="I105" s="35">
        <v>0</v>
      </c>
      <c r="J105" s="35"/>
      <c r="K105" s="35">
        <f t="shared" si="22"/>
        <v>0</v>
      </c>
      <c r="L105" s="35"/>
      <c r="M105" s="35">
        <v>0</v>
      </c>
      <c r="N105" s="35"/>
      <c r="O105" s="35">
        <v>0</v>
      </c>
      <c r="P105" s="35"/>
      <c r="Q105" s="35">
        <v>0</v>
      </c>
      <c r="R105" s="35"/>
      <c r="S105" s="35">
        <v>0</v>
      </c>
      <c r="T105" s="35"/>
      <c r="U105" s="35">
        <v>0</v>
      </c>
      <c r="V105" s="35"/>
      <c r="W105" s="35">
        <f t="shared" si="23"/>
        <v>0</v>
      </c>
      <c r="X105" s="35"/>
      <c r="Y105" s="35" t="s">
        <v>134</v>
      </c>
      <c r="Z105" s="55"/>
      <c r="AA105" s="35" t="s">
        <v>135</v>
      </c>
      <c r="AB105" s="35"/>
      <c r="AC105" s="35">
        <v>0</v>
      </c>
      <c r="AD105" s="35"/>
      <c r="AE105" s="35">
        <v>0</v>
      </c>
      <c r="AF105" s="35"/>
      <c r="AG105" s="35">
        <v>0</v>
      </c>
      <c r="AH105" s="35"/>
      <c r="AI105" s="45">
        <f t="shared" si="18"/>
        <v>0</v>
      </c>
      <c r="AJ105" s="45"/>
      <c r="AK105" s="35">
        <v>0</v>
      </c>
      <c r="AL105" s="35"/>
      <c r="AM105" s="35">
        <v>0</v>
      </c>
      <c r="AN105" s="35"/>
      <c r="AO105" s="35">
        <v>0</v>
      </c>
      <c r="AP105" s="35"/>
      <c r="AQ105" s="35">
        <v>0</v>
      </c>
      <c r="AR105" s="35"/>
      <c r="AS105" s="45">
        <f t="shared" si="20"/>
        <v>0</v>
      </c>
      <c r="AT105" s="45"/>
      <c r="AU105" s="35">
        <v>0</v>
      </c>
      <c r="AV105" s="35"/>
      <c r="AW105" s="35">
        <v>0</v>
      </c>
      <c r="AX105" s="35"/>
      <c r="AY105" s="35">
        <f t="shared" si="24"/>
        <v>0</v>
      </c>
      <c r="AZ105" s="35"/>
      <c r="BA105" s="35" t="s">
        <v>134</v>
      </c>
      <c r="BB105" s="55"/>
      <c r="BC105" s="35" t="s">
        <v>135</v>
      </c>
      <c r="BD105" s="35"/>
      <c r="BE105" s="35">
        <v>0</v>
      </c>
      <c r="BF105" s="35"/>
      <c r="BG105" s="35"/>
      <c r="BH105" s="35"/>
      <c r="BI105" s="35">
        <v>0</v>
      </c>
      <c r="BJ105" s="35"/>
      <c r="BK105" s="35">
        <v>0</v>
      </c>
      <c r="BL105" s="35"/>
      <c r="BM105" s="35">
        <f t="shared" si="19"/>
        <v>0</v>
      </c>
      <c r="BN105" s="54" t="s">
        <v>347</v>
      </c>
    </row>
    <row r="106" spans="1:67" ht="12.75" customHeight="1">
      <c r="A106" s="35" t="s">
        <v>136</v>
      </c>
      <c r="C106" s="35" t="s">
        <v>136</v>
      </c>
      <c r="D106" s="35"/>
      <c r="E106" s="35">
        <f t="shared" si="21"/>
        <v>13191618</v>
      </c>
      <c r="F106" s="35"/>
      <c r="G106" s="35">
        <v>8704208</v>
      </c>
      <c r="H106" s="35"/>
      <c r="I106" s="35">
        <v>21895826</v>
      </c>
      <c r="J106" s="35"/>
      <c r="K106" s="35">
        <f t="shared" si="22"/>
        <v>697130</v>
      </c>
      <c r="L106" s="35"/>
      <c r="M106" s="35">
        <v>4091393</v>
      </c>
      <c r="N106" s="35"/>
      <c r="O106" s="35">
        <v>4788523</v>
      </c>
      <c r="P106" s="35"/>
      <c r="Q106" s="35">
        <v>3702878</v>
      </c>
      <c r="R106" s="35"/>
      <c r="S106" s="35">
        <v>0</v>
      </c>
      <c r="T106" s="35"/>
      <c r="U106" s="35">
        <v>13404425</v>
      </c>
      <c r="V106" s="35"/>
      <c r="W106" s="35">
        <f t="shared" si="23"/>
        <v>17107303</v>
      </c>
      <c r="X106" s="35"/>
      <c r="Y106" s="35" t="s">
        <v>136</v>
      </c>
      <c r="Z106" s="55"/>
      <c r="AA106" s="35" t="s">
        <v>136</v>
      </c>
      <c r="AB106" s="35"/>
      <c r="AC106" s="35">
        <v>16083311</v>
      </c>
      <c r="AD106" s="35"/>
      <c r="AE106" s="35">
        <f>15045383-267239</f>
        <v>14778144</v>
      </c>
      <c r="AF106" s="35"/>
      <c r="AG106" s="35">
        <v>267239</v>
      </c>
      <c r="AH106" s="35"/>
      <c r="AI106" s="45">
        <f t="shared" si="18"/>
        <v>1037928</v>
      </c>
      <c r="AJ106" s="45"/>
      <c r="AK106" s="35">
        <v>-190738</v>
      </c>
      <c r="AL106" s="35"/>
      <c r="AM106" s="35">
        <v>0</v>
      </c>
      <c r="AN106" s="35"/>
      <c r="AO106" s="35">
        <v>0</v>
      </c>
      <c r="AP106" s="35"/>
      <c r="AQ106" s="35">
        <v>0</v>
      </c>
      <c r="AR106" s="35"/>
      <c r="AS106" s="45">
        <f t="shared" si="20"/>
        <v>847190</v>
      </c>
      <c r="AT106" s="45"/>
      <c r="AU106" s="35">
        <v>0</v>
      </c>
      <c r="AV106" s="35"/>
      <c r="AW106" s="35">
        <v>0</v>
      </c>
      <c r="AX106" s="35"/>
      <c r="AY106" s="35">
        <f t="shared" si="24"/>
        <v>12494488</v>
      </c>
      <c r="AZ106" s="35"/>
      <c r="BA106" s="35" t="s">
        <v>136</v>
      </c>
      <c r="BB106" s="55"/>
      <c r="BC106" s="35" t="s">
        <v>136</v>
      </c>
      <c r="BD106" s="35"/>
      <c r="BE106" s="35">
        <v>0</v>
      </c>
      <c r="BF106" s="35"/>
      <c r="BG106" s="35">
        <f>3925000+305000</f>
        <v>4230000</v>
      </c>
      <c r="BH106" s="35"/>
      <c r="BI106" s="35">
        <v>0</v>
      </c>
      <c r="BJ106" s="35"/>
      <c r="BK106" s="35">
        <f>166393+59192</f>
        <v>225585</v>
      </c>
      <c r="BL106" s="35"/>
      <c r="BM106" s="35">
        <f t="shared" si="19"/>
        <v>4455585</v>
      </c>
      <c r="BN106" s="54" t="s">
        <v>347</v>
      </c>
    </row>
    <row r="107" spans="1:67" ht="12.75" hidden="1" customHeight="1">
      <c r="A107" s="35" t="s">
        <v>137</v>
      </c>
      <c r="C107" s="35" t="s">
        <v>22</v>
      </c>
      <c r="D107" s="35"/>
      <c r="E107" s="35">
        <f t="shared" si="21"/>
        <v>0</v>
      </c>
      <c r="F107" s="35"/>
      <c r="G107" s="35">
        <v>0</v>
      </c>
      <c r="H107" s="35"/>
      <c r="I107" s="35">
        <v>0</v>
      </c>
      <c r="J107" s="35"/>
      <c r="K107" s="35">
        <f t="shared" si="22"/>
        <v>0</v>
      </c>
      <c r="L107" s="35"/>
      <c r="M107" s="35">
        <v>0</v>
      </c>
      <c r="N107" s="35"/>
      <c r="O107" s="35">
        <v>0</v>
      </c>
      <c r="P107" s="35"/>
      <c r="Q107" s="35">
        <v>0</v>
      </c>
      <c r="R107" s="35"/>
      <c r="S107" s="35">
        <v>0</v>
      </c>
      <c r="T107" s="35"/>
      <c r="U107" s="35">
        <v>0</v>
      </c>
      <c r="V107" s="35"/>
      <c r="W107" s="35">
        <f t="shared" si="23"/>
        <v>0</v>
      </c>
      <c r="X107" s="35"/>
      <c r="Y107" s="35" t="s">
        <v>137</v>
      </c>
      <c r="Z107" s="55"/>
      <c r="AA107" s="35" t="s">
        <v>22</v>
      </c>
      <c r="AB107" s="35"/>
      <c r="AC107" s="35">
        <v>0</v>
      </c>
      <c r="AD107" s="35"/>
      <c r="AE107" s="35">
        <v>0</v>
      </c>
      <c r="AF107" s="35"/>
      <c r="AG107" s="35">
        <v>0</v>
      </c>
      <c r="AH107" s="35"/>
      <c r="AI107" s="45">
        <f t="shared" si="18"/>
        <v>0</v>
      </c>
      <c r="AJ107" s="45"/>
      <c r="AK107" s="35">
        <v>0</v>
      </c>
      <c r="AL107" s="35"/>
      <c r="AM107" s="35">
        <v>0</v>
      </c>
      <c r="AN107" s="35"/>
      <c r="AO107" s="35">
        <v>0</v>
      </c>
      <c r="AP107" s="35"/>
      <c r="AQ107" s="35">
        <v>0</v>
      </c>
      <c r="AR107" s="35"/>
      <c r="AS107" s="45">
        <f t="shared" si="20"/>
        <v>0</v>
      </c>
      <c r="AT107" s="45"/>
      <c r="AU107" s="35">
        <v>0</v>
      </c>
      <c r="AV107" s="35"/>
      <c r="AW107" s="35">
        <v>0</v>
      </c>
      <c r="AX107" s="35"/>
      <c r="AY107" s="35">
        <f t="shared" si="24"/>
        <v>0</v>
      </c>
      <c r="AZ107" s="35"/>
      <c r="BA107" s="35" t="s">
        <v>137</v>
      </c>
      <c r="BB107" s="55"/>
      <c r="BC107" s="35" t="s">
        <v>22</v>
      </c>
      <c r="BD107" s="35"/>
      <c r="BE107" s="35">
        <v>0</v>
      </c>
      <c r="BF107" s="35"/>
      <c r="BG107" s="35"/>
      <c r="BH107" s="35"/>
      <c r="BI107" s="35">
        <v>0</v>
      </c>
      <c r="BJ107" s="35"/>
      <c r="BK107" s="35">
        <v>0</v>
      </c>
      <c r="BL107" s="35"/>
      <c r="BM107" s="35">
        <f t="shared" si="19"/>
        <v>0</v>
      </c>
      <c r="BN107" s="54" t="s">
        <v>347</v>
      </c>
    </row>
    <row r="108" spans="1:67" ht="12.75" hidden="1" customHeight="1">
      <c r="A108" s="35" t="s">
        <v>138</v>
      </c>
      <c r="C108" s="35" t="s">
        <v>139</v>
      </c>
      <c r="D108" s="35"/>
      <c r="E108" s="35">
        <f t="shared" si="21"/>
        <v>0</v>
      </c>
      <c r="F108" s="35"/>
      <c r="G108" s="35">
        <v>0</v>
      </c>
      <c r="H108" s="35"/>
      <c r="I108" s="35">
        <v>0</v>
      </c>
      <c r="J108" s="35"/>
      <c r="K108" s="35">
        <f t="shared" si="22"/>
        <v>0</v>
      </c>
      <c r="L108" s="35"/>
      <c r="M108" s="35">
        <v>0</v>
      </c>
      <c r="N108" s="35"/>
      <c r="O108" s="35">
        <v>0</v>
      </c>
      <c r="P108" s="35"/>
      <c r="Q108" s="35">
        <v>0</v>
      </c>
      <c r="R108" s="35"/>
      <c r="S108" s="35">
        <v>0</v>
      </c>
      <c r="T108" s="35"/>
      <c r="U108" s="35">
        <v>0</v>
      </c>
      <c r="V108" s="35"/>
      <c r="W108" s="35">
        <f t="shared" si="23"/>
        <v>0</v>
      </c>
      <c r="X108" s="35"/>
      <c r="Y108" s="35" t="s">
        <v>138</v>
      </c>
      <c r="Z108" s="55"/>
      <c r="AA108" s="35" t="s">
        <v>139</v>
      </c>
      <c r="AB108" s="35"/>
      <c r="AC108" s="35">
        <v>0</v>
      </c>
      <c r="AD108" s="35"/>
      <c r="AE108" s="35">
        <v>0</v>
      </c>
      <c r="AF108" s="35"/>
      <c r="AG108" s="35">
        <v>0</v>
      </c>
      <c r="AH108" s="35"/>
      <c r="AI108" s="45">
        <f t="shared" si="18"/>
        <v>0</v>
      </c>
      <c r="AJ108" s="45"/>
      <c r="AK108" s="35">
        <v>0</v>
      </c>
      <c r="AL108" s="35"/>
      <c r="AM108" s="35">
        <v>0</v>
      </c>
      <c r="AN108" s="35"/>
      <c r="AO108" s="35">
        <v>0</v>
      </c>
      <c r="AP108" s="35"/>
      <c r="AQ108" s="35">
        <v>0</v>
      </c>
      <c r="AR108" s="35"/>
      <c r="AS108" s="45">
        <f t="shared" si="20"/>
        <v>0</v>
      </c>
      <c r="AT108" s="45"/>
      <c r="AU108" s="35">
        <v>0</v>
      </c>
      <c r="AV108" s="35"/>
      <c r="AW108" s="35">
        <v>0</v>
      </c>
      <c r="AX108" s="35"/>
      <c r="AY108" s="35">
        <f t="shared" si="24"/>
        <v>0</v>
      </c>
      <c r="AZ108" s="35"/>
      <c r="BA108" s="35" t="s">
        <v>138</v>
      </c>
      <c r="BB108" s="55"/>
      <c r="BC108" s="35" t="s">
        <v>139</v>
      </c>
      <c r="BD108" s="35"/>
      <c r="BE108" s="35">
        <v>0</v>
      </c>
      <c r="BF108" s="35"/>
      <c r="BG108" s="35"/>
      <c r="BH108" s="35"/>
      <c r="BI108" s="35">
        <v>0</v>
      </c>
      <c r="BJ108" s="35"/>
      <c r="BK108" s="35">
        <v>0</v>
      </c>
      <c r="BL108" s="35"/>
      <c r="BM108" s="35">
        <f t="shared" si="19"/>
        <v>0</v>
      </c>
      <c r="BN108" s="54" t="s">
        <v>347</v>
      </c>
    </row>
    <row r="109" spans="1:67" ht="12.75" hidden="1" customHeight="1">
      <c r="A109" s="35" t="s">
        <v>140</v>
      </c>
      <c r="C109" s="35" t="s">
        <v>66</v>
      </c>
      <c r="D109" s="35"/>
      <c r="E109" s="35">
        <f t="shared" si="21"/>
        <v>0</v>
      </c>
      <c r="F109" s="35"/>
      <c r="G109" s="35">
        <v>0</v>
      </c>
      <c r="H109" s="35"/>
      <c r="I109" s="35">
        <v>0</v>
      </c>
      <c r="J109" s="35"/>
      <c r="K109" s="35">
        <f t="shared" si="22"/>
        <v>0</v>
      </c>
      <c r="L109" s="35"/>
      <c r="M109" s="35">
        <v>0</v>
      </c>
      <c r="N109" s="35"/>
      <c r="O109" s="35">
        <v>0</v>
      </c>
      <c r="P109" s="35"/>
      <c r="Q109" s="35">
        <v>0</v>
      </c>
      <c r="R109" s="35"/>
      <c r="S109" s="35">
        <v>0</v>
      </c>
      <c r="T109" s="35"/>
      <c r="U109" s="35">
        <v>0</v>
      </c>
      <c r="V109" s="35"/>
      <c r="W109" s="35">
        <f t="shared" si="23"/>
        <v>0</v>
      </c>
      <c r="X109" s="35"/>
      <c r="Y109" s="35" t="s">
        <v>140</v>
      </c>
      <c r="Z109" s="55"/>
      <c r="AA109" s="35" t="s">
        <v>66</v>
      </c>
      <c r="AB109" s="35"/>
      <c r="AC109" s="35">
        <v>0</v>
      </c>
      <c r="AD109" s="35"/>
      <c r="AE109" s="35">
        <v>0</v>
      </c>
      <c r="AF109" s="35"/>
      <c r="AG109" s="35">
        <v>0</v>
      </c>
      <c r="AH109" s="35"/>
      <c r="AI109" s="45">
        <f t="shared" si="18"/>
        <v>0</v>
      </c>
      <c r="AJ109" s="45"/>
      <c r="AK109" s="35">
        <v>0</v>
      </c>
      <c r="AL109" s="35"/>
      <c r="AM109" s="35">
        <v>0</v>
      </c>
      <c r="AN109" s="35"/>
      <c r="AO109" s="35">
        <v>0</v>
      </c>
      <c r="AP109" s="35"/>
      <c r="AQ109" s="35">
        <v>0</v>
      </c>
      <c r="AR109" s="35"/>
      <c r="AS109" s="45">
        <f t="shared" si="20"/>
        <v>0</v>
      </c>
      <c r="AT109" s="45"/>
      <c r="AU109" s="35">
        <v>0</v>
      </c>
      <c r="AV109" s="35"/>
      <c r="AW109" s="35">
        <v>0</v>
      </c>
      <c r="AX109" s="35"/>
      <c r="AY109" s="35">
        <f t="shared" si="24"/>
        <v>0</v>
      </c>
      <c r="AZ109" s="35"/>
      <c r="BA109" s="35" t="s">
        <v>140</v>
      </c>
      <c r="BB109" s="55"/>
      <c r="BC109" s="35" t="s">
        <v>66</v>
      </c>
      <c r="BD109" s="35"/>
      <c r="BE109" s="35">
        <v>0</v>
      </c>
      <c r="BF109" s="35"/>
      <c r="BG109" s="35"/>
      <c r="BH109" s="35"/>
      <c r="BI109" s="35">
        <v>0</v>
      </c>
      <c r="BJ109" s="35"/>
      <c r="BK109" s="35">
        <v>0</v>
      </c>
      <c r="BL109" s="35"/>
      <c r="BM109" s="35">
        <f t="shared" si="19"/>
        <v>0</v>
      </c>
      <c r="BN109" s="54" t="s">
        <v>347</v>
      </c>
    </row>
    <row r="110" spans="1:67" ht="12.75" hidden="1" customHeight="1">
      <c r="A110" s="35" t="s">
        <v>141</v>
      </c>
      <c r="C110" s="35" t="s">
        <v>27</v>
      </c>
      <c r="D110" s="35"/>
      <c r="E110" s="35">
        <f t="shared" si="21"/>
        <v>0</v>
      </c>
      <c r="F110" s="35"/>
      <c r="G110" s="35">
        <v>0</v>
      </c>
      <c r="H110" s="35"/>
      <c r="I110" s="35">
        <v>0</v>
      </c>
      <c r="J110" s="35"/>
      <c r="K110" s="35">
        <f t="shared" si="22"/>
        <v>0</v>
      </c>
      <c r="L110" s="35"/>
      <c r="M110" s="35">
        <v>0</v>
      </c>
      <c r="N110" s="35"/>
      <c r="O110" s="35">
        <v>0</v>
      </c>
      <c r="P110" s="35"/>
      <c r="Q110" s="35">
        <v>0</v>
      </c>
      <c r="R110" s="35"/>
      <c r="S110" s="35">
        <v>0</v>
      </c>
      <c r="T110" s="35"/>
      <c r="U110" s="35">
        <v>0</v>
      </c>
      <c r="V110" s="35"/>
      <c r="W110" s="35">
        <f t="shared" si="23"/>
        <v>0</v>
      </c>
      <c r="X110" s="35"/>
      <c r="Y110" s="35" t="s">
        <v>141</v>
      </c>
      <c r="Z110" s="55"/>
      <c r="AA110" s="35" t="s">
        <v>27</v>
      </c>
      <c r="AB110" s="35"/>
      <c r="AC110" s="35">
        <v>0</v>
      </c>
      <c r="AD110" s="35"/>
      <c r="AE110" s="35">
        <v>0</v>
      </c>
      <c r="AF110" s="35"/>
      <c r="AG110" s="35">
        <v>0</v>
      </c>
      <c r="AH110" s="35"/>
      <c r="AI110" s="45">
        <f t="shared" si="18"/>
        <v>0</v>
      </c>
      <c r="AJ110" s="45"/>
      <c r="AK110" s="35">
        <v>0</v>
      </c>
      <c r="AL110" s="35"/>
      <c r="AM110" s="35">
        <v>0</v>
      </c>
      <c r="AN110" s="35"/>
      <c r="AO110" s="35">
        <v>0</v>
      </c>
      <c r="AP110" s="35"/>
      <c r="AQ110" s="35">
        <v>0</v>
      </c>
      <c r="AR110" s="35"/>
      <c r="AS110" s="45">
        <f t="shared" si="20"/>
        <v>0</v>
      </c>
      <c r="AT110" s="45"/>
      <c r="AU110" s="35">
        <v>0</v>
      </c>
      <c r="AV110" s="35"/>
      <c r="AW110" s="35">
        <v>0</v>
      </c>
      <c r="AX110" s="35"/>
      <c r="AY110" s="35">
        <f t="shared" si="24"/>
        <v>0</v>
      </c>
      <c r="AZ110" s="35"/>
      <c r="BA110" s="35" t="s">
        <v>141</v>
      </c>
      <c r="BB110" s="55"/>
      <c r="BC110" s="35" t="s">
        <v>27</v>
      </c>
      <c r="BD110" s="35"/>
      <c r="BE110" s="35">
        <v>0</v>
      </c>
      <c r="BF110" s="35"/>
      <c r="BG110" s="35"/>
      <c r="BH110" s="35"/>
      <c r="BI110" s="35">
        <v>0</v>
      </c>
      <c r="BJ110" s="35"/>
      <c r="BK110" s="35">
        <v>0</v>
      </c>
      <c r="BL110" s="35"/>
      <c r="BM110" s="35">
        <f t="shared" si="19"/>
        <v>0</v>
      </c>
      <c r="BN110" s="54" t="s">
        <v>347</v>
      </c>
      <c r="BO110" s="55" t="s">
        <v>372</v>
      </c>
    </row>
    <row r="111" spans="1:67" ht="12.75" hidden="1" customHeight="1">
      <c r="A111" s="35" t="s">
        <v>142</v>
      </c>
      <c r="C111" s="35" t="s">
        <v>102</v>
      </c>
      <c r="D111" s="35"/>
      <c r="E111" s="35">
        <f t="shared" si="21"/>
        <v>0</v>
      </c>
      <c r="F111" s="35"/>
      <c r="G111" s="35">
        <v>0</v>
      </c>
      <c r="H111" s="35"/>
      <c r="I111" s="35">
        <v>0</v>
      </c>
      <c r="J111" s="35"/>
      <c r="K111" s="35">
        <f t="shared" si="22"/>
        <v>0</v>
      </c>
      <c r="L111" s="35"/>
      <c r="M111" s="35">
        <v>0</v>
      </c>
      <c r="N111" s="35"/>
      <c r="O111" s="35">
        <v>0</v>
      </c>
      <c r="P111" s="35"/>
      <c r="Q111" s="35">
        <v>0</v>
      </c>
      <c r="R111" s="35"/>
      <c r="S111" s="35">
        <v>0</v>
      </c>
      <c r="T111" s="35"/>
      <c r="U111" s="35">
        <v>0</v>
      </c>
      <c r="V111" s="35"/>
      <c r="W111" s="35">
        <f t="shared" si="23"/>
        <v>0</v>
      </c>
      <c r="X111" s="35"/>
      <c r="Y111" s="35" t="s">
        <v>142</v>
      </c>
      <c r="Z111" s="55"/>
      <c r="AA111" s="35" t="s">
        <v>102</v>
      </c>
      <c r="AB111" s="35"/>
      <c r="AC111" s="35">
        <v>0</v>
      </c>
      <c r="AD111" s="35"/>
      <c r="AE111" s="35">
        <v>0</v>
      </c>
      <c r="AF111" s="35"/>
      <c r="AG111" s="35">
        <v>0</v>
      </c>
      <c r="AH111" s="35"/>
      <c r="AI111" s="45">
        <f t="shared" si="18"/>
        <v>0</v>
      </c>
      <c r="AJ111" s="45"/>
      <c r="AK111" s="35">
        <v>0</v>
      </c>
      <c r="AL111" s="35"/>
      <c r="AM111" s="35">
        <v>0</v>
      </c>
      <c r="AN111" s="35"/>
      <c r="AO111" s="35">
        <v>0</v>
      </c>
      <c r="AP111" s="35"/>
      <c r="AQ111" s="35">
        <v>0</v>
      </c>
      <c r="AR111" s="35"/>
      <c r="AS111" s="45">
        <f t="shared" si="20"/>
        <v>0</v>
      </c>
      <c r="AT111" s="45"/>
      <c r="AU111" s="35">
        <v>0</v>
      </c>
      <c r="AV111" s="35"/>
      <c r="AW111" s="35">
        <v>0</v>
      </c>
      <c r="AX111" s="35"/>
      <c r="AY111" s="35">
        <f t="shared" si="24"/>
        <v>0</v>
      </c>
      <c r="AZ111" s="35"/>
      <c r="BA111" s="35" t="s">
        <v>142</v>
      </c>
      <c r="BB111" s="55"/>
      <c r="BC111" s="35" t="s">
        <v>102</v>
      </c>
      <c r="BD111" s="35"/>
      <c r="BE111" s="35">
        <v>0</v>
      </c>
      <c r="BF111" s="35"/>
      <c r="BG111" s="35"/>
      <c r="BH111" s="35"/>
      <c r="BI111" s="35">
        <v>0</v>
      </c>
      <c r="BJ111" s="35"/>
      <c r="BK111" s="35">
        <v>0</v>
      </c>
      <c r="BL111" s="35"/>
      <c r="BM111" s="35">
        <f t="shared" si="19"/>
        <v>0</v>
      </c>
      <c r="BN111" s="54" t="s">
        <v>347</v>
      </c>
      <c r="BO111" s="55" t="s">
        <v>372</v>
      </c>
    </row>
    <row r="112" spans="1:67" ht="12.75" customHeight="1">
      <c r="A112" s="35" t="s">
        <v>143</v>
      </c>
      <c r="C112" s="35" t="s">
        <v>111</v>
      </c>
      <c r="D112" s="35"/>
      <c r="E112" s="35">
        <f t="shared" si="21"/>
        <v>22214173</v>
      </c>
      <c r="F112" s="35"/>
      <c r="G112" s="35">
        <v>20444123</v>
      </c>
      <c r="H112" s="35"/>
      <c r="I112" s="35">
        <v>42658296</v>
      </c>
      <c r="J112" s="35"/>
      <c r="K112" s="35">
        <f t="shared" si="22"/>
        <v>3650782</v>
      </c>
      <c r="L112" s="35"/>
      <c r="M112" s="35">
        <v>17236336</v>
      </c>
      <c r="N112" s="35"/>
      <c r="O112" s="35">
        <v>20887118</v>
      </c>
      <c r="P112" s="35"/>
      <c r="Q112" s="35">
        <v>-144507</v>
      </c>
      <c r="R112" s="35"/>
      <c r="S112" s="35">
        <f>492500+4302418</f>
        <v>4794918</v>
      </c>
      <c r="T112" s="35"/>
      <c r="U112" s="35">
        <v>17130767</v>
      </c>
      <c r="V112" s="35"/>
      <c r="W112" s="35">
        <f t="shared" si="23"/>
        <v>21781178</v>
      </c>
      <c r="X112" s="35"/>
      <c r="Y112" s="35" t="s">
        <v>143</v>
      </c>
      <c r="Z112" s="55"/>
      <c r="AA112" s="35" t="s">
        <v>111</v>
      </c>
      <c r="AB112" s="35"/>
      <c r="AC112" s="35">
        <v>28086312</v>
      </c>
      <c r="AD112" s="35"/>
      <c r="AE112" s="35">
        <f>27197834-1199587</f>
        <v>25998247</v>
      </c>
      <c r="AF112" s="35"/>
      <c r="AG112" s="35">
        <v>1199587</v>
      </c>
      <c r="AH112" s="35"/>
      <c r="AI112" s="45">
        <f t="shared" si="18"/>
        <v>888478</v>
      </c>
      <c r="AJ112" s="45"/>
      <c r="AK112" s="35">
        <v>-604714</v>
      </c>
      <c r="AL112" s="35"/>
      <c r="AM112" s="35">
        <v>214842</v>
      </c>
      <c r="AN112" s="35"/>
      <c r="AO112" s="35">
        <v>31079</v>
      </c>
      <c r="AP112" s="35"/>
      <c r="AQ112" s="35">
        <v>0</v>
      </c>
      <c r="AR112" s="35"/>
      <c r="AS112" s="45">
        <f t="shared" si="20"/>
        <v>467527</v>
      </c>
      <c r="AT112" s="45"/>
      <c r="AU112" s="35">
        <v>0</v>
      </c>
      <c r="AV112" s="35"/>
      <c r="AW112" s="35">
        <v>0</v>
      </c>
      <c r="AX112" s="35"/>
      <c r="AY112" s="35">
        <f t="shared" si="24"/>
        <v>18563391</v>
      </c>
      <c r="AZ112" s="35"/>
      <c r="BA112" s="35" t="s">
        <v>143</v>
      </c>
      <c r="BB112" s="55"/>
      <c r="BC112" s="35" t="s">
        <v>111</v>
      </c>
      <c r="BD112" s="35"/>
      <c r="BE112" s="35">
        <v>0</v>
      </c>
      <c r="BF112" s="35"/>
      <c r="BG112" s="35">
        <f>15328713+1285000</f>
        <v>16613713</v>
      </c>
      <c r="BH112" s="35"/>
      <c r="BI112" s="35">
        <f>1325260+2007740</f>
        <v>3333000</v>
      </c>
      <c r="BJ112" s="35"/>
      <c r="BK112" s="35">
        <f>464999+90364+35029</f>
        <v>590392</v>
      </c>
      <c r="BL112" s="35"/>
      <c r="BM112" s="35">
        <f t="shared" si="19"/>
        <v>20537105</v>
      </c>
      <c r="BN112" s="54" t="s">
        <v>347</v>
      </c>
      <c r="BO112" s="55" t="s">
        <v>315</v>
      </c>
    </row>
    <row r="113" spans="1:66" ht="12.75" hidden="1" customHeight="1">
      <c r="A113" s="35" t="s">
        <v>144</v>
      </c>
      <c r="C113" s="35" t="s">
        <v>88</v>
      </c>
      <c r="D113" s="35"/>
      <c r="E113" s="35">
        <f t="shared" si="21"/>
        <v>0</v>
      </c>
      <c r="F113" s="35"/>
      <c r="G113" s="35">
        <v>0</v>
      </c>
      <c r="H113" s="35"/>
      <c r="I113" s="35">
        <v>0</v>
      </c>
      <c r="J113" s="35"/>
      <c r="K113" s="35">
        <f t="shared" si="22"/>
        <v>0</v>
      </c>
      <c r="L113" s="35"/>
      <c r="M113" s="35">
        <v>0</v>
      </c>
      <c r="N113" s="35"/>
      <c r="O113" s="35">
        <v>0</v>
      </c>
      <c r="P113" s="35"/>
      <c r="Q113" s="35">
        <v>0</v>
      </c>
      <c r="R113" s="35"/>
      <c r="S113" s="35">
        <v>0</v>
      </c>
      <c r="T113" s="35"/>
      <c r="U113" s="35">
        <v>0</v>
      </c>
      <c r="V113" s="35"/>
      <c r="W113" s="35">
        <f t="shared" si="23"/>
        <v>0</v>
      </c>
      <c r="X113" s="35"/>
      <c r="Y113" s="35" t="s">
        <v>144</v>
      </c>
      <c r="Z113" s="55"/>
      <c r="AA113" s="35" t="s">
        <v>88</v>
      </c>
      <c r="AB113" s="35"/>
      <c r="AC113" s="35">
        <v>0</v>
      </c>
      <c r="AD113" s="35"/>
      <c r="AE113" s="35">
        <v>0</v>
      </c>
      <c r="AF113" s="35"/>
      <c r="AG113" s="35">
        <v>0</v>
      </c>
      <c r="AH113" s="35"/>
      <c r="AI113" s="45">
        <f t="shared" si="18"/>
        <v>0</v>
      </c>
      <c r="AJ113" s="45"/>
      <c r="AK113" s="35">
        <v>0</v>
      </c>
      <c r="AL113" s="35"/>
      <c r="AM113" s="35">
        <v>0</v>
      </c>
      <c r="AN113" s="35"/>
      <c r="AO113" s="35">
        <v>0</v>
      </c>
      <c r="AP113" s="35"/>
      <c r="AQ113" s="35">
        <v>0</v>
      </c>
      <c r="AR113" s="35"/>
      <c r="AS113" s="45">
        <f t="shared" si="20"/>
        <v>0</v>
      </c>
      <c r="AT113" s="45"/>
      <c r="AU113" s="35">
        <v>0</v>
      </c>
      <c r="AV113" s="35"/>
      <c r="AW113" s="35">
        <v>0</v>
      </c>
      <c r="AX113" s="35"/>
      <c r="AY113" s="35">
        <f t="shared" si="24"/>
        <v>0</v>
      </c>
      <c r="AZ113" s="35"/>
      <c r="BA113" s="35" t="s">
        <v>144</v>
      </c>
      <c r="BB113" s="55"/>
      <c r="BC113" s="35" t="s">
        <v>88</v>
      </c>
      <c r="BD113" s="35"/>
      <c r="BE113" s="35">
        <v>0</v>
      </c>
      <c r="BF113" s="35"/>
      <c r="BG113" s="35"/>
      <c r="BH113" s="35"/>
      <c r="BI113" s="35">
        <v>0</v>
      </c>
      <c r="BJ113" s="35"/>
      <c r="BK113" s="35">
        <v>0</v>
      </c>
      <c r="BL113" s="35"/>
      <c r="BM113" s="35">
        <f t="shared" si="19"/>
        <v>0</v>
      </c>
      <c r="BN113" s="54" t="s">
        <v>347</v>
      </c>
    </row>
    <row r="114" spans="1:66" ht="12.75" hidden="1" customHeight="1">
      <c r="A114" s="35" t="s">
        <v>36</v>
      </c>
      <c r="C114" s="35" t="s">
        <v>145</v>
      </c>
      <c r="D114" s="35"/>
      <c r="E114" s="35">
        <f t="shared" si="21"/>
        <v>0</v>
      </c>
      <c r="F114" s="35"/>
      <c r="G114" s="35">
        <v>0</v>
      </c>
      <c r="H114" s="35"/>
      <c r="I114" s="35">
        <v>0</v>
      </c>
      <c r="J114" s="35"/>
      <c r="K114" s="35">
        <f t="shared" si="22"/>
        <v>0</v>
      </c>
      <c r="L114" s="35"/>
      <c r="M114" s="35">
        <v>0</v>
      </c>
      <c r="N114" s="35"/>
      <c r="O114" s="35">
        <v>0</v>
      </c>
      <c r="P114" s="35"/>
      <c r="Q114" s="35">
        <v>0</v>
      </c>
      <c r="R114" s="35"/>
      <c r="S114" s="35">
        <v>0</v>
      </c>
      <c r="T114" s="35"/>
      <c r="U114" s="35">
        <v>0</v>
      </c>
      <c r="V114" s="35"/>
      <c r="W114" s="35">
        <f t="shared" si="23"/>
        <v>0</v>
      </c>
      <c r="X114" s="35"/>
      <c r="Y114" s="35" t="s">
        <v>36</v>
      </c>
      <c r="Z114" s="55"/>
      <c r="AA114" s="35" t="s">
        <v>145</v>
      </c>
      <c r="AB114" s="35"/>
      <c r="AC114" s="35">
        <v>0</v>
      </c>
      <c r="AD114" s="35"/>
      <c r="AE114" s="35">
        <v>0</v>
      </c>
      <c r="AF114" s="35"/>
      <c r="AG114" s="35">
        <v>0</v>
      </c>
      <c r="AH114" s="35"/>
      <c r="AI114" s="45">
        <f t="shared" si="18"/>
        <v>0</v>
      </c>
      <c r="AJ114" s="45"/>
      <c r="AK114" s="35">
        <v>0</v>
      </c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20"/>
        <v>0</v>
      </c>
      <c r="AT114" s="45"/>
      <c r="AU114" s="35">
        <v>0</v>
      </c>
      <c r="AV114" s="35"/>
      <c r="AW114" s="35">
        <v>0</v>
      </c>
      <c r="AX114" s="35"/>
      <c r="AY114" s="35">
        <f t="shared" si="24"/>
        <v>0</v>
      </c>
      <c r="AZ114" s="35"/>
      <c r="BA114" s="35" t="s">
        <v>36</v>
      </c>
      <c r="BB114" s="55"/>
      <c r="BC114" s="35" t="s">
        <v>145</v>
      </c>
      <c r="BD114" s="35"/>
      <c r="BE114" s="35">
        <v>0</v>
      </c>
      <c r="BF114" s="35"/>
      <c r="BG114" s="35"/>
      <c r="BH114" s="35"/>
      <c r="BI114" s="35">
        <v>0</v>
      </c>
      <c r="BJ114" s="35"/>
      <c r="BK114" s="35">
        <v>0</v>
      </c>
      <c r="BL114" s="35"/>
      <c r="BM114" s="35">
        <f t="shared" si="19"/>
        <v>0</v>
      </c>
      <c r="BN114" s="54" t="s">
        <v>347</v>
      </c>
    </row>
    <row r="115" spans="1:66" ht="12.75" hidden="1" customHeight="1">
      <c r="A115" s="35" t="s">
        <v>146</v>
      </c>
      <c r="C115" s="35" t="s">
        <v>147</v>
      </c>
      <c r="D115" s="35"/>
      <c r="E115" s="35">
        <f t="shared" si="21"/>
        <v>0</v>
      </c>
      <c r="F115" s="35"/>
      <c r="G115" s="35">
        <v>0</v>
      </c>
      <c r="H115" s="35"/>
      <c r="I115" s="35">
        <v>0</v>
      </c>
      <c r="J115" s="35"/>
      <c r="K115" s="35">
        <f t="shared" si="22"/>
        <v>0</v>
      </c>
      <c r="L115" s="35"/>
      <c r="M115" s="35">
        <v>0</v>
      </c>
      <c r="N115" s="35"/>
      <c r="O115" s="35">
        <v>0</v>
      </c>
      <c r="P115" s="35"/>
      <c r="Q115" s="35">
        <v>0</v>
      </c>
      <c r="R115" s="35"/>
      <c r="S115" s="35">
        <v>0</v>
      </c>
      <c r="T115" s="35"/>
      <c r="U115" s="35">
        <v>0</v>
      </c>
      <c r="V115" s="35"/>
      <c r="W115" s="35">
        <f t="shared" si="23"/>
        <v>0</v>
      </c>
      <c r="X115" s="35"/>
      <c r="Y115" s="35" t="s">
        <v>146</v>
      </c>
      <c r="Z115" s="55"/>
      <c r="AA115" s="35" t="s">
        <v>147</v>
      </c>
      <c r="AB115" s="35"/>
      <c r="AC115" s="35">
        <v>0</v>
      </c>
      <c r="AD115" s="35"/>
      <c r="AE115" s="35">
        <v>0</v>
      </c>
      <c r="AF115" s="35"/>
      <c r="AG115" s="35">
        <v>0</v>
      </c>
      <c r="AH115" s="35"/>
      <c r="AI115" s="45">
        <f t="shared" si="18"/>
        <v>0</v>
      </c>
      <c r="AJ115" s="45"/>
      <c r="AK115" s="35">
        <v>0</v>
      </c>
      <c r="AL115" s="35"/>
      <c r="AM115" s="35">
        <v>0</v>
      </c>
      <c r="AN115" s="35"/>
      <c r="AO115" s="35">
        <v>0</v>
      </c>
      <c r="AP115" s="35"/>
      <c r="AQ115" s="35">
        <v>0</v>
      </c>
      <c r="AR115" s="35"/>
      <c r="AS115" s="45">
        <f t="shared" si="20"/>
        <v>0</v>
      </c>
      <c r="AT115" s="45"/>
      <c r="AU115" s="35">
        <v>0</v>
      </c>
      <c r="AV115" s="35"/>
      <c r="AW115" s="35">
        <v>0</v>
      </c>
      <c r="AX115" s="35"/>
      <c r="AY115" s="35">
        <f t="shared" si="24"/>
        <v>0</v>
      </c>
      <c r="AZ115" s="35"/>
      <c r="BA115" s="35" t="s">
        <v>146</v>
      </c>
      <c r="BB115" s="55"/>
      <c r="BC115" s="35" t="s">
        <v>147</v>
      </c>
      <c r="BD115" s="35"/>
      <c r="BE115" s="35">
        <v>0</v>
      </c>
      <c r="BF115" s="35"/>
      <c r="BG115" s="35"/>
      <c r="BH115" s="35"/>
      <c r="BI115" s="35">
        <v>0</v>
      </c>
      <c r="BJ115" s="35"/>
      <c r="BK115" s="35">
        <v>0</v>
      </c>
      <c r="BL115" s="35"/>
      <c r="BM115" s="35">
        <f t="shared" si="19"/>
        <v>0</v>
      </c>
      <c r="BN115" s="54" t="s">
        <v>347</v>
      </c>
    </row>
    <row r="116" spans="1:66" ht="12.75" hidden="1" customHeight="1">
      <c r="A116" s="35" t="s">
        <v>17</v>
      </c>
      <c r="C116" s="35" t="s">
        <v>17</v>
      </c>
      <c r="D116" s="35"/>
      <c r="E116" s="35">
        <f t="shared" si="21"/>
        <v>0</v>
      </c>
      <c r="F116" s="35"/>
      <c r="G116" s="35">
        <v>0</v>
      </c>
      <c r="H116" s="35"/>
      <c r="I116" s="35">
        <v>0</v>
      </c>
      <c r="J116" s="35"/>
      <c r="K116" s="35">
        <f t="shared" si="22"/>
        <v>0</v>
      </c>
      <c r="L116" s="35"/>
      <c r="M116" s="35">
        <v>0</v>
      </c>
      <c r="N116" s="35"/>
      <c r="O116" s="35">
        <v>0</v>
      </c>
      <c r="P116" s="35"/>
      <c r="Q116" s="35">
        <v>0</v>
      </c>
      <c r="R116" s="35"/>
      <c r="S116" s="35">
        <v>0</v>
      </c>
      <c r="T116" s="35"/>
      <c r="U116" s="35">
        <v>0</v>
      </c>
      <c r="V116" s="35"/>
      <c r="W116" s="35">
        <f t="shared" si="23"/>
        <v>0</v>
      </c>
      <c r="X116" s="35"/>
      <c r="Y116" s="35" t="s">
        <v>17</v>
      </c>
      <c r="Z116" s="55"/>
      <c r="AA116" s="35" t="s">
        <v>17</v>
      </c>
      <c r="AB116" s="35"/>
      <c r="AC116" s="35">
        <v>0</v>
      </c>
      <c r="AD116" s="35"/>
      <c r="AE116" s="35">
        <v>0</v>
      </c>
      <c r="AF116" s="35"/>
      <c r="AG116" s="35">
        <v>0</v>
      </c>
      <c r="AH116" s="35"/>
      <c r="AI116" s="45">
        <f t="shared" si="18"/>
        <v>0</v>
      </c>
      <c r="AJ116" s="45"/>
      <c r="AK116" s="35">
        <v>0</v>
      </c>
      <c r="AL116" s="35"/>
      <c r="AM116" s="35">
        <v>0</v>
      </c>
      <c r="AN116" s="35"/>
      <c r="AO116" s="35">
        <v>0</v>
      </c>
      <c r="AP116" s="35"/>
      <c r="AQ116" s="35">
        <v>0</v>
      </c>
      <c r="AR116" s="35"/>
      <c r="AS116" s="45">
        <f t="shared" si="20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4"/>
        <v>0</v>
      </c>
      <c r="AZ116" s="35"/>
      <c r="BA116" s="35" t="s">
        <v>17</v>
      </c>
      <c r="BB116" s="55"/>
      <c r="BC116" s="35" t="s">
        <v>17</v>
      </c>
      <c r="BD116" s="35"/>
      <c r="BE116" s="35">
        <v>0</v>
      </c>
      <c r="BF116" s="35"/>
      <c r="BG116" s="35"/>
      <c r="BH116" s="35"/>
      <c r="BI116" s="35">
        <v>0</v>
      </c>
      <c r="BJ116" s="35"/>
      <c r="BK116" s="35">
        <v>0</v>
      </c>
      <c r="BL116" s="35"/>
      <c r="BM116" s="35">
        <f t="shared" si="19"/>
        <v>0</v>
      </c>
      <c r="BN116" s="54" t="s">
        <v>347</v>
      </c>
    </row>
    <row r="117" spans="1:66" ht="12.75" hidden="1" customHeight="1">
      <c r="A117" s="35" t="s">
        <v>148</v>
      </c>
      <c r="C117" s="35" t="s">
        <v>15</v>
      </c>
      <c r="D117" s="35"/>
      <c r="E117" s="35">
        <f t="shared" si="21"/>
        <v>0</v>
      </c>
      <c r="F117" s="35"/>
      <c r="G117" s="35">
        <v>0</v>
      </c>
      <c r="H117" s="35"/>
      <c r="I117" s="35">
        <v>0</v>
      </c>
      <c r="J117" s="35"/>
      <c r="K117" s="35">
        <f t="shared" si="22"/>
        <v>0</v>
      </c>
      <c r="L117" s="35"/>
      <c r="M117" s="35">
        <v>0</v>
      </c>
      <c r="N117" s="35"/>
      <c r="O117" s="35">
        <v>0</v>
      </c>
      <c r="P117" s="35"/>
      <c r="Q117" s="35">
        <v>0</v>
      </c>
      <c r="R117" s="35"/>
      <c r="S117" s="35">
        <v>0</v>
      </c>
      <c r="T117" s="35"/>
      <c r="U117" s="35">
        <v>0</v>
      </c>
      <c r="V117" s="35"/>
      <c r="W117" s="35">
        <f t="shared" si="23"/>
        <v>0</v>
      </c>
      <c r="X117" s="35"/>
      <c r="Y117" s="35" t="s">
        <v>148</v>
      </c>
      <c r="Z117" s="55"/>
      <c r="AA117" s="35" t="s">
        <v>15</v>
      </c>
      <c r="AB117" s="35"/>
      <c r="AC117" s="35">
        <v>0</v>
      </c>
      <c r="AD117" s="35"/>
      <c r="AE117" s="35">
        <v>0</v>
      </c>
      <c r="AF117" s="35"/>
      <c r="AG117" s="35">
        <v>0</v>
      </c>
      <c r="AH117" s="35"/>
      <c r="AI117" s="45">
        <f t="shared" si="18"/>
        <v>0</v>
      </c>
      <c r="AJ117" s="45"/>
      <c r="AK117" s="35">
        <v>0</v>
      </c>
      <c r="AL117" s="35"/>
      <c r="AM117" s="35">
        <v>0</v>
      </c>
      <c r="AN117" s="35"/>
      <c r="AO117" s="35">
        <v>0</v>
      </c>
      <c r="AP117" s="35"/>
      <c r="AQ117" s="35">
        <v>0</v>
      </c>
      <c r="AR117" s="35"/>
      <c r="AS117" s="45">
        <f t="shared" si="20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4"/>
        <v>0</v>
      </c>
      <c r="AZ117" s="35"/>
      <c r="BA117" s="35" t="s">
        <v>148</v>
      </c>
      <c r="BB117" s="55"/>
      <c r="BC117" s="35" t="s">
        <v>15</v>
      </c>
      <c r="BD117" s="35"/>
      <c r="BE117" s="35">
        <v>0</v>
      </c>
      <c r="BF117" s="35"/>
      <c r="BG117" s="35"/>
      <c r="BH117" s="35"/>
      <c r="BI117" s="35">
        <v>0</v>
      </c>
      <c r="BJ117" s="35"/>
      <c r="BK117" s="35">
        <v>0</v>
      </c>
      <c r="BL117" s="35"/>
      <c r="BM117" s="35">
        <f t="shared" si="19"/>
        <v>0</v>
      </c>
      <c r="BN117" s="54" t="s">
        <v>347</v>
      </c>
    </row>
    <row r="118" spans="1:66" ht="12.75" hidden="1" customHeight="1">
      <c r="A118" s="35" t="s">
        <v>149</v>
      </c>
      <c r="C118" s="35" t="s">
        <v>45</v>
      </c>
      <c r="D118" s="35"/>
      <c r="E118" s="35">
        <f t="shared" si="21"/>
        <v>0</v>
      </c>
      <c r="F118" s="35"/>
      <c r="G118" s="35">
        <v>0</v>
      </c>
      <c r="H118" s="35"/>
      <c r="I118" s="35">
        <v>0</v>
      </c>
      <c r="J118" s="35"/>
      <c r="K118" s="35">
        <f t="shared" si="22"/>
        <v>0</v>
      </c>
      <c r="L118" s="35"/>
      <c r="M118" s="35">
        <v>0</v>
      </c>
      <c r="N118" s="35"/>
      <c r="O118" s="35">
        <v>0</v>
      </c>
      <c r="P118" s="35"/>
      <c r="Q118" s="35">
        <v>0</v>
      </c>
      <c r="R118" s="35"/>
      <c r="S118" s="35">
        <v>0</v>
      </c>
      <c r="T118" s="35"/>
      <c r="U118" s="35">
        <v>0</v>
      </c>
      <c r="V118" s="35"/>
      <c r="W118" s="35">
        <f t="shared" si="23"/>
        <v>0</v>
      </c>
      <c r="X118" s="35"/>
      <c r="Y118" s="35" t="s">
        <v>149</v>
      </c>
      <c r="Z118" s="55"/>
      <c r="AA118" s="35" t="s">
        <v>45</v>
      </c>
      <c r="AB118" s="35"/>
      <c r="AC118" s="35">
        <v>0</v>
      </c>
      <c r="AD118" s="35"/>
      <c r="AE118" s="35">
        <v>0</v>
      </c>
      <c r="AF118" s="35"/>
      <c r="AG118" s="35">
        <v>0</v>
      </c>
      <c r="AH118" s="35"/>
      <c r="AI118" s="45">
        <f t="shared" si="18"/>
        <v>0</v>
      </c>
      <c r="AJ118" s="45"/>
      <c r="AK118" s="35">
        <v>0</v>
      </c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20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4"/>
        <v>0</v>
      </c>
      <c r="AZ118" s="35"/>
      <c r="BA118" s="35" t="s">
        <v>149</v>
      </c>
      <c r="BB118" s="55"/>
      <c r="BC118" s="35" t="s">
        <v>45</v>
      </c>
      <c r="BD118" s="35"/>
      <c r="BE118" s="35">
        <v>0</v>
      </c>
      <c r="BF118" s="35"/>
      <c r="BG118" s="35"/>
      <c r="BH118" s="35"/>
      <c r="BI118" s="35">
        <v>0</v>
      </c>
      <c r="BJ118" s="35"/>
      <c r="BK118" s="35">
        <v>0</v>
      </c>
      <c r="BL118" s="35"/>
      <c r="BM118" s="35">
        <f t="shared" si="19"/>
        <v>0</v>
      </c>
      <c r="BN118" s="54" t="s">
        <v>347</v>
      </c>
    </row>
    <row r="119" spans="1:66" ht="12.75" hidden="1" customHeight="1">
      <c r="A119" s="35" t="s">
        <v>150</v>
      </c>
      <c r="C119" s="35" t="s">
        <v>27</v>
      </c>
      <c r="D119" s="35"/>
      <c r="E119" s="35">
        <f t="shared" si="21"/>
        <v>0</v>
      </c>
      <c r="F119" s="35"/>
      <c r="G119" s="35">
        <v>0</v>
      </c>
      <c r="H119" s="35"/>
      <c r="I119" s="35">
        <v>0</v>
      </c>
      <c r="J119" s="35"/>
      <c r="K119" s="35">
        <f t="shared" si="22"/>
        <v>0</v>
      </c>
      <c r="L119" s="35"/>
      <c r="M119" s="35">
        <v>0</v>
      </c>
      <c r="N119" s="35"/>
      <c r="O119" s="35">
        <v>0</v>
      </c>
      <c r="P119" s="35"/>
      <c r="Q119" s="35">
        <v>0</v>
      </c>
      <c r="R119" s="35"/>
      <c r="S119" s="35">
        <v>0</v>
      </c>
      <c r="T119" s="35"/>
      <c r="U119" s="35">
        <v>0</v>
      </c>
      <c r="V119" s="35"/>
      <c r="W119" s="35">
        <f t="shared" si="23"/>
        <v>0</v>
      </c>
      <c r="X119" s="35"/>
      <c r="Y119" s="35" t="s">
        <v>150</v>
      </c>
      <c r="Z119" s="55"/>
      <c r="AA119" s="35" t="s">
        <v>27</v>
      </c>
      <c r="AB119" s="35"/>
      <c r="AC119" s="35">
        <v>0</v>
      </c>
      <c r="AD119" s="35"/>
      <c r="AE119" s="35">
        <v>0</v>
      </c>
      <c r="AF119" s="35"/>
      <c r="AG119" s="35">
        <v>0</v>
      </c>
      <c r="AH119" s="35"/>
      <c r="AI119" s="45">
        <f t="shared" si="18"/>
        <v>0</v>
      </c>
      <c r="AJ119" s="45"/>
      <c r="AK119" s="35">
        <v>0</v>
      </c>
      <c r="AL119" s="35"/>
      <c r="AM119" s="35">
        <v>0</v>
      </c>
      <c r="AN119" s="35"/>
      <c r="AO119" s="35">
        <v>0</v>
      </c>
      <c r="AP119" s="35"/>
      <c r="AQ119" s="35">
        <v>0</v>
      </c>
      <c r="AR119" s="35"/>
      <c r="AS119" s="45">
        <f t="shared" si="20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4"/>
        <v>0</v>
      </c>
      <c r="AZ119" s="35"/>
      <c r="BA119" s="35" t="s">
        <v>150</v>
      </c>
      <c r="BB119" s="55"/>
      <c r="BC119" s="35" t="s">
        <v>27</v>
      </c>
      <c r="BD119" s="35"/>
      <c r="BE119" s="35">
        <v>0</v>
      </c>
      <c r="BF119" s="35"/>
      <c r="BG119" s="35"/>
      <c r="BH119" s="35"/>
      <c r="BI119" s="35">
        <v>0</v>
      </c>
      <c r="BJ119" s="35"/>
      <c r="BK119" s="35">
        <v>0</v>
      </c>
      <c r="BL119" s="35"/>
      <c r="BM119" s="35">
        <f t="shared" si="19"/>
        <v>0</v>
      </c>
      <c r="BN119" s="54" t="s">
        <v>347</v>
      </c>
    </row>
    <row r="120" spans="1:66" ht="13.5" hidden="1" customHeight="1">
      <c r="A120" s="35" t="s">
        <v>151</v>
      </c>
      <c r="C120" s="35" t="s">
        <v>13</v>
      </c>
      <c r="D120" s="35"/>
      <c r="E120" s="35">
        <f t="shared" si="21"/>
        <v>0</v>
      </c>
      <c r="F120" s="35"/>
      <c r="G120" s="35">
        <v>0</v>
      </c>
      <c r="H120" s="35"/>
      <c r="I120" s="35">
        <v>0</v>
      </c>
      <c r="J120" s="35"/>
      <c r="K120" s="35">
        <f t="shared" si="22"/>
        <v>0</v>
      </c>
      <c r="L120" s="35"/>
      <c r="M120" s="35">
        <v>0</v>
      </c>
      <c r="N120" s="35"/>
      <c r="O120" s="35">
        <v>0</v>
      </c>
      <c r="P120" s="35"/>
      <c r="Q120" s="35">
        <v>0</v>
      </c>
      <c r="R120" s="35"/>
      <c r="S120" s="35">
        <v>0</v>
      </c>
      <c r="T120" s="35"/>
      <c r="U120" s="35">
        <v>0</v>
      </c>
      <c r="V120" s="35"/>
      <c r="W120" s="35">
        <f t="shared" si="23"/>
        <v>0</v>
      </c>
      <c r="X120" s="35"/>
      <c r="Y120" s="35" t="s">
        <v>151</v>
      </c>
      <c r="Z120" s="55"/>
      <c r="AA120" s="35" t="s">
        <v>13</v>
      </c>
      <c r="AB120" s="35"/>
      <c r="AC120" s="35">
        <v>0</v>
      </c>
      <c r="AD120" s="35"/>
      <c r="AE120" s="35">
        <v>0</v>
      </c>
      <c r="AF120" s="35"/>
      <c r="AG120" s="35">
        <v>0</v>
      </c>
      <c r="AH120" s="35"/>
      <c r="AI120" s="45">
        <f t="shared" si="18"/>
        <v>0</v>
      </c>
      <c r="AJ120" s="45"/>
      <c r="AK120" s="35">
        <v>0</v>
      </c>
      <c r="AL120" s="35"/>
      <c r="AM120" s="35">
        <v>0</v>
      </c>
      <c r="AN120" s="35"/>
      <c r="AO120" s="35">
        <v>0</v>
      </c>
      <c r="AP120" s="35"/>
      <c r="AQ120" s="35">
        <v>0</v>
      </c>
      <c r="AR120" s="35"/>
      <c r="AS120" s="45">
        <f t="shared" si="20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4"/>
        <v>0</v>
      </c>
      <c r="AZ120" s="35"/>
      <c r="BA120" s="35" t="s">
        <v>151</v>
      </c>
      <c r="BB120" s="55"/>
      <c r="BC120" s="35" t="s">
        <v>13</v>
      </c>
      <c r="BD120" s="35"/>
      <c r="BE120" s="35">
        <v>0</v>
      </c>
      <c r="BF120" s="35"/>
      <c r="BG120" s="35"/>
      <c r="BH120" s="35"/>
      <c r="BI120" s="35">
        <v>0</v>
      </c>
      <c r="BJ120" s="35"/>
      <c r="BK120" s="35">
        <v>0</v>
      </c>
      <c r="BL120" s="35"/>
      <c r="BM120" s="35">
        <f t="shared" si="19"/>
        <v>0</v>
      </c>
      <c r="BN120" s="54" t="s">
        <v>347</v>
      </c>
    </row>
    <row r="121" spans="1:66" ht="12.75" hidden="1" customHeight="1">
      <c r="A121" s="35" t="s">
        <v>152</v>
      </c>
      <c r="C121" s="35" t="s">
        <v>153</v>
      </c>
      <c r="D121" s="35"/>
      <c r="E121" s="35">
        <f t="shared" si="21"/>
        <v>0</v>
      </c>
      <c r="F121" s="35"/>
      <c r="G121" s="35">
        <v>0</v>
      </c>
      <c r="H121" s="35"/>
      <c r="I121" s="35">
        <v>0</v>
      </c>
      <c r="J121" s="35"/>
      <c r="K121" s="35">
        <f t="shared" si="22"/>
        <v>0</v>
      </c>
      <c r="L121" s="35"/>
      <c r="M121" s="35">
        <v>0</v>
      </c>
      <c r="N121" s="35"/>
      <c r="O121" s="35">
        <v>0</v>
      </c>
      <c r="P121" s="35"/>
      <c r="Q121" s="35">
        <v>0</v>
      </c>
      <c r="R121" s="35"/>
      <c r="S121" s="35">
        <v>0</v>
      </c>
      <c r="T121" s="35"/>
      <c r="U121" s="35">
        <v>0</v>
      </c>
      <c r="V121" s="35"/>
      <c r="W121" s="35">
        <f t="shared" si="23"/>
        <v>0</v>
      </c>
      <c r="X121" s="35"/>
      <c r="Y121" s="35" t="s">
        <v>152</v>
      </c>
      <c r="Z121" s="55"/>
      <c r="AA121" s="35" t="s">
        <v>153</v>
      </c>
      <c r="AB121" s="35"/>
      <c r="AC121" s="35">
        <v>0</v>
      </c>
      <c r="AD121" s="35"/>
      <c r="AE121" s="35">
        <v>0</v>
      </c>
      <c r="AF121" s="35"/>
      <c r="AG121" s="35">
        <v>0</v>
      </c>
      <c r="AH121" s="35"/>
      <c r="AI121" s="45">
        <f t="shared" si="18"/>
        <v>0</v>
      </c>
      <c r="AJ121" s="45"/>
      <c r="AK121" s="35">
        <v>0</v>
      </c>
      <c r="AL121" s="35"/>
      <c r="AM121" s="35">
        <v>0</v>
      </c>
      <c r="AN121" s="35"/>
      <c r="AO121" s="35">
        <v>0</v>
      </c>
      <c r="AP121" s="35"/>
      <c r="AQ121" s="35">
        <v>0</v>
      </c>
      <c r="AR121" s="35"/>
      <c r="AS121" s="45">
        <f t="shared" si="20"/>
        <v>0</v>
      </c>
      <c r="AT121" s="45"/>
      <c r="AU121" s="35">
        <v>0</v>
      </c>
      <c r="AV121" s="35"/>
      <c r="AW121" s="35">
        <v>0</v>
      </c>
      <c r="AX121" s="35"/>
      <c r="AY121" s="35">
        <f t="shared" si="24"/>
        <v>0</v>
      </c>
      <c r="AZ121" s="35"/>
      <c r="BA121" s="35" t="s">
        <v>152</v>
      </c>
      <c r="BB121" s="55"/>
      <c r="BC121" s="35" t="s">
        <v>153</v>
      </c>
      <c r="BD121" s="35"/>
      <c r="BE121" s="35">
        <v>0</v>
      </c>
      <c r="BF121" s="35"/>
      <c r="BG121" s="35"/>
      <c r="BH121" s="35"/>
      <c r="BI121" s="35">
        <v>0</v>
      </c>
      <c r="BJ121" s="35"/>
      <c r="BK121" s="35">
        <v>0</v>
      </c>
      <c r="BL121" s="35"/>
      <c r="BM121" s="35">
        <f t="shared" si="19"/>
        <v>0</v>
      </c>
      <c r="BN121" s="54" t="s">
        <v>347</v>
      </c>
    </row>
    <row r="122" spans="1:66" ht="12.75" hidden="1" customHeight="1">
      <c r="A122" s="35" t="s">
        <v>154</v>
      </c>
      <c r="C122" s="35" t="s">
        <v>27</v>
      </c>
      <c r="D122" s="35"/>
      <c r="E122" s="35">
        <f t="shared" si="21"/>
        <v>0</v>
      </c>
      <c r="F122" s="35"/>
      <c r="G122" s="35">
        <v>0</v>
      </c>
      <c r="H122" s="35"/>
      <c r="I122" s="35">
        <v>0</v>
      </c>
      <c r="J122" s="35"/>
      <c r="K122" s="35">
        <f t="shared" si="22"/>
        <v>0</v>
      </c>
      <c r="L122" s="35"/>
      <c r="M122" s="35">
        <v>0</v>
      </c>
      <c r="N122" s="35"/>
      <c r="O122" s="35">
        <v>0</v>
      </c>
      <c r="P122" s="35"/>
      <c r="Q122" s="35">
        <v>0</v>
      </c>
      <c r="R122" s="35"/>
      <c r="S122" s="35">
        <v>0</v>
      </c>
      <c r="T122" s="35"/>
      <c r="U122" s="35">
        <v>0</v>
      </c>
      <c r="V122" s="35"/>
      <c r="W122" s="35">
        <f t="shared" si="23"/>
        <v>0</v>
      </c>
      <c r="X122" s="35"/>
      <c r="Y122" s="35" t="s">
        <v>154</v>
      </c>
      <c r="Z122" s="55"/>
      <c r="AA122" s="35" t="s">
        <v>27</v>
      </c>
      <c r="AB122" s="35"/>
      <c r="AC122" s="35">
        <v>0</v>
      </c>
      <c r="AD122" s="35"/>
      <c r="AE122" s="35">
        <v>0</v>
      </c>
      <c r="AF122" s="35"/>
      <c r="AG122" s="35">
        <v>0</v>
      </c>
      <c r="AH122" s="35"/>
      <c r="AI122" s="45">
        <f t="shared" si="18"/>
        <v>0</v>
      </c>
      <c r="AJ122" s="45"/>
      <c r="AK122" s="35">
        <v>0</v>
      </c>
      <c r="AL122" s="35"/>
      <c r="AM122" s="35">
        <v>0</v>
      </c>
      <c r="AN122" s="35"/>
      <c r="AO122" s="35">
        <v>0</v>
      </c>
      <c r="AP122" s="35"/>
      <c r="AQ122" s="35">
        <v>0</v>
      </c>
      <c r="AR122" s="35"/>
      <c r="AS122" s="45">
        <f t="shared" si="20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4"/>
        <v>0</v>
      </c>
      <c r="AZ122" s="35"/>
      <c r="BA122" s="35" t="s">
        <v>154</v>
      </c>
      <c r="BB122" s="55"/>
      <c r="BC122" s="35" t="s">
        <v>27</v>
      </c>
      <c r="BD122" s="35"/>
      <c r="BE122" s="35">
        <v>0</v>
      </c>
      <c r="BF122" s="35"/>
      <c r="BG122" s="35"/>
      <c r="BH122" s="35"/>
      <c r="BI122" s="35">
        <v>0</v>
      </c>
      <c r="BJ122" s="35"/>
      <c r="BK122" s="35">
        <v>0</v>
      </c>
      <c r="BL122" s="35"/>
      <c r="BM122" s="35">
        <f t="shared" si="19"/>
        <v>0</v>
      </c>
      <c r="BN122" s="54" t="s">
        <v>347</v>
      </c>
    </row>
    <row r="123" spans="1:66" ht="12.75" hidden="1" customHeight="1">
      <c r="A123" s="35" t="s">
        <v>155</v>
      </c>
      <c r="C123" s="35" t="s">
        <v>40</v>
      </c>
      <c r="D123" s="35"/>
      <c r="E123" s="35">
        <f t="shared" si="21"/>
        <v>0</v>
      </c>
      <c r="F123" s="35"/>
      <c r="G123" s="35">
        <v>0</v>
      </c>
      <c r="H123" s="35"/>
      <c r="I123" s="35">
        <v>0</v>
      </c>
      <c r="J123" s="35"/>
      <c r="K123" s="35">
        <f t="shared" si="22"/>
        <v>0</v>
      </c>
      <c r="L123" s="35"/>
      <c r="M123" s="35">
        <v>0</v>
      </c>
      <c r="N123" s="35"/>
      <c r="O123" s="35">
        <v>0</v>
      </c>
      <c r="P123" s="35"/>
      <c r="Q123" s="35">
        <v>0</v>
      </c>
      <c r="R123" s="35"/>
      <c r="S123" s="35">
        <v>0</v>
      </c>
      <c r="T123" s="35"/>
      <c r="U123" s="35">
        <v>0</v>
      </c>
      <c r="V123" s="35"/>
      <c r="W123" s="35">
        <f t="shared" si="23"/>
        <v>0</v>
      </c>
      <c r="X123" s="35"/>
      <c r="Y123" s="35" t="s">
        <v>155</v>
      </c>
      <c r="Z123" s="55"/>
      <c r="AA123" s="35" t="s">
        <v>40</v>
      </c>
      <c r="AB123" s="35"/>
      <c r="AC123" s="35">
        <v>0</v>
      </c>
      <c r="AD123" s="35"/>
      <c r="AE123" s="35">
        <v>0</v>
      </c>
      <c r="AF123" s="35"/>
      <c r="AG123" s="35">
        <v>0</v>
      </c>
      <c r="AH123" s="35"/>
      <c r="AI123" s="45">
        <f t="shared" si="18"/>
        <v>0</v>
      </c>
      <c r="AJ123" s="45"/>
      <c r="AK123" s="35">
        <v>0</v>
      </c>
      <c r="AL123" s="35"/>
      <c r="AM123" s="35">
        <v>0</v>
      </c>
      <c r="AN123" s="35"/>
      <c r="AO123" s="35">
        <v>0</v>
      </c>
      <c r="AP123" s="35"/>
      <c r="AQ123" s="35">
        <v>0</v>
      </c>
      <c r="AR123" s="35"/>
      <c r="AS123" s="45">
        <f t="shared" si="20"/>
        <v>0</v>
      </c>
      <c r="AT123" s="45"/>
      <c r="AU123" s="35">
        <v>0</v>
      </c>
      <c r="AV123" s="35"/>
      <c r="AW123" s="35">
        <v>0</v>
      </c>
      <c r="AX123" s="35"/>
      <c r="AY123" s="35">
        <f t="shared" si="24"/>
        <v>0</v>
      </c>
      <c r="AZ123" s="35"/>
      <c r="BA123" s="35" t="s">
        <v>155</v>
      </c>
      <c r="BB123" s="55"/>
      <c r="BC123" s="35" t="s">
        <v>40</v>
      </c>
      <c r="BD123" s="35"/>
      <c r="BE123" s="35">
        <v>0</v>
      </c>
      <c r="BF123" s="35"/>
      <c r="BG123" s="35"/>
      <c r="BH123" s="35"/>
      <c r="BI123" s="35">
        <v>0</v>
      </c>
      <c r="BJ123" s="35"/>
      <c r="BK123" s="35">
        <v>0</v>
      </c>
      <c r="BL123" s="35"/>
      <c r="BM123" s="35">
        <f t="shared" si="19"/>
        <v>0</v>
      </c>
      <c r="BN123" s="54" t="s">
        <v>347</v>
      </c>
    </row>
    <row r="124" spans="1:66" ht="12.75" hidden="1" customHeight="1">
      <c r="A124" s="35" t="s">
        <v>156</v>
      </c>
      <c r="C124" s="35" t="s">
        <v>156</v>
      </c>
      <c r="D124" s="35"/>
      <c r="E124" s="35">
        <f t="shared" si="21"/>
        <v>0</v>
      </c>
      <c r="F124" s="35"/>
      <c r="G124" s="35">
        <v>0</v>
      </c>
      <c r="H124" s="35"/>
      <c r="I124" s="35">
        <v>0</v>
      </c>
      <c r="J124" s="35"/>
      <c r="K124" s="35">
        <f t="shared" si="22"/>
        <v>0</v>
      </c>
      <c r="L124" s="35"/>
      <c r="M124" s="35">
        <v>0</v>
      </c>
      <c r="N124" s="35"/>
      <c r="O124" s="35">
        <v>0</v>
      </c>
      <c r="P124" s="35"/>
      <c r="Q124" s="35">
        <v>0</v>
      </c>
      <c r="R124" s="35"/>
      <c r="S124" s="35">
        <v>0</v>
      </c>
      <c r="T124" s="35"/>
      <c r="U124" s="35">
        <v>0</v>
      </c>
      <c r="V124" s="35"/>
      <c r="W124" s="35">
        <f t="shared" si="23"/>
        <v>0</v>
      </c>
      <c r="X124" s="35"/>
      <c r="Y124" s="35" t="s">
        <v>156</v>
      </c>
      <c r="Z124" s="55"/>
      <c r="AA124" s="35" t="s">
        <v>156</v>
      </c>
      <c r="AB124" s="35"/>
      <c r="AC124" s="35">
        <v>0</v>
      </c>
      <c r="AD124" s="35"/>
      <c r="AE124" s="35">
        <v>0</v>
      </c>
      <c r="AF124" s="35"/>
      <c r="AG124" s="35">
        <v>0</v>
      </c>
      <c r="AH124" s="35"/>
      <c r="AI124" s="45">
        <f t="shared" si="18"/>
        <v>0</v>
      </c>
      <c r="AJ124" s="45"/>
      <c r="AK124" s="35">
        <v>0</v>
      </c>
      <c r="AL124" s="35"/>
      <c r="AM124" s="35">
        <v>0</v>
      </c>
      <c r="AN124" s="35"/>
      <c r="AO124" s="35">
        <v>0</v>
      </c>
      <c r="AP124" s="35"/>
      <c r="AQ124" s="35">
        <v>0</v>
      </c>
      <c r="AR124" s="35"/>
      <c r="AS124" s="45">
        <f t="shared" si="20"/>
        <v>0</v>
      </c>
      <c r="AT124" s="45"/>
      <c r="AU124" s="35">
        <v>0</v>
      </c>
      <c r="AV124" s="35"/>
      <c r="AW124" s="35">
        <v>0</v>
      </c>
      <c r="AX124" s="35"/>
      <c r="AY124" s="35">
        <f t="shared" si="24"/>
        <v>0</v>
      </c>
      <c r="AZ124" s="35"/>
      <c r="BA124" s="35" t="s">
        <v>156</v>
      </c>
      <c r="BB124" s="55"/>
      <c r="BC124" s="35" t="s">
        <v>156</v>
      </c>
      <c r="BD124" s="35"/>
      <c r="BE124" s="35">
        <v>0</v>
      </c>
      <c r="BF124" s="35"/>
      <c r="BG124" s="35"/>
      <c r="BH124" s="35"/>
      <c r="BI124" s="35">
        <v>0</v>
      </c>
      <c r="BJ124" s="35"/>
      <c r="BK124" s="35">
        <v>0</v>
      </c>
      <c r="BL124" s="35"/>
      <c r="BM124" s="35">
        <f t="shared" si="19"/>
        <v>0</v>
      </c>
      <c r="BN124" s="54" t="s">
        <v>347</v>
      </c>
    </row>
    <row r="125" spans="1:66" ht="12.75" hidden="1" customHeight="1">
      <c r="A125" s="35" t="s">
        <v>157</v>
      </c>
      <c r="C125" s="35" t="s">
        <v>33</v>
      </c>
      <c r="D125" s="35"/>
      <c r="E125" s="35">
        <f t="shared" si="21"/>
        <v>0</v>
      </c>
      <c r="F125" s="35"/>
      <c r="G125" s="35">
        <v>0</v>
      </c>
      <c r="H125" s="35"/>
      <c r="I125" s="35">
        <v>0</v>
      </c>
      <c r="J125" s="35"/>
      <c r="K125" s="35">
        <f t="shared" si="22"/>
        <v>0</v>
      </c>
      <c r="L125" s="35"/>
      <c r="M125" s="35">
        <v>0</v>
      </c>
      <c r="N125" s="35"/>
      <c r="O125" s="35">
        <v>0</v>
      </c>
      <c r="P125" s="35"/>
      <c r="Q125" s="35">
        <v>0</v>
      </c>
      <c r="R125" s="35"/>
      <c r="S125" s="35">
        <v>0</v>
      </c>
      <c r="T125" s="35"/>
      <c r="U125" s="35">
        <v>0</v>
      </c>
      <c r="V125" s="35"/>
      <c r="W125" s="35">
        <f t="shared" si="23"/>
        <v>0</v>
      </c>
      <c r="X125" s="35"/>
      <c r="Y125" s="35" t="s">
        <v>157</v>
      </c>
      <c r="Z125" s="55"/>
      <c r="AA125" s="35" t="s">
        <v>33</v>
      </c>
      <c r="AB125" s="35"/>
      <c r="AC125" s="35">
        <v>0</v>
      </c>
      <c r="AD125" s="35"/>
      <c r="AE125" s="35">
        <v>0</v>
      </c>
      <c r="AF125" s="35"/>
      <c r="AG125" s="35">
        <v>0</v>
      </c>
      <c r="AH125" s="35"/>
      <c r="AI125" s="45">
        <f t="shared" si="18"/>
        <v>0</v>
      </c>
      <c r="AJ125" s="45"/>
      <c r="AK125" s="35">
        <v>0</v>
      </c>
      <c r="AL125" s="35"/>
      <c r="AM125" s="35">
        <v>0</v>
      </c>
      <c r="AN125" s="35"/>
      <c r="AO125" s="35">
        <v>0</v>
      </c>
      <c r="AP125" s="35"/>
      <c r="AQ125" s="35">
        <v>0</v>
      </c>
      <c r="AR125" s="35"/>
      <c r="AS125" s="45">
        <f t="shared" si="20"/>
        <v>0</v>
      </c>
      <c r="AT125" s="45"/>
      <c r="AU125" s="35">
        <v>0</v>
      </c>
      <c r="AV125" s="35"/>
      <c r="AW125" s="35">
        <v>0</v>
      </c>
      <c r="AX125" s="35"/>
      <c r="AY125" s="35">
        <f t="shared" si="24"/>
        <v>0</v>
      </c>
      <c r="AZ125" s="35"/>
      <c r="BA125" s="35" t="s">
        <v>157</v>
      </c>
      <c r="BB125" s="55"/>
      <c r="BC125" s="35" t="s">
        <v>33</v>
      </c>
      <c r="BD125" s="35"/>
      <c r="BE125" s="35">
        <v>0</v>
      </c>
      <c r="BF125" s="35"/>
      <c r="BG125" s="35"/>
      <c r="BH125" s="35"/>
      <c r="BI125" s="35">
        <v>0</v>
      </c>
      <c r="BJ125" s="35"/>
      <c r="BK125" s="35">
        <v>0</v>
      </c>
      <c r="BL125" s="35"/>
      <c r="BM125" s="35">
        <f t="shared" si="19"/>
        <v>0</v>
      </c>
      <c r="BN125" s="54" t="s">
        <v>347</v>
      </c>
    </row>
    <row r="126" spans="1:66" ht="12.75" hidden="1" customHeight="1">
      <c r="A126" s="35" t="s">
        <v>158</v>
      </c>
      <c r="C126" s="35" t="s">
        <v>159</v>
      </c>
      <c r="D126" s="35"/>
      <c r="E126" s="35">
        <f t="shared" si="21"/>
        <v>0</v>
      </c>
      <c r="F126" s="35"/>
      <c r="G126" s="35">
        <v>0</v>
      </c>
      <c r="H126" s="35"/>
      <c r="I126" s="35">
        <v>0</v>
      </c>
      <c r="J126" s="35"/>
      <c r="K126" s="35">
        <f t="shared" si="22"/>
        <v>0</v>
      </c>
      <c r="L126" s="35"/>
      <c r="M126" s="35">
        <v>0</v>
      </c>
      <c r="N126" s="35"/>
      <c r="O126" s="35">
        <v>0</v>
      </c>
      <c r="P126" s="35"/>
      <c r="Q126" s="35">
        <v>0</v>
      </c>
      <c r="R126" s="35"/>
      <c r="S126" s="35">
        <v>0</v>
      </c>
      <c r="T126" s="35"/>
      <c r="U126" s="35">
        <v>0</v>
      </c>
      <c r="V126" s="35"/>
      <c r="W126" s="35">
        <f t="shared" si="23"/>
        <v>0</v>
      </c>
      <c r="X126" s="35"/>
      <c r="Y126" s="35" t="s">
        <v>158</v>
      </c>
      <c r="Z126" s="55"/>
      <c r="AA126" s="35" t="s">
        <v>159</v>
      </c>
      <c r="AB126" s="35"/>
      <c r="AC126" s="35">
        <v>0</v>
      </c>
      <c r="AD126" s="35"/>
      <c r="AE126" s="35">
        <v>0</v>
      </c>
      <c r="AF126" s="35"/>
      <c r="AG126" s="35">
        <v>0</v>
      </c>
      <c r="AH126" s="35"/>
      <c r="AI126" s="45">
        <f t="shared" si="18"/>
        <v>0</v>
      </c>
      <c r="AJ126" s="45"/>
      <c r="AK126" s="35">
        <v>0</v>
      </c>
      <c r="AL126" s="35"/>
      <c r="AM126" s="35">
        <v>0</v>
      </c>
      <c r="AN126" s="35"/>
      <c r="AO126" s="35">
        <v>0</v>
      </c>
      <c r="AP126" s="35"/>
      <c r="AQ126" s="35">
        <v>0</v>
      </c>
      <c r="AR126" s="35"/>
      <c r="AS126" s="45">
        <f t="shared" si="20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4"/>
        <v>0</v>
      </c>
      <c r="AZ126" s="35"/>
      <c r="BA126" s="35" t="s">
        <v>158</v>
      </c>
      <c r="BB126" s="55"/>
      <c r="BC126" s="35" t="s">
        <v>159</v>
      </c>
      <c r="BD126" s="35"/>
      <c r="BE126" s="35">
        <v>0</v>
      </c>
      <c r="BF126" s="35"/>
      <c r="BG126" s="35"/>
      <c r="BH126" s="35"/>
      <c r="BI126" s="35">
        <v>0</v>
      </c>
      <c r="BJ126" s="35"/>
      <c r="BK126" s="35">
        <v>0</v>
      </c>
      <c r="BL126" s="35"/>
      <c r="BM126" s="35">
        <f t="shared" si="19"/>
        <v>0</v>
      </c>
      <c r="BN126" s="54" t="s">
        <v>347</v>
      </c>
    </row>
    <row r="127" spans="1:66" ht="12.75" hidden="1" customHeight="1">
      <c r="A127" s="35" t="s">
        <v>160</v>
      </c>
      <c r="C127" s="35" t="s">
        <v>111</v>
      </c>
      <c r="D127" s="35"/>
      <c r="E127" s="35">
        <f t="shared" si="21"/>
        <v>0</v>
      </c>
      <c r="F127" s="35"/>
      <c r="G127" s="35">
        <v>0</v>
      </c>
      <c r="H127" s="35"/>
      <c r="I127" s="35">
        <v>0</v>
      </c>
      <c r="J127" s="35"/>
      <c r="K127" s="35">
        <f t="shared" si="22"/>
        <v>0</v>
      </c>
      <c r="L127" s="35"/>
      <c r="M127" s="35">
        <v>0</v>
      </c>
      <c r="N127" s="35"/>
      <c r="O127" s="35">
        <v>0</v>
      </c>
      <c r="P127" s="35"/>
      <c r="Q127" s="35">
        <v>0</v>
      </c>
      <c r="R127" s="35"/>
      <c r="S127" s="35">
        <v>0</v>
      </c>
      <c r="T127" s="35"/>
      <c r="U127" s="35">
        <v>0</v>
      </c>
      <c r="V127" s="35"/>
      <c r="W127" s="35">
        <f t="shared" si="23"/>
        <v>0</v>
      </c>
      <c r="X127" s="35"/>
      <c r="Y127" s="35" t="s">
        <v>160</v>
      </c>
      <c r="Z127" s="55"/>
      <c r="AA127" s="35" t="s">
        <v>111</v>
      </c>
      <c r="AB127" s="35"/>
      <c r="AC127" s="35">
        <v>0</v>
      </c>
      <c r="AD127" s="35"/>
      <c r="AE127" s="35">
        <v>0</v>
      </c>
      <c r="AF127" s="35"/>
      <c r="AG127" s="35">
        <v>0</v>
      </c>
      <c r="AH127" s="35"/>
      <c r="AI127" s="45">
        <f t="shared" si="18"/>
        <v>0</v>
      </c>
      <c r="AJ127" s="45"/>
      <c r="AK127" s="35">
        <v>0</v>
      </c>
      <c r="AL127" s="35"/>
      <c r="AM127" s="35">
        <v>0</v>
      </c>
      <c r="AN127" s="35"/>
      <c r="AO127" s="35">
        <v>0</v>
      </c>
      <c r="AP127" s="35"/>
      <c r="AQ127" s="35">
        <v>0</v>
      </c>
      <c r="AR127" s="35"/>
      <c r="AS127" s="45">
        <f t="shared" si="20"/>
        <v>0</v>
      </c>
      <c r="AT127" s="45"/>
      <c r="AU127" s="35">
        <v>0</v>
      </c>
      <c r="AV127" s="35"/>
      <c r="AW127" s="35">
        <v>0</v>
      </c>
      <c r="AX127" s="35"/>
      <c r="AY127" s="35">
        <f t="shared" si="24"/>
        <v>0</v>
      </c>
      <c r="AZ127" s="35"/>
      <c r="BA127" s="35" t="s">
        <v>160</v>
      </c>
      <c r="BB127" s="55"/>
      <c r="BC127" s="35" t="s">
        <v>111</v>
      </c>
      <c r="BD127" s="35"/>
      <c r="BE127" s="35">
        <v>0</v>
      </c>
      <c r="BF127" s="35"/>
      <c r="BG127" s="35"/>
      <c r="BH127" s="35"/>
      <c r="BI127" s="35">
        <v>0</v>
      </c>
      <c r="BJ127" s="35"/>
      <c r="BK127" s="35">
        <v>0</v>
      </c>
      <c r="BL127" s="35"/>
      <c r="BM127" s="35">
        <f t="shared" si="19"/>
        <v>0</v>
      </c>
      <c r="BN127" s="54" t="s">
        <v>347</v>
      </c>
    </row>
    <row r="128" spans="1:66" ht="12.75" hidden="1" customHeight="1">
      <c r="A128" s="35" t="s">
        <v>161</v>
      </c>
      <c r="C128" s="35" t="s">
        <v>15</v>
      </c>
      <c r="D128" s="35"/>
      <c r="E128" s="35">
        <f t="shared" si="21"/>
        <v>0</v>
      </c>
      <c r="F128" s="35"/>
      <c r="G128" s="35">
        <v>0</v>
      </c>
      <c r="H128" s="35"/>
      <c r="I128" s="35">
        <v>0</v>
      </c>
      <c r="J128" s="35"/>
      <c r="K128" s="35">
        <f t="shared" si="22"/>
        <v>0</v>
      </c>
      <c r="L128" s="35"/>
      <c r="M128" s="35">
        <v>0</v>
      </c>
      <c r="N128" s="35"/>
      <c r="O128" s="35">
        <v>0</v>
      </c>
      <c r="P128" s="35"/>
      <c r="Q128" s="35">
        <v>0</v>
      </c>
      <c r="R128" s="35"/>
      <c r="S128" s="35">
        <v>0</v>
      </c>
      <c r="T128" s="35"/>
      <c r="U128" s="35">
        <v>0</v>
      </c>
      <c r="V128" s="35"/>
      <c r="W128" s="35">
        <f t="shared" si="23"/>
        <v>0</v>
      </c>
      <c r="X128" s="35"/>
      <c r="Y128" s="35" t="s">
        <v>161</v>
      </c>
      <c r="Z128" s="55"/>
      <c r="AA128" s="35" t="s">
        <v>15</v>
      </c>
      <c r="AB128" s="35"/>
      <c r="AC128" s="35">
        <v>0</v>
      </c>
      <c r="AD128" s="35"/>
      <c r="AE128" s="35">
        <v>0</v>
      </c>
      <c r="AF128" s="35"/>
      <c r="AG128" s="35">
        <v>0</v>
      </c>
      <c r="AH128" s="35"/>
      <c r="AI128" s="45">
        <f t="shared" si="18"/>
        <v>0</v>
      </c>
      <c r="AJ128" s="45"/>
      <c r="AK128" s="35">
        <v>0</v>
      </c>
      <c r="AL128" s="35"/>
      <c r="AM128" s="35">
        <v>0</v>
      </c>
      <c r="AN128" s="35"/>
      <c r="AO128" s="35">
        <v>0</v>
      </c>
      <c r="AP128" s="35"/>
      <c r="AQ128" s="35">
        <v>0</v>
      </c>
      <c r="AR128" s="35"/>
      <c r="AS128" s="45">
        <f t="shared" si="20"/>
        <v>0</v>
      </c>
      <c r="AT128" s="45"/>
      <c r="AU128" s="35">
        <v>0</v>
      </c>
      <c r="AV128" s="35"/>
      <c r="AW128" s="35">
        <v>0</v>
      </c>
      <c r="AX128" s="35"/>
      <c r="AY128" s="35">
        <f t="shared" si="24"/>
        <v>0</v>
      </c>
      <c r="AZ128" s="35"/>
      <c r="BA128" s="35" t="s">
        <v>161</v>
      </c>
      <c r="BB128" s="55"/>
      <c r="BC128" s="35" t="s">
        <v>15</v>
      </c>
      <c r="BD128" s="35"/>
      <c r="BE128" s="35">
        <v>0</v>
      </c>
      <c r="BF128" s="35"/>
      <c r="BG128" s="35"/>
      <c r="BH128" s="35"/>
      <c r="BI128" s="35">
        <v>0</v>
      </c>
      <c r="BJ128" s="35"/>
      <c r="BK128" s="35">
        <v>0</v>
      </c>
      <c r="BL128" s="35"/>
      <c r="BM128" s="35">
        <f t="shared" si="19"/>
        <v>0</v>
      </c>
      <c r="BN128" s="54" t="s">
        <v>347</v>
      </c>
    </row>
    <row r="129" spans="1:66" ht="12.75" hidden="1" customHeight="1">
      <c r="A129" s="35" t="s">
        <v>162</v>
      </c>
      <c r="C129" s="35" t="s">
        <v>163</v>
      </c>
      <c r="D129" s="35"/>
      <c r="E129" s="35">
        <f t="shared" si="21"/>
        <v>0</v>
      </c>
      <c r="F129" s="35"/>
      <c r="G129" s="35">
        <v>0</v>
      </c>
      <c r="H129" s="35"/>
      <c r="I129" s="35">
        <v>0</v>
      </c>
      <c r="J129" s="35"/>
      <c r="K129" s="35">
        <f t="shared" si="22"/>
        <v>0</v>
      </c>
      <c r="L129" s="35"/>
      <c r="M129" s="35">
        <v>0</v>
      </c>
      <c r="N129" s="35"/>
      <c r="O129" s="35">
        <v>0</v>
      </c>
      <c r="P129" s="35"/>
      <c r="Q129" s="35">
        <v>0</v>
      </c>
      <c r="R129" s="35"/>
      <c r="S129" s="35">
        <v>0</v>
      </c>
      <c r="T129" s="35"/>
      <c r="U129" s="35">
        <v>0</v>
      </c>
      <c r="V129" s="35"/>
      <c r="W129" s="35">
        <f t="shared" si="23"/>
        <v>0</v>
      </c>
      <c r="X129" s="35"/>
      <c r="Y129" s="35" t="s">
        <v>162</v>
      </c>
      <c r="Z129" s="55"/>
      <c r="AA129" s="35" t="s">
        <v>163</v>
      </c>
      <c r="AB129" s="35"/>
      <c r="AC129" s="35">
        <v>0</v>
      </c>
      <c r="AD129" s="35"/>
      <c r="AE129" s="35">
        <v>0</v>
      </c>
      <c r="AF129" s="35"/>
      <c r="AG129" s="35">
        <v>0</v>
      </c>
      <c r="AH129" s="35"/>
      <c r="AI129" s="45">
        <f t="shared" si="18"/>
        <v>0</v>
      </c>
      <c r="AJ129" s="45"/>
      <c r="AK129" s="35">
        <v>0</v>
      </c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20"/>
        <v>0</v>
      </c>
      <c r="AT129" s="45"/>
      <c r="AU129" s="35">
        <v>0</v>
      </c>
      <c r="AV129" s="35"/>
      <c r="AW129" s="35">
        <v>0</v>
      </c>
      <c r="AX129" s="35"/>
      <c r="AY129" s="35">
        <f t="shared" si="24"/>
        <v>0</v>
      </c>
      <c r="AZ129" s="35"/>
      <c r="BA129" s="35" t="s">
        <v>162</v>
      </c>
      <c r="BB129" s="55"/>
      <c r="BC129" s="35" t="s">
        <v>163</v>
      </c>
      <c r="BD129" s="35"/>
      <c r="BE129" s="35">
        <v>0</v>
      </c>
      <c r="BF129" s="35"/>
      <c r="BG129" s="35"/>
      <c r="BH129" s="35"/>
      <c r="BI129" s="35">
        <v>0</v>
      </c>
      <c r="BJ129" s="35"/>
      <c r="BK129" s="35">
        <v>0</v>
      </c>
      <c r="BL129" s="35"/>
      <c r="BM129" s="35">
        <f t="shared" si="19"/>
        <v>0</v>
      </c>
      <c r="BN129" s="54" t="s">
        <v>347</v>
      </c>
    </row>
    <row r="130" spans="1:66" ht="12.75" hidden="1" customHeight="1">
      <c r="A130" s="35" t="s">
        <v>164</v>
      </c>
      <c r="C130" s="35" t="s">
        <v>27</v>
      </c>
      <c r="D130" s="35"/>
      <c r="E130" s="35">
        <f t="shared" si="21"/>
        <v>0</v>
      </c>
      <c r="F130" s="35"/>
      <c r="G130" s="35">
        <v>0</v>
      </c>
      <c r="H130" s="35"/>
      <c r="I130" s="35">
        <v>0</v>
      </c>
      <c r="J130" s="35"/>
      <c r="K130" s="35">
        <f t="shared" si="22"/>
        <v>0</v>
      </c>
      <c r="L130" s="35"/>
      <c r="M130" s="35">
        <v>0</v>
      </c>
      <c r="N130" s="35"/>
      <c r="O130" s="35">
        <v>0</v>
      </c>
      <c r="P130" s="35"/>
      <c r="Q130" s="35">
        <v>0</v>
      </c>
      <c r="R130" s="35"/>
      <c r="S130" s="35">
        <v>0</v>
      </c>
      <c r="T130" s="35"/>
      <c r="U130" s="35">
        <v>0</v>
      </c>
      <c r="V130" s="35"/>
      <c r="W130" s="35">
        <f t="shared" si="23"/>
        <v>0</v>
      </c>
      <c r="X130" s="35"/>
      <c r="Y130" s="35" t="s">
        <v>164</v>
      </c>
      <c r="Z130" s="55"/>
      <c r="AA130" s="35" t="s">
        <v>27</v>
      </c>
      <c r="AB130" s="35"/>
      <c r="AC130" s="35">
        <v>0</v>
      </c>
      <c r="AD130" s="35"/>
      <c r="AE130" s="35">
        <v>0</v>
      </c>
      <c r="AF130" s="35"/>
      <c r="AG130" s="35">
        <v>0</v>
      </c>
      <c r="AH130" s="35"/>
      <c r="AI130" s="45">
        <f t="shared" si="18"/>
        <v>0</v>
      </c>
      <c r="AJ130" s="45"/>
      <c r="AK130" s="35">
        <v>0</v>
      </c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20"/>
        <v>0</v>
      </c>
      <c r="AT130" s="45"/>
      <c r="AU130" s="35">
        <v>0</v>
      </c>
      <c r="AV130" s="35"/>
      <c r="AW130" s="35">
        <v>0</v>
      </c>
      <c r="AX130" s="35"/>
      <c r="AY130" s="35">
        <f t="shared" si="24"/>
        <v>0</v>
      </c>
      <c r="AZ130" s="35"/>
      <c r="BA130" s="35" t="s">
        <v>164</v>
      </c>
      <c r="BB130" s="55"/>
      <c r="BC130" s="35" t="s">
        <v>27</v>
      </c>
      <c r="BD130" s="35"/>
      <c r="BE130" s="35">
        <v>0</v>
      </c>
      <c r="BF130" s="35"/>
      <c r="BG130" s="35"/>
      <c r="BH130" s="35"/>
      <c r="BI130" s="35">
        <v>0</v>
      </c>
      <c r="BJ130" s="35"/>
      <c r="BK130" s="35">
        <v>0</v>
      </c>
      <c r="BL130" s="35"/>
      <c r="BM130" s="35">
        <f t="shared" ref="BM130:BM141" si="25">SUM(BE130:BK130)</f>
        <v>0</v>
      </c>
      <c r="BN130" s="54" t="s">
        <v>347</v>
      </c>
    </row>
    <row r="131" spans="1:66" ht="12.75" hidden="1" customHeight="1">
      <c r="A131" s="35" t="s">
        <v>53</v>
      </c>
      <c r="C131" s="35" t="s">
        <v>53</v>
      </c>
      <c r="D131" s="35"/>
      <c r="E131" s="35">
        <f t="shared" si="21"/>
        <v>0</v>
      </c>
      <c r="F131" s="35"/>
      <c r="G131" s="35">
        <v>0</v>
      </c>
      <c r="H131" s="35"/>
      <c r="I131" s="35">
        <v>0</v>
      </c>
      <c r="J131" s="35"/>
      <c r="K131" s="35">
        <f t="shared" si="22"/>
        <v>0</v>
      </c>
      <c r="L131" s="35"/>
      <c r="M131" s="35">
        <v>0</v>
      </c>
      <c r="N131" s="35"/>
      <c r="O131" s="35">
        <v>0</v>
      </c>
      <c r="P131" s="35"/>
      <c r="Q131" s="35">
        <v>0</v>
      </c>
      <c r="R131" s="35"/>
      <c r="S131" s="35">
        <v>0</v>
      </c>
      <c r="T131" s="35"/>
      <c r="U131" s="35">
        <v>0</v>
      </c>
      <c r="V131" s="35"/>
      <c r="W131" s="35">
        <f t="shared" si="23"/>
        <v>0</v>
      </c>
      <c r="X131" s="35"/>
      <c r="Y131" s="35" t="s">
        <v>53</v>
      </c>
      <c r="Z131" s="55"/>
      <c r="AA131" s="35" t="s">
        <v>53</v>
      </c>
      <c r="AB131" s="35"/>
      <c r="AC131" s="35">
        <v>0</v>
      </c>
      <c r="AD131" s="35"/>
      <c r="AE131" s="35">
        <v>0</v>
      </c>
      <c r="AF131" s="35"/>
      <c r="AG131" s="35">
        <v>0</v>
      </c>
      <c r="AH131" s="35"/>
      <c r="AI131" s="45">
        <f t="shared" si="18"/>
        <v>0</v>
      </c>
      <c r="AJ131" s="45"/>
      <c r="AK131" s="35">
        <v>0</v>
      </c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20"/>
        <v>0</v>
      </c>
      <c r="AT131" s="45"/>
      <c r="AU131" s="35">
        <v>0</v>
      </c>
      <c r="AV131" s="35"/>
      <c r="AW131" s="35">
        <v>0</v>
      </c>
      <c r="AX131" s="35"/>
      <c r="AY131" s="35">
        <f t="shared" si="24"/>
        <v>0</v>
      </c>
      <c r="AZ131" s="35"/>
      <c r="BA131" s="35" t="s">
        <v>53</v>
      </c>
      <c r="BB131" s="55"/>
      <c r="BC131" s="35" t="s">
        <v>53</v>
      </c>
      <c r="BD131" s="35"/>
      <c r="BE131" s="35">
        <v>0</v>
      </c>
      <c r="BF131" s="35"/>
      <c r="BG131" s="35"/>
      <c r="BH131" s="35"/>
      <c r="BI131" s="35">
        <v>0</v>
      </c>
      <c r="BJ131" s="35"/>
      <c r="BK131" s="35">
        <v>0</v>
      </c>
      <c r="BL131" s="35"/>
      <c r="BM131" s="35">
        <f t="shared" si="25"/>
        <v>0</v>
      </c>
      <c r="BN131" s="54" t="s">
        <v>347</v>
      </c>
    </row>
    <row r="132" spans="1:66" ht="12.75" hidden="1" customHeight="1">
      <c r="A132" s="35" t="s">
        <v>165</v>
      </c>
      <c r="C132" s="35" t="s">
        <v>92</v>
      </c>
      <c r="D132" s="35"/>
      <c r="E132" s="35">
        <f t="shared" si="21"/>
        <v>0</v>
      </c>
      <c r="F132" s="35"/>
      <c r="G132" s="35">
        <v>0</v>
      </c>
      <c r="H132" s="35"/>
      <c r="I132" s="35">
        <v>0</v>
      </c>
      <c r="J132" s="35"/>
      <c r="K132" s="35">
        <f t="shared" si="22"/>
        <v>0</v>
      </c>
      <c r="L132" s="35"/>
      <c r="M132" s="35">
        <v>0</v>
      </c>
      <c r="N132" s="35"/>
      <c r="O132" s="35">
        <v>0</v>
      </c>
      <c r="P132" s="35"/>
      <c r="Q132" s="35">
        <v>0</v>
      </c>
      <c r="R132" s="35"/>
      <c r="S132" s="35">
        <v>0</v>
      </c>
      <c r="T132" s="35"/>
      <c r="U132" s="35">
        <v>0</v>
      </c>
      <c r="V132" s="35"/>
      <c r="W132" s="35">
        <f t="shared" si="23"/>
        <v>0</v>
      </c>
      <c r="X132" s="35"/>
      <c r="Y132" s="35" t="s">
        <v>165</v>
      </c>
      <c r="Z132" s="55"/>
      <c r="AA132" s="35" t="s">
        <v>92</v>
      </c>
      <c r="AB132" s="35"/>
      <c r="AC132" s="35">
        <v>0</v>
      </c>
      <c r="AD132" s="35"/>
      <c r="AE132" s="35">
        <v>0</v>
      </c>
      <c r="AF132" s="35"/>
      <c r="AG132" s="35">
        <v>0</v>
      </c>
      <c r="AH132" s="35"/>
      <c r="AI132" s="45">
        <f t="shared" si="18"/>
        <v>0</v>
      </c>
      <c r="AJ132" s="45"/>
      <c r="AK132" s="35">
        <v>0</v>
      </c>
      <c r="AL132" s="35"/>
      <c r="AM132" s="35">
        <v>0</v>
      </c>
      <c r="AN132" s="35"/>
      <c r="AO132" s="35">
        <v>0</v>
      </c>
      <c r="AP132" s="35"/>
      <c r="AQ132" s="35">
        <v>0</v>
      </c>
      <c r="AR132" s="35"/>
      <c r="AS132" s="45">
        <f t="shared" si="20"/>
        <v>0</v>
      </c>
      <c r="AT132" s="45"/>
      <c r="AU132" s="35">
        <v>0</v>
      </c>
      <c r="AV132" s="35"/>
      <c r="AW132" s="35">
        <v>0</v>
      </c>
      <c r="AX132" s="35"/>
      <c r="AY132" s="35">
        <f t="shared" si="24"/>
        <v>0</v>
      </c>
      <c r="AZ132" s="35"/>
      <c r="BA132" s="35" t="s">
        <v>165</v>
      </c>
      <c r="BB132" s="55"/>
      <c r="BC132" s="35" t="s">
        <v>92</v>
      </c>
      <c r="BD132" s="35"/>
      <c r="BE132" s="35">
        <v>0</v>
      </c>
      <c r="BF132" s="35"/>
      <c r="BG132" s="35"/>
      <c r="BH132" s="35"/>
      <c r="BI132" s="35">
        <v>0</v>
      </c>
      <c r="BJ132" s="35"/>
      <c r="BK132" s="35">
        <v>0</v>
      </c>
      <c r="BL132" s="35"/>
      <c r="BM132" s="35">
        <f t="shared" si="25"/>
        <v>0</v>
      </c>
      <c r="BN132" s="54" t="s">
        <v>347</v>
      </c>
    </row>
    <row r="133" spans="1:66" ht="12.75" hidden="1" customHeight="1">
      <c r="A133" s="35" t="s">
        <v>166</v>
      </c>
      <c r="C133" s="35" t="s">
        <v>92</v>
      </c>
      <c r="D133" s="35"/>
      <c r="E133" s="35">
        <f t="shared" si="21"/>
        <v>0</v>
      </c>
      <c r="F133" s="35"/>
      <c r="G133" s="35">
        <v>0</v>
      </c>
      <c r="H133" s="35"/>
      <c r="I133" s="35">
        <v>0</v>
      </c>
      <c r="J133" s="35"/>
      <c r="K133" s="35">
        <f t="shared" si="22"/>
        <v>0</v>
      </c>
      <c r="L133" s="35"/>
      <c r="M133" s="35">
        <v>0</v>
      </c>
      <c r="N133" s="35"/>
      <c r="O133" s="35">
        <v>0</v>
      </c>
      <c r="P133" s="35"/>
      <c r="Q133" s="35">
        <v>0</v>
      </c>
      <c r="R133" s="35"/>
      <c r="S133" s="35">
        <v>0</v>
      </c>
      <c r="T133" s="35"/>
      <c r="U133" s="35">
        <v>0</v>
      </c>
      <c r="V133" s="35"/>
      <c r="W133" s="35">
        <f t="shared" si="23"/>
        <v>0</v>
      </c>
      <c r="X133" s="35"/>
      <c r="Y133" s="35" t="s">
        <v>166</v>
      </c>
      <c r="Z133" s="55"/>
      <c r="AA133" s="35" t="s">
        <v>92</v>
      </c>
      <c r="AB133" s="35"/>
      <c r="AC133" s="35">
        <v>0</v>
      </c>
      <c r="AD133" s="35"/>
      <c r="AE133" s="35">
        <v>0</v>
      </c>
      <c r="AF133" s="35"/>
      <c r="AG133" s="35">
        <v>0</v>
      </c>
      <c r="AH133" s="35"/>
      <c r="AI133" s="45">
        <f t="shared" si="18"/>
        <v>0</v>
      </c>
      <c r="AJ133" s="45"/>
      <c r="AK133" s="35">
        <v>0</v>
      </c>
      <c r="AL133" s="35"/>
      <c r="AM133" s="35">
        <v>0</v>
      </c>
      <c r="AN133" s="35"/>
      <c r="AO133" s="35">
        <v>0</v>
      </c>
      <c r="AP133" s="35"/>
      <c r="AQ133" s="35">
        <v>0</v>
      </c>
      <c r="AR133" s="35"/>
      <c r="AS133" s="45">
        <f t="shared" si="20"/>
        <v>0</v>
      </c>
      <c r="AT133" s="45"/>
      <c r="AU133" s="35">
        <v>0</v>
      </c>
      <c r="AV133" s="35"/>
      <c r="AW133" s="35">
        <v>0</v>
      </c>
      <c r="AX133" s="35"/>
      <c r="AY133" s="35">
        <f t="shared" si="24"/>
        <v>0</v>
      </c>
      <c r="AZ133" s="35"/>
      <c r="BA133" s="35" t="s">
        <v>166</v>
      </c>
      <c r="BB133" s="55"/>
      <c r="BC133" s="35" t="s">
        <v>92</v>
      </c>
      <c r="BD133" s="35"/>
      <c r="BE133" s="35">
        <v>0</v>
      </c>
      <c r="BF133" s="35"/>
      <c r="BG133" s="35"/>
      <c r="BH133" s="35"/>
      <c r="BI133" s="35">
        <v>0</v>
      </c>
      <c r="BJ133" s="35"/>
      <c r="BK133" s="35">
        <v>0</v>
      </c>
      <c r="BL133" s="35"/>
      <c r="BM133" s="35">
        <f t="shared" si="25"/>
        <v>0</v>
      </c>
      <c r="BN133" s="54" t="s">
        <v>347</v>
      </c>
    </row>
    <row r="134" spans="1:66" ht="12.75" hidden="1" customHeight="1">
      <c r="A134" s="35" t="s">
        <v>167</v>
      </c>
      <c r="C134" s="35" t="s">
        <v>66</v>
      </c>
      <c r="D134" s="35"/>
      <c r="E134" s="35">
        <f t="shared" si="21"/>
        <v>0</v>
      </c>
      <c r="F134" s="35"/>
      <c r="G134" s="35">
        <v>0</v>
      </c>
      <c r="H134" s="35"/>
      <c r="I134" s="35">
        <v>0</v>
      </c>
      <c r="J134" s="35"/>
      <c r="K134" s="35">
        <f t="shared" si="22"/>
        <v>0</v>
      </c>
      <c r="L134" s="35"/>
      <c r="M134" s="35">
        <v>0</v>
      </c>
      <c r="N134" s="35"/>
      <c r="O134" s="35">
        <v>0</v>
      </c>
      <c r="P134" s="35"/>
      <c r="Q134" s="35">
        <v>0</v>
      </c>
      <c r="R134" s="35"/>
      <c r="S134" s="35">
        <v>0</v>
      </c>
      <c r="T134" s="35"/>
      <c r="U134" s="35">
        <v>0</v>
      </c>
      <c r="V134" s="35"/>
      <c r="W134" s="35">
        <f t="shared" si="23"/>
        <v>0</v>
      </c>
      <c r="X134" s="35"/>
      <c r="Y134" s="35" t="s">
        <v>167</v>
      </c>
      <c r="Z134" s="55"/>
      <c r="AA134" s="35" t="s">
        <v>66</v>
      </c>
      <c r="AB134" s="35"/>
      <c r="AC134" s="35">
        <v>0</v>
      </c>
      <c r="AD134" s="35"/>
      <c r="AE134" s="35">
        <v>0</v>
      </c>
      <c r="AF134" s="35"/>
      <c r="AG134" s="35">
        <v>0</v>
      </c>
      <c r="AH134" s="35"/>
      <c r="AI134" s="45">
        <f t="shared" si="18"/>
        <v>0</v>
      </c>
      <c r="AJ134" s="45"/>
      <c r="AK134" s="35">
        <v>0</v>
      </c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20"/>
        <v>0</v>
      </c>
      <c r="AT134" s="45"/>
      <c r="AU134" s="35">
        <v>0</v>
      </c>
      <c r="AV134" s="35"/>
      <c r="AW134" s="35">
        <v>0</v>
      </c>
      <c r="AX134" s="35"/>
      <c r="AY134" s="35">
        <f t="shared" si="24"/>
        <v>0</v>
      </c>
      <c r="AZ134" s="35"/>
      <c r="BA134" s="35" t="s">
        <v>167</v>
      </c>
      <c r="BB134" s="55"/>
      <c r="BC134" s="35" t="s">
        <v>66</v>
      </c>
      <c r="BD134" s="35"/>
      <c r="BE134" s="35">
        <v>0</v>
      </c>
      <c r="BF134" s="35"/>
      <c r="BG134" s="35"/>
      <c r="BH134" s="35"/>
      <c r="BI134" s="35">
        <v>0</v>
      </c>
      <c r="BJ134" s="35"/>
      <c r="BK134" s="35">
        <v>0</v>
      </c>
      <c r="BL134" s="35"/>
      <c r="BM134" s="35">
        <f t="shared" si="25"/>
        <v>0</v>
      </c>
      <c r="BN134" s="54" t="s">
        <v>347</v>
      </c>
    </row>
    <row r="135" spans="1:66" ht="12.75" hidden="1" customHeight="1">
      <c r="A135" s="44" t="s">
        <v>168</v>
      </c>
      <c r="C135" s="44" t="s">
        <v>27</v>
      </c>
      <c r="D135" s="44"/>
      <c r="E135" s="35">
        <f t="shared" si="21"/>
        <v>0</v>
      </c>
      <c r="F135" s="35"/>
      <c r="G135" s="35">
        <v>0</v>
      </c>
      <c r="H135" s="35"/>
      <c r="I135" s="35">
        <v>0</v>
      </c>
      <c r="J135" s="35"/>
      <c r="K135" s="35">
        <f t="shared" si="22"/>
        <v>0</v>
      </c>
      <c r="L135" s="35"/>
      <c r="M135" s="35">
        <v>0</v>
      </c>
      <c r="N135" s="35"/>
      <c r="O135" s="35">
        <v>0</v>
      </c>
      <c r="P135" s="35"/>
      <c r="Q135" s="35">
        <v>0</v>
      </c>
      <c r="R135" s="35"/>
      <c r="S135" s="35">
        <v>0</v>
      </c>
      <c r="T135" s="35"/>
      <c r="U135" s="35">
        <v>0</v>
      </c>
      <c r="V135" s="35"/>
      <c r="W135" s="35">
        <f t="shared" si="23"/>
        <v>0</v>
      </c>
      <c r="X135" s="35"/>
      <c r="Y135" s="44" t="s">
        <v>168</v>
      </c>
      <c r="Z135" s="55"/>
      <c r="AA135" s="44" t="s">
        <v>27</v>
      </c>
      <c r="AB135" s="44"/>
      <c r="AC135" s="35">
        <v>0</v>
      </c>
      <c r="AD135" s="35"/>
      <c r="AE135" s="35">
        <v>0</v>
      </c>
      <c r="AF135" s="35"/>
      <c r="AG135" s="35">
        <v>0</v>
      </c>
      <c r="AH135" s="35"/>
      <c r="AI135" s="45">
        <f t="shared" si="18"/>
        <v>0</v>
      </c>
      <c r="AJ135" s="45"/>
      <c r="AK135" s="35">
        <v>0</v>
      </c>
      <c r="AL135" s="35"/>
      <c r="AM135" s="35">
        <v>0</v>
      </c>
      <c r="AN135" s="35"/>
      <c r="AO135" s="35">
        <v>0</v>
      </c>
      <c r="AP135" s="35"/>
      <c r="AQ135" s="35">
        <v>0</v>
      </c>
      <c r="AR135" s="35"/>
      <c r="AS135" s="45">
        <f t="shared" si="20"/>
        <v>0</v>
      </c>
      <c r="AT135" s="45"/>
      <c r="AU135" s="35">
        <v>0</v>
      </c>
      <c r="AV135" s="35"/>
      <c r="AW135" s="35">
        <v>0</v>
      </c>
      <c r="AX135" s="35"/>
      <c r="AY135" s="35">
        <f t="shared" si="24"/>
        <v>0</v>
      </c>
      <c r="AZ135" s="35"/>
      <c r="BA135" s="44" t="s">
        <v>168</v>
      </c>
      <c r="BB135" s="55"/>
      <c r="BC135" s="44" t="s">
        <v>27</v>
      </c>
      <c r="BD135" s="44"/>
      <c r="BE135" s="35">
        <v>0</v>
      </c>
      <c r="BF135" s="35"/>
      <c r="BG135" s="35"/>
      <c r="BH135" s="35"/>
      <c r="BI135" s="35">
        <v>0</v>
      </c>
      <c r="BJ135" s="35"/>
      <c r="BK135" s="35">
        <v>0</v>
      </c>
      <c r="BL135" s="35"/>
      <c r="BM135" s="35">
        <f t="shared" si="25"/>
        <v>0</v>
      </c>
      <c r="BN135" s="54" t="s">
        <v>347</v>
      </c>
    </row>
    <row r="136" spans="1:66" ht="12.75" hidden="1" customHeight="1">
      <c r="A136" s="35" t="s">
        <v>169</v>
      </c>
      <c r="C136" s="35" t="s">
        <v>103</v>
      </c>
      <c r="D136" s="35"/>
      <c r="E136" s="35">
        <f t="shared" si="21"/>
        <v>0</v>
      </c>
      <c r="F136" s="35"/>
      <c r="G136" s="35">
        <v>0</v>
      </c>
      <c r="H136" s="35"/>
      <c r="I136" s="35">
        <v>0</v>
      </c>
      <c r="J136" s="35"/>
      <c r="K136" s="35">
        <f t="shared" si="22"/>
        <v>0</v>
      </c>
      <c r="L136" s="35"/>
      <c r="M136" s="35">
        <v>0</v>
      </c>
      <c r="N136" s="35"/>
      <c r="O136" s="35">
        <v>0</v>
      </c>
      <c r="P136" s="35"/>
      <c r="Q136" s="35">
        <v>0</v>
      </c>
      <c r="R136" s="35"/>
      <c r="S136" s="35">
        <v>0</v>
      </c>
      <c r="T136" s="35"/>
      <c r="U136" s="35">
        <v>0</v>
      </c>
      <c r="V136" s="35"/>
      <c r="W136" s="35">
        <f t="shared" si="23"/>
        <v>0</v>
      </c>
      <c r="X136" s="35"/>
      <c r="Y136" s="35" t="s">
        <v>169</v>
      </c>
      <c r="Z136" s="55"/>
      <c r="AA136" s="35" t="s">
        <v>103</v>
      </c>
      <c r="AB136" s="35"/>
      <c r="AC136" s="35">
        <v>0</v>
      </c>
      <c r="AD136" s="35"/>
      <c r="AE136" s="35">
        <v>0</v>
      </c>
      <c r="AF136" s="35"/>
      <c r="AG136" s="35">
        <v>0</v>
      </c>
      <c r="AH136" s="35"/>
      <c r="AI136" s="45">
        <f t="shared" si="18"/>
        <v>0</v>
      </c>
      <c r="AJ136" s="45"/>
      <c r="AK136" s="35">
        <v>0</v>
      </c>
      <c r="AL136" s="35"/>
      <c r="AM136" s="35">
        <v>0</v>
      </c>
      <c r="AN136" s="35"/>
      <c r="AO136" s="35">
        <v>0</v>
      </c>
      <c r="AP136" s="35"/>
      <c r="AQ136" s="35">
        <v>0</v>
      </c>
      <c r="AR136" s="35"/>
      <c r="AS136" s="45">
        <f t="shared" si="20"/>
        <v>0</v>
      </c>
      <c r="AT136" s="45"/>
      <c r="AU136" s="35">
        <v>0</v>
      </c>
      <c r="AV136" s="35"/>
      <c r="AW136" s="35">
        <v>0</v>
      </c>
      <c r="AX136" s="35"/>
      <c r="AY136" s="35">
        <f t="shared" si="24"/>
        <v>0</v>
      </c>
      <c r="AZ136" s="35"/>
      <c r="BA136" s="35" t="s">
        <v>169</v>
      </c>
      <c r="BB136" s="55"/>
      <c r="BC136" s="35" t="s">
        <v>103</v>
      </c>
      <c r="BD136" s="35"/>
      <c r="BE136" s="35">
        <v>0</v>
      </c>
      <c r="BF136" s="35"/>
      <c r="BG136" s="35"/>
      <c r="BH136" s="35"/>
      <c r="BI136" s="35">
        <v>0</v>
      </c>
      <c r="BJ136" s="35"/>
      <c r="BK136" s="35">
        <v>0</v>
      </c>
      <c r="BL136" s="35"/>
      <c r="BM136" s="35">
        <f t="shared" si="25"/>
        <v>0</v>
      </c>
      <c r="BN136" s="54" t="s">
        <v>347</v>
      </c>
    </row>
    <row r="137" spans="1:66" ht="12.75" hidden="1" customHeight="1">
      <c r="A137" s="35" t="s">
        <v>170</v>
      </c>
      <c r="C137" s="35" t="s">
        <v>171</v>
      </c>
      <c r="D137" s="35"/>
      <c r="E137" s="35">
        <f t="shared" si="21"/>
        <v>0</v>
      </c>
      <c r="F137" s="35"/>
      <c r="G137" s="35">
        <v>0</v>
      </c>
      <c r="H137" s="35"/>
      <c r="I137" s="35">
        <v>0</v>
      </c>
      <c r="J137" s="35"/>
      <c r="K137" s="35">
        <f t="shared" si="22"/>
        <v>0</v>
      </c>
      <c r="L137" s="35"/>
      <c r="M137" s="35">
        <v>0</v>
      </c>
      <c r="N137" s="35"/>
      <c r="O137" s="35">
        <v>0</v>
      </c>
      <c r="P137" s="35"/>
      <c r="Q137" s="35">
        <v>0</v>
      </c>
      <c r="R137" s="35"/>
      <c r="S137" s="35">
        <v>0</v>
      </c>
      <c r="T137" s="35"/>
      <c r="U137" s="35">
        <v>0</v>
      </c>
      <c r="V137" s="35"/>
      <c r="W137" s="35">
        <f t="shared" si="23"/>
        <v>0</v>
      </c>
      <c r="X137" s="35"/>
      <c r="Y137" s="35" t="s">
        <v>170</v>
      </c>
      <c r="Z137" s="55"/>
      <c r="AA137" s="35" t="s">
        <v>171</v>
      </c>
      <c r="AB137" s="35"/>
      <c r="AC137" s="35">
        <v>0</v>
      </c>
      <c r="AD137" s="35"/>
      <c r="AE137" s="35">
        <v>0</v>
      </c>
      <c r="AF137" s="35"/>
      <c r="AG137" s="35">
        <v>0</v>
      </c>
      <c r="AH137" s="35"/>
      <c r="AI137" s="45">
        <f t="shared" si="18"/>
        <v>0</v>
      </c>
      <c r="AJ137" s="45"/>
      <c r="AK137" s="35">
        <v>0</v>
      </c>
      <c r="AL137" s="35"/>
      <c r="AM137" s="35">
        <v>0</v>
      </c>
      <c r="AN137" s="35"/>
      <c r="AO137" s="35">
        <v>0</v>
      </c>
      <c r="AP137" s="35"/>
      <c r="AQ137" s="35">
        <v>0</v>
      </c>
      <c r="AR137" s="35"/>
      <c r="AS137" s="45">
        <f t="shared" si="20"/>
        <v>0</v>
      </c>
      <c r="AT137" s="45"/>
      <c r="AU137" s="35">
        <v>0</v>
      </c>
      <c r="AV137" s="35"/>
      <c r="AW137" s="35">
        <v>0</v>
      </c>
      <c r="AX137" s="35"/>
      <c r="AY137" s="35">
        <f t="shared" si="24"/>
        <v>0</v>
      </c>
      <c r="AZ137" s="35"/>
      <c r="BA137" s="35" t="s">
        <v>170</v>
      </c>
      <c r="BB137" s="55"/>
      <c r="BC137" s="35" t="s">
        <v>171</v>
      </c>
      <c r="BD137" s="35"/>
      <c r="BE137" s="35">
        <v>0</v>
      </c>
      <c r="BF137" s="35"/>
      <c r="BG137" s="35"/>
      <c r="BH137" s="35"/>
      <c r="BI137" s="35">
        <v>0</v>
      </c>
      <c r="BJ137" s="35"/>
      <c r="BK137" s="35">
        <v>0</v>
      </c>
      <c r="BL137" s="35"/>
      <c r="BM137" s="35">
        <f t="shared" si="25"/>
        <v>0</v>
      </c>
      <c r="BN137" s="54" t="s">
        <v>347</v>
      </c>
    </row>
    <row r="138" spans="1:66" ht="12.75" hidden="1" customHeight="1">
      <c r="A138" s="35" t="s">
        <v>172</v>
      </c>
      <c r="C138" s="35" t="s">
        <v>103</v>
      </c>
      <c r="D138" s="35"/>
      <c r="E138" s="35">
        <f t="shared" si="21"/>
        <v>0</v>
      </c>
      <c r="F138" s="35"/>
      <c r="G138" s="35">
        <v>0</v>
      </c>
      <c r="H138" s="35"/>
      <c r="I138" s="35">
        <v>0</v>
      </c>
      <c r="J138" s="35"/>
      <c r="K138" s="35">
        <f t="shared" si="22"/>
        <v>0</v>
      </c>
      <c r="L138" s="35"/>
      <c r="M138" s="35">
        <v>0</v>
      </c>
      <c r="N138" s="35"/>
      <c r="O138" s="35">
        <v>0</v>
      </c>
      <c r="P138" s="35"/>
      <c r="Q138" s="35">
        <v>0</v>
      </c>
      <c r="R138" s="35"/>
      <c r="S138" s="35">
        <v>0</v>
      </c>
      <c r="T138" s="35"/>
      <c r="U138" s="35">
        <v>0</v>
      </c>
      <c r="V138" s="35"/>
      <c r="W138" s="35">
        <f t="shared" si="23"/>
        <v>0</v>
      </c>
      <c r="X138" s="35"/>
      <c r="Y138" s="35" t="s">
        <v>172</v>
      </c>
      <c r="Z138" s="55"/>
      <c r="AA138" s="35" t="s">
        <v>103</v>
      </c>
      <c r="AB138" s="35"/>
      <c r="AC138" s="35">
        <v>0</v>
      </c>
      <c r="AD138" s="35"/>
      <c r="AE138" s="35">
        <v>0</v>
      </c>
      <c r="AF138" s="35"/>
      <c r="AG138" s="35">
        <v>0</v>
      </c>
      <c r="AH138" s="35"/>
      <c r="AI138" s="45">
        <f t="shared" si="18"/>
        <v>0</v>
      </c>
      <c r="AJ138" s="45"/>
      <c r="AK138" s="35">
        <v>0</v>
      </c>
      <c r="AL138" s="35"/>
      <c r="AM138" s="35">
        <v>0</v>
      </c>
      <c r="AN138" s="35"/>
      <c r="AO138" s="35">
        <v>0</v>
      </c>
      <c r="AP138" s="35"/>
      <c r="AQ138" s="35">
        <v>0</v>
      </c>
      <c r="AR138" s="35"/>
      <c r="AS138" s="45">
        <f t="shared" si="20"/>
        <v>0</v>
      </c>
      <c r="AT138" s="45"/>
      <c r="AU138" s="35">
        <v>0</v>
      </c>
      <c r="AV138" s="35"/>
      <c r="AW138" s="35">
        <v>0</v>
      </c>
      <c r="AX138" s="35"/>
      <c r="AY138" s="35">
        <f t="shared" si="24"/>
        <v>0</v>
      </c>
      <c r="AZ138" s="35"/>
      <c r="BA138" s="35" t="s">
        <v>172</v>
      </c>
      <c r="BB138" s="55"/>
      <c r="BC138" s="35" t="s">
        <v>103</v>
      </c>
      <c r="BD138" s="35"/>
      <c r="BE138" s="35">
        <v>0</v>
      </c>
      <c r="BF138" s="35"/>
      <c r="BG138" s="35"/>
      <c r="BH138" s="35"/>
      <c r="BI138" s="35">
        <v>0</v>
      </c>
      <c r="BJ138" s="35"/>
      <c r="BK138" s="35">
        <v>0</v>
      </c>
      <c r="BL138" s="35"/>
      <c r="BM138" s="35">
        <f t="shared" si="25"/>
        <v>0</v>
      </c>
      <c r="BN138" s="54" t="s">
        <v>347</v>
      </c>
    </row>
    <row r="139" spans="1:66" ht="12.75" hidden="1" customHeight="1">
      <c r="A139" s="35" t="s">
        <v>66</v>
      </c>
      <c r="C139" s="35" t="s">
        <v>45</v>
      </c>
      <c r="D139" s="35"/>
      <c r="E139" s="35">
        <f t="shared" si="21"/>
        <v>0</v>
      </c>
      <c r="F139" s="35"/>
      <c r="G139" s="35">
        <v>0</v>
      </c>
      <c r="H139" s="35"/>
      <c r="I139" s="35">
        <v>0</v>
      </c>
      <c r="J139" s="35"/>
      <c r="K139" s="35">
        <f t="shared" si="22"/>
        <v>0</v>
      </c>
      <c r="L139" s="35"/>
      <c r="M139" s="35">
        <v>0</v>
      </c>
      <c r="N139" s="35"/>
      <c r="O139" s="35">
        <v>0</v>
      </c>
      <c r="P139" s="35"/>
      <c r="Q139" s="35">
        <v>0</v>
      </c>
      <c r="R139" s="35"/>
      <c r="S139" s="35">
        <v>0</v>
      </c>
      <c r="T139" s="35"/>
      <c r="U139" s="35">
        <v>0</v>
      </c>
      <c r="V139" s="35"/>
      <c r="W139" s="35">
        <f t="shared" si="23"/>
        <v>0</v>
      </c>
      <c r="X139" s="35"/>
      <c r="Y139" s="35" t="s">
        <v>66</v>
      </c>
      <c r="Z139" s="55"/>
      <c r="AA139" s="35" t="s">
        <v>45</v>
      </c>
      <c r="AB139" s="35"/>
      <c r="AC139" s="35">
        <v>0</v>
      </c>
      <c r="AD139" s="35"/>
      <c r="AE139" s="35">
        <v>0</v>
      </c>
      <c r="AF139" s="35"/>
      <c r="AG139" s="35">
        <v>0</v>
      </c>
      <c r="AH139" s="35"/>
      <c r="AI139" s="45">
        <f t="shared" si="18"/>
        <v>0</v>
      </c>
      <c r="AJ139" s="45"/>
      <c r="AK139" s="35">
        <v>0</v>
      </c>
      <c r="AL139" s="35"/>
      <c r="AM139" s="35">
        <v>0</v>
      </c>
      <c r="AN139" s="35"/>
      <c r="AO139" s="35">
        <v>0</v>
      </c>
      <c r="AP139" s="35"/>
      <c r="AQ139" s="35">
        <v>0</v>
      </c>
      <c r="AR139" s="35"/>
      <c r="AS139" s="45">
        <f t="shared" si="20"/>
        <v>0</v>
      </c>
      <c r="AT139" s="45"/>
      <c r="AU139" s="35">
        <v>0</v>
      </c>
      <c r="AV139" s="35"/>
      <c r="AW139" s="35">
        <v>0</v>
      </c>
      <c r="AX139" s="35"/>
      <c r="AY139" s="35">
        <f t="shared" si="24"/>
        <v>0</v>
      </c>
      <c r="AZ139" s="35"/>
      <c r="BA139" s="35" t="s">
        <v>66</v>
      </c>
      <c r="BB139" s="55"/>
      <c r="BC139" s="35" t="s">
        <v>45</v>
      </c>
      <c r="BD139" s="35"/>
      <c r="BE139" s="35">
        <v>0</v>
      </c>
      <c r="BF139" s="35"/>
      <c r="BG139" s="35"/>
      <c r="BH139" s="35"/>
      <c r="BI139" s="35">
        <v>0</v>
      </c>
      <c r="BJ139" s="35"/>
      <c r="BK139" s="35">
        <v>0</v>
      </c>
      <c r="BL139" s="35"/>
      <c r="BM139" s="35">
        <f t="shared" si="25"/>
        <v>0</v>
      </c>
      <c r="BN139" s="54" t="s">
        <v>347</v>
      </c>
    </row>
    <row r="140" spans="1:66" ht="12.75" hidden="1" customHeight="1">
      <c r="A140" s="35" t="s">
        <v>173</v>
      </c>
      <c r="C140" s="35" t="s">
        <v>66</v>
      </c>
      <c r="D140" s="35"/>
      <c r="E140" s="35">
        <f t="shared" si="21"/>
        <v>0</v>
      </c>
      <c r="F140" s="35"/>
      <c r="G140" s="35">
        <v>0</v>
      </c>
      <c r="H140" s="35"/>
      <c r="I140" s="35">
        <v>0</v>
      </c>
      <c r="J140" s="35"/>
      <c r="K140" s="35">
        <f t="shared" si="22"/>
        <v>0</v>
      </c>
      <c r="L140" s="35"/>
      <c r="M140" s="35">
        <v>0</v>
      </c>
      <c r="N140" s="35"/>
      <c r="O140" s="35">
        <v>0</v>
      </c>
      <c r="P140" s="35"/>
      <c r="Q140" s="35">
        <v>0</v>
      </c>
      <c r="R140" s="35"/>
      <c r="S140" s="35">
        <v>0</v>
      </c>
      <c r="T140" s="35"/>
      <c r="U140" s="35">
        <v>0</v>
      </c>
      <c r="V140" s="35"/>
      <c r="W140" s="35">
        <f t="shared" si="23"/>
        <v>0</v>
      </c>
      <c r="X140" s="35"/>
      <c r="Y140" s="35" t="s">
        <v>173</v>
      </c>
      <c r="Z140" s="55"/>
      <c r="AA140" s="35" t="s">
        <v>66</v>
      </c>
      <c r="AB140" s="35"/>
      <c r="AC140" s="35">
        <v>0</v>
      </c>
      <c r="AD140" s="35"/>
      <c r="AE140" s="35">
        <v>0</v>
      </c>
      <c r="AF140" s="35"/>
      <c r="AG140" s="35">
        <v>0</v>
      </c>
      <c r="AH140" s="35"/>
      <c r="AI140" s="45">
        <f t="shared" si="18"/>
        <v>0</v>
      </c>
      <c r="AJ140" s="45"/>
      <c r="AK140" s="35">
        <v>0</v>
      </c>
      <c r="AL140" s="35"/>
      <c r="AM140" s="35">
        <v>0</v>
      </c>
      <c r="AN140" s="35"/>
      <c r="AO140" s="35">
        <v>0</v>
      </c>
      <c r="AP140" s="35"/>
      <c r="AQ140" s="35">
        <v>0</v>
      </c>
      <c r="AR140" s="35"/>
      <c r="AS140" s="45">
        <f t="shared" si="20"/>
        <v>0</v>
      </c>
      <c r="AT140" s="45"/>
      <c r="AU140" s="35">
        <v>0</v>
      </c>
      <c r="AV140" s="35"/>
      <c r="AW140" s="35">
        <v>0</v>
      </c>
      <c r="AX140" s="35"/>
      <c r="AY140" s="35">
        <f t="shared" si="24"/>
        <v>0</v>
      </c>
      <c r="AZ140" s="35"/>
      <c r="BA140" s="35" t="s">
        <v>173</v>
      </c>
      <c r="BB140" s="55"/>
      <c r="BC140" s="35" t="s">
        <v>66</v>
      </c>
      <c r="BD140" s="35"/>
      <c r="BE140" s="35">
        <v>0</v>
      </c>
      <c r="BF140" s="35"/>
      <c r="BG140" s="35"/>
      <c r="BH140" s="35"/>
      <c r="BI140" s="35">
        <v>0</v>
      </c>
      <c r="BJ140" s="35"/>
      <c r="BK140" s="35">
        <v>0</v>
      </c>
      <c r="BL140" s="35"/>
      <c r="BM140" s="35">
        <f t="shared" si="25"/>
        <v>0</v>
      </c>
      <c r="BN140" s="54" t="s">
        <v>347</v>
      </c>
    </row>
    <row r="141" spans="1:66" ht="12.75" hidden="1" customHeight="1">
      <c r="A141" s="35" t="s">
        <v>174</v>
      </c>
      <c r="C141" s="35" t="s">
        <v>45</v>
      </c>
      <c r="D141" s="35"/>
      <c r="E141" s="35">
        <f t="shared" si="21"/>
        <v>0</v>
      </c>
      <c r="F141" s="35"/>
      <c r="G141" s="35">
        <v>0</v>
      </c>
      <c r="H141" s="35"/>
      <c r="I141" s="35">
        <v>0</v>
      </c>
      <c r="J141" s="35"/>
      <c r="K141" s="35">
        <f t="shared" si="22"/>
        <v>0</v>
      </c>
      <c r="L141" s="35"/>
      <c r="M141" s="35">
        <v>0</v>
      </c>
      <c r="N141" s="35"/>
      <c r="O141" s="35">
        <v>0</v>
      </c>
      <c r="P141" s="35"/>
      <c r="Q141" s="35">
        <v>0</v>
      </c>
      <c r="R141" s="35"/>
      <c r="S141" s="35">
        <v>0</v>
      </c>
      <c r="T141" s="35"/>
      <c r="U141" s="35">
        <v>0</v>
      </c>
      <c r="V141" s="35"/>
      <c r="W141" s="35">
        <f t="shared" si="23"/>
        <v>0</v>
      </c>
      <c r="X141" s="35"/>
      <c r="Y141" s="35" t="s">
        <v>174</v>
      </c>
      <c r="Z141" s="55"/>
      <c r="AA141" s="35" t="s">
        <v>45</v>
      </c>
      <c r="AB141" s="35"/>
      <c r="AC141" s="35">
        <v>0</v>
      </c>
      <c r="AD141" s="35"/>
      <c r="AE141" s="35">
        <v>0</v>
      </c>
      <c r="AF141" s="35"/>
      <c r="AG141" s="35">
        <v>0</v>
      </c>
      <c r="AH141" s="35"/>
      <c r="AI141" s="45">
        <f t="shared" si="18"/>
        <v>0</v>
      </c>
      <c r="AJ141" s="45"/>
      <c r="AK141" s="35">
        <v>0</v>
      </c>
      <c r="AL141" s="35"/>
      <c r="AM141" s="35">
        <v>0</v>
      </c>
      <c r="AN141" s="35"/>
      <c r="AO141" s="35">
        <v>0</v>
      </c>
      <c r="AP141" s="35"/>
      <c r="AQ141" s="35">
        <v>0</v>
      </c>
      <c r="AR141" s="35"/>
      <c r="AS141" s="45">
        <f t="shared" si="20"/>
        <v>0</v>
      </c>
      <c r="AT141" s="45"/>
      <c r="AU141" s="35">
        <v>0</v>
      </c>
      <c r="AV141" s="35"/>
      <c r="AW141" s="35">
        <v>0</v>
      </c>
      <c r="AX141" s="35"/>
      <c r="AY141" s="35">
        <f t="shared" si="24"/>
        <v>0</v>
      </c>
      <c r="AZ141" s="35"/>
      <c r="BA141" s="35" t="s">
        <v>174</v>
      </c>
      <c r="BB141" s="55"/>
      <c r="BC141" s="35" t="s">
        <v>45</v>
      </c>
      <c r="BD141" s="35"/>
      <c r="BE141" s="35">
        <v>0</v>
      </c>
      <c r="BF141" s="35"/>
      <c r="BG141" s="35"/>
      <c r="BH141" s="35"/>
      <c r="BI141" s="35">
        <v>0</v>
      </c>
      <c r="BJ141" s="35"/>
      <c r="BK141" s="35">
        <v>0</v>
      </c>
      <c r="BL141" s="35"/>
      <c r="BM141" s="35">
        <f t="shared" si="25"/>
        <v>0</v>
      </c>
      <c r="BN141" s="54" t="s">
        <v>347</v>
      </c>
    </row>
    <row r="142" spans="1:66" ht="12.75" hidden="1" customHeight="1">
      <c r="A142" s="35" t="s">
        <v>175</v>
      </c>
      <c r="C142" s="35" t="s">
        <v>176</v>
      </c>
      <c r="D142" s="35"/>
      <c r="E142" s="35">
        <f t="shared" si="21"/>
        <v>0</v>
      </c>
      <c r="F142" s="35"/>
      <c r="G142" s="35">
        <v>0</v>
      </c>
      <c r="H142" s="35"/>
      <c r="I142" s="35">
        <v>0</v>
      </c>
      <c r="J142" s="35"/>
      <c r="K142" s="35">
        <f t="shared" si="22"/>
        <v>0</v>
      </c>
      <c r="L142" s="35"/>
      <c r="M142" s="35">
        <v>0</v>
      </c>
      <c r="N142" s="35"/>
      <c r="O142" s="35">
        <v>0</v>
      </c>
      <c r="P142" s="35"/>
      <c r="Q142" s="35">
        <v>0</v>
      </c>
      <c r="R142" s="35"/>
      <c r="S142" s="35">
        <v>0</v>
      </c>
      <c r="T142" s="35"/>
      <c r="U142" s="35">
        <v>0</v>
      </c>
      <c r="V142" s="35"/>
      <c r="W142" s="35">
        <f t="shared" si="23"/>
        <v>0</v>
      </c>
      <c r="X142" s="35"/>
      <c r="Y142" s="35" t="s">
        <v>175</v>
      </c>
      <c r="Z142" s="55"/>
      <c r="AA142" s="35" t="s">
        <v>176</v>
      </c>
      <c r="AB142" s="35"/>
      <c r="AC142" s="35">
        <v>0</v>
      </c>
      <c r="AD142" s="35"/>
      <c r="AE142" s="35">
        <v>0</v>
      </c>
      <c r="AF142" s="35"/>
      <c r="AG142" s="35">
        <v>0</v>
      </c>
      <c r="AH142" s="35"/>
      <c r="AI142" s="45">
        <f t="shared" si="18"/>
        <v>0</v>
      </c>
      <c r="AJ142" s="45"/>
      <c r="AK142" s="35">
        <v>0</v>
      </c>
      <c r="AL142" s="35"/>
      <c r="AM142" s="35">
        <v>0</v>
      </c>
      <c r="AN142" s="35"/>
      <c r="AO142" s="35">
        <v>0</v>
      </c>
      <c r="AP142" s="35"/>
      <c r="AQ142" s="35">
        <v>0</v>
      </c>
      <c r="AR142" s="35"/>
      <c r="AS142" s="45">
        <f t="shared" si="20"/>
        <v>0</v>
      </c>
      <c r="AT142" s="45"/>
      <c r="AU142" s="35">
        <v>0</v>
      </c>
      <c r="AV142" s="35"/>
      <c r="AW142" s="35">
        <v>0</v>
      </c>
      <c r="AX142" s="35"/>
      <c r="AY142" s="35">
        <f t="shared" si="24"/>
        <v>0</v>
      </c>
      <c r="AZ142" s="35"/>
      <c r="BA142" s="35" t="s">
        <v>175</v>
      </c>
      <c r="BB142" s="55"/>
      <c r="BC142" s="35" t="s">
        <v>176</v>
      </c>
      <c r="BD142" s="35"/>
      <c r="BE142" s="35">
        <v>0</v>
      </c>
      <c r="BF142" s="35"/>
      <c r="BG142" s="35"/>
      <c r="BH142" s="35"/>
      <c r="BI142" s="35">
        <v>0</v>
      </c>
      <c r="BJ142" s="35"/>
      <c r="BK142" s="35">
        <v>0</v>
      </c>
      <c r="BL142" s="35"/>
      <c r="BM142" s="35">
        <v>0</v>
      </c>
      <c r="BN142" s="54" t="s">
        <v>347</v>
      </c>
    </row>
    <row r="143" spans="1:66" ht="12.75" hidden="1" customHeight="1">
      <c r="A143" s="35" t="s">
        <v>177</v>
      </c>
      <c r="C143" s="35" t="s">
        <v>13</v>
      </c>
      <c r="D143" s="35"/>
      <c r="E143" s="35">
        <f t="shared" si="21"/>
        <v>0</v>
      </c>
      <c r="F143" s="35"/>
      <c r="G143" s="35">
        <v>0</v>
      </c>
      <c r="H143" s="35"/>
      <c r="I143" s="35">
        <v>0</v>
      </c>
      <c r="J143" s="35"/>
      <c r="K143" s="35">
        <f t="shared" si="22"/>
        <v>0</v>
      </c>
      <c r="L143" s="35"/>
      <c r="M143" s="35">
        <v>0</v>
      </c>
      <c r="N143" s="35"/>
      <c r="O143" s="35">
        <v>0</v>
      </c>
      <c r="P143" s="35"/>
      <c r="Q143" s="35">
        <v>0</v>
      </c>
      <c r="R143" s="35"/>
      <c r="S143" s="35">
        <v>0</v>
      </c>
      <c r="T143" s="35"/>
      <c r="U143" s="35">
        <v>0</v>
      </c>
      <c r="V143" s="35"/>
      <c r="W143" s="35">
        <f t="shared" si="23"/>
        <v>0</v>
      </c>
      <c r="X143" s="35"/>
      <c r="Y143" s="35" t="s">
        <v>177</v>
      </c>
      <c r="Z143" s="55"/>
      <c r="AA143" s="35" t="s">
        <v>13</v>
      </c>
      <c r="AB143" s="35"/>
      <c r="AC143" s="35">
        <v>0</v>
      </c>
      <c r="AD143" s="35"/>
      <c r="AE143" s="35">
        <v>0</v>
      </c>
      <c r="AF143" s="35"/>
      <c r="AG143" s="35">
        <v>0</v>
      </c>
      <c r="AH143" s="35"/>
      <c r="AI143" s="45">
        <f t="shared" si="18"/>
        <v>0</v>
      </c>
      <c r="AJ143" s="45"/>
      <c r="AK143" s="35">
        <v>0</v>
      </c>
      <c r="AL143" s="35"/>
      <c r="AM143" s="35">
        <v>0</v>
      </c>
      <c r="AN143" s="35"/>
      <c r="AO143" s="35">
        <v>0</v>
      </c>
      <c r="AP143" s="35"/>
      <c r="AQ143" s="35">
        <v>0</v>
      </c>
      <c r="AR143" s="35"/>
      <c r="AS143" s="45">
        <f t="shared" si="20"/>
        <v>0</v>
      </c>
      <c r="AT143" s="45"/>
      <c r="AU143" s="35">
        <v>0</v>
      </c>
      <c r="AV143" s="35"/>
      <c r="AW143" s="35">
        <v>0</v>
      </c>
      <c r="AX143" s="35"/>
      <c r="AY143" s="35">
        <f t="shared" si="24"/>
        <v>0</v>
      </c>
      <c r="AZ143" s="35"/>
      <c r="BA143" s="35" t="s">
        <v>177</v>
      </c>
      <c r="BB143" s="55"/>
      <c r="BC143" s="35" t="s">
        <v>13</v>
      </c>
      <c r="BD143" s="35"/>
      <c r="BE143" s="35">
        <v>0</v>
      </c>
      <c r="BF143" s="35"/>
      <c r="BG143" s="35"/>
      <c r="BH143" s="35"/>
      <c r="BI143" s="35">
        <v>0</v>
      </c>
      <c r="BJ143" s="35"/>
      <c r="BK143" s="35">
        <v>0</v>
      </c>
      <c r="BL143" s="35"/>
      <c r="BM143" s="35">
        <f t="shared" ref="BM143:BM188" si="26">SUM(BE143:BK143)</f>
        <v>0</v>
      </c>
      <c r="BN143" s="54" t="s">
        <v>347</v>
      </c>
    </row>
    <row r="144" spans="1:66" ht="13.5" customHeight="1">
      <c r="A144" s="35" t="s">
        <v>178</v>
      </c>
      <c r="C144" s="35" t="s">
        <v>179</v>
      </c>
      <c r="D144" s="35"/>
      <c r="E144" s="35">
        <f t="shared" si="21"/>
        <v>9758524</v>
      </c>
      <c r="F144" s="35"/>
      <c r="G144" s="35">
        <v>12499521</v>
      </c>
      <c r="H144" s="35"/>
      <c r="I144" s="35">
        <v>22258045</v>
      </c>
      <c r="J144" s="35"/>
      <c r="K144" s="35">
        <f t="shared" si="22"/>
        <v>946366</v>
      </c>
      <c r="L144" s="35"/>
      <c r="M144" s="35">
        <v>321131</v>
      </c>
      <c r="N144" s="35"/>
      <c r="O144" s="35">
        <v>1267497</v>
      </c>
      <c r="P144" s="35"/>
      <c r="Q144" s="35">
        <v>11289411</v>
      </c>
      <c r="R144" s="35"/>
      <c r="S144" s="35">
        <v>0</v>
      </c>
      <c r="T144" s="35"/>
      <c r="U144" s="35">
        <v>9701137</v>
      </c>
      <c r="V144" s="35"/>
      <c r="W144" s="35">
        <f t="shared" si="23"/>
        <v>20990548</v>
      </c>
      <c r="X144" s="35"/>
      <c r="Y144" s="35" t="s">
        <v>178</v>
      </c>
      <c r="Z144" s="55"/>
      <c r="AA144" s="35" t="s">
        <v>179</v>
      </c>
      <c r="AB144" s="35"/>
      <c r="AC144" s="35">
        <v>14823120</v>
      </c>
      <c r="AD144" s="35"/>
      <c r="AE144" s="35">
        <f>13904645-416247</f>
        <v>13488398</v>
      </c>
      <c r="AF144" s="35"/>
      <c r="AG144" s="35">
        <v>416247</v>
      </c>
      <c r="AH144" s="35"/>
      <c r="AI144" s="45">
        <f t="shared" si="18"/>
        <v>918475</v>
      </c>
      <c r="AJ144" s="45"/>
      <c r="AK144" s="35">
        <v>-250935</v>
      </c>
      <c r="AL144" s="35"/>
      <c r="AM144" s="35">
        <v>0</v>
      </c>
      <c r="AN144" s="35"/>
      <c r="AO144" s="35">
        <v>0</v>
      </c>
      <c r="AP144" s="35"/>
      <c r="AQ144" s="35">
        <v>0</v>
      </c>
      <c r="AR144" s="35"/>
      <c r="AS144" s="45">
        <f t="shared" si="20"/>
        <v>667540</v>
      </c>
      <c r="AT144" s="45"/>
      <c r="AU144" s="35">
        <v>0</v>
      </c>
      <c r="AV144" s="35"/>
      <c r="AW144" s="35">
        <v>0</v>
      </c>
      <c r="AX144" s="35"/>
      <c r="AY144" s="35">
        <f t="shared" si="24"/>
        <v>8812158</v>
      </c>
      <c r="AZ144" s="35"/>
      <c r="BA144" s="35" t="s">
        <v>178</v>
      </c>
      <c r="BB144" s="55"/>
      <c r="BC144" s="35" t="s">
        <v>179</v>
      </c>
      <c r="BD144" s="35"/>
      <c r="BE144" s="35">
        <v>0</v>
      </c>
      <c r="BF144" s="35"/>
      <c r="BG144" s="35"/>
      <c r="BH144" s="35"/>
      <c r="BI144" s="35">
        <v>0</v>
      </c>
      <c r="BJ144" s="35"/>
      <c r="BK144" s="35">
        <v>321131</v>
      </c>
      <c r="BL144" s="35"/>
      <c r="BM144" s="35">
        <f t="shared" si="26"/>
        <v>321131</v>
      </c>
      <c r="BN144" s="54" t="s">
        <v>347</v>
      </c>
    </row>
    <row r="145" spans="1:66" ht="12.75" hidden="1" customHeight="1">
      <c r="A145" s="35" t="s">
        <v>180</v>
      </c>
      <c r="C145" s="35" t="s">
        <v>20</v>
      </c>
      <c r="D145" s="35"/>
      <c r="E145" s="35">
        <f t="shared" si="21"/>
        <v>0</v>
      </c>
      <c r="F145" s="35"/>
      <c r="G145" s="35">
        <v>0</v>
      </c>
      <c r="H145" s="35"/>
      <c r="I145" s="35">
        <v>0</v>
      </c>
      <c r="J145" s="35"/>
      <c r="K145" s="35">
        <f t="shared" si="22"/>
        <v>0</v>
      </c>
      <c r="L145" s="35"/>
      <c r="M145" s="35">
        <v>0</v>
      </c>
      <c r="N145" s="35"/>
      <c r="O145" s="35">
        <v>0</v>
      </c>
      <c r="P145" s="35"/>
      <c r="Q145" s="35">
        <v>0</v>
      </c>
      <c r="R145" s="35"/>
      <c r="S145" s="35">
        <v>0</v>
      </c>
      <c r="T145" s="35"/>
      <c r="U145" s="35">
        <v>0</v>
      </c>
      <c r="V145" s="35"/>
      <c r="W145" s="35">
        <f t="shared" si="23"/>
        <v>0</v>
      </c>
      <c r="X145" s="35"/>
      <c r="Y145" s="35" t="s">
        <v>180</v>
      </c>
      <c r="Z145" s="55"/>
      <c r="AA145" s="35" t="s">
        <v>20</v>
      </c>
      <c r="AB145" s="35"/>
      <c r="AC145" s="35">
        <v>0</v>
      </c>
      <c r="AD145" s="35"/>
      <c r="AE145" s="35">
        <v>0</v>
      </c>
      <c r="AF145" s="35"/>
      <c r="AG145" s="35">
        <v>0</v>
      </c>
      <c r="AH145" s="35"/>
      <c r="AI145" s="45">
        <f t="shared" si="18"/>
        <v>0</v>
      </c>
      <c r="AJ145" s="45"/>
      <c r="AK145" s="35">
        <v>0</v>
      </c>
      <c r="AL145" s="35"/>
      <c r="AM145" s="35">
        <v>0</v>
      </c>
      <c r="AN145" s="35"/>
      <c r="AO145" s="35">
        <v>0</v>
      </c>
      <c r="AP145" s="35"/>
      <c r="AQ145" s="35">
        <v>0</v>
      </c>
      <c r="AR145" s="35"/>
      <c r="AS145" s="45">
        <f t="shared" si="20"/>
        <v>0</v>
      </c>
      <c r="AT145" s="45"/>
      <c r="AU145" s="35">
        <v>0</v>
      </c>
      <c r="AV145" s="35"/>
      <c r="AW145" s="35">
        <v>0</v>
      </c>
      <c r="AX145" s="35"/>
      <c r="AY145" s="35">
        <f t="shared" si="24"/>
        <v>0</v>
      </c>
      <c r="AZ145" s="35"/>
      <c r="BA145" s="35" t="s">
        <v>180</v>
      </c>
      <c r="BB145" s="55"/>
      <c r="BC145" s="35" t="s">
        <v>20</v>
      </c>
      <c r="BD145" s="35"/>
      <c r="BE145" s="35">
        <v>0</v>
      </c>
      <c r="BF145" s="35"/>
      <c r="BG145" s="35"/>
      <c r="BH145" s="35"/>
      <c r="BI145" s="35">
        <v>0</v>
      </c>
      <c r="BJ145" s="35"/>
      <c r="BK145" s="35">
        <v>0</v>
      </c>
      <c r="BL145" s="35"/>
      <c r="BM145" s="35">
        <f t="shared" si="26"/>
        <v>0</v>
      </c>
      <c r="BN145" s="54" t="s">
        <v>347</v>
      </c>
    </row>
    <row r="146" spans="1:66" ht="12.75" hidden="1" customHeight="1">
      <c r="A146" s="35" t="s">
        <v>182</v>
      </c>
      <c r="C146" s="35" t="s">
        <v>183</v>
      </c>
      <c r="D146" s="35"/>
      <c r="E146" s="35">
        <f t="shared" si="21"/>
        <v>0</v>
      </c>
      <c r="F146" s="35"/>
      <c r="G146" s="35">
        <v>0</v>
      </c>
      <c r="H146" s="35"/>
      <c r="I146" s="35">
        <v>0</v>
      </c>
      <c r="J146" s="35"/>
      <c r="K146" s="35">
        <f t="shared" si="22"/>
        <v>0</v>
      </c>
      <c r="L146" s="35"/>
      <c r="M146" s="35">
        <v>0</v>
      </c>
      <c r="N146" s="35"/>
      <c r="O146" s="35">
        <v>0</v>
      </c>
      <c r="P146" s="35"/>
      <c r="Q146" s="35">
        <v>0</v>
      </c>
      <c r="R146" s="35"/>
      <c r="S146" s="35">
        <v>0</v>
      </c>
      <c r="T146" s="35"/>
      <c r="U146" s="35">
        <v>0</v>
      </c>
      <c r="V146" s="35"/>
      <c r="W146" s="35">
        <f t="shared" si="23"/>
        <v>0</v>
      </c>
      <c r="X146" s="35"/>
      <c r="Y146" s="35" t="s">
        <v>182</v>
      </c>
      <c r="Z146" s="55"/>
      <c r="AA146" s="35" t="s">
        <v>183</v>
      </c>
      <c r="AB146" s="35"/>
      <c r="AC146" s="35">
        <v>0</v>
      </c>
      <c r="AD146" s="35"/>
      <c r="AE146" s="35">
        <v>0</v>
      </c>
      <c r="AF146" s="35"/>
      <c r="AG146" s="35">
        <v>0</v>
      </c>
      <c r="AH146" s="35"/>
      <c r="AI146" s="45">
        <f t="shared" si="18"/>
        <v>0</v>
      </c>
      <c r="AJ146" s="45"/>
      <c r="AK146" s="35">
        <v>0</v>
      </c>
      <c r="AL146" s="35"/>
      <c r="AM146" s="35">
        <v>0</v>
      </c>
      <c r="AN146" s="35"/>
      <c r="AO146" s="35">
        <v>0</v>
      </c>
      <c r="AP146" s="35"/>
      <c r="AQ146" s="35">
        <v>0</v>
      </c>
      <c r="AR146" s="35"/>
      <c r="AS146" s="45">
        <f t="shared" si="20"/>
        <v>0</v>
      </c>
      <c r="AT146" s="45"/>
      <c r="AU146" s="35">
        <v>0</v>
      </c>
      <c r="AV146" s="35"/>
      <c r="AW146" s="35">
        <v>0</v>
      </c>
      <c r="AX146" s="35"/>
      <c r="AY146" s="35">
        <f t="shared" si="24"/>
        <v>0</v>
      </c>
      <c r="AZ146" s="35"/>
      <c r="BA146" s="35" t="s">
        <v>182</v>
      </c>
      <c r="BB146" s="55"/>
      <c r="BC146" s="35" t="s">
        <v>183</v>
      </c>
      <c r="BD146" s="35"/>
      <c r="BE146" s="35">
        <v>0</v>
      </c>
      <c r="BF146" s="35"/>
      <c r="BG146" s="35"/>
      <c r="BH146" s="35"/>
      <c r="BI146" s="35">
        <v>0</v>
      </c>
      <c r="BJ146" s="35"/>
      <c r="BK146" s="35">
        <v>0</v>
      </c>
      <c r="BL146" s="35"/>
      <c r="BM146" s="35">
        <f t="shared" si="26"/>
        <v>0</v>
      </c>
      <c r="BN146" s="54" t="s">
        <v>347</v>
      </c>
    </row>
    <row r="147" spans="1:66" ht="12.75" hidden="1" customHeight="1">
      <c r="A147" s="35" t="s">
        <v>184</v>
      </c>
      <c r="C147" s="35" t="s">
        <v>89</v>
      </c>
      <c r="D147" s="35"/>
      <c r="E147" s="35">
        <f t="shared" si="21"/>
        <v>0</v>
      </c>
      <c r="F147" s="35"/>
      <c r="G147" s="35">
        <v>0</v>
      </c>
      <c r="H147" s="35"/>
      <c r="I147" s="35">
        <v>0</v>
      </c>
      <c r="J147" s="35"/>
      <c r="K147" s="35">
        <f t="shared" si="22"/>
        <v>0</v>
      </c>
      <c r="L147" s="35"/>
      <c r="M147" s="35">
        <v>0</v>
      </c>
      <c r="N147" s="35"/>
      <c r="O147" s="35">
        <v>0</v>
      </c>
      <c r="P147" s="35"/>
      <c r="Q147" s="35">
        <v>0</v>
      </c>
      <c r="R147" s="35"/>
      <c r="S147" s="35">
        <v>0</v>
      </c>
      <c r="T147" s="35"/>
      <c r="U147" s="35">
        <v>0</v>
      </c>
      <c r="V147" s="35"/>
      <c r="W147" s="35">
        <f t="shared" si="23"/>
        <v>0</v>
      </c>
      <c r="X147" s="35"/>
      <c r="Y147" s="35" t="s">
        <v>184</v>
      </c>
      <c r="Z147" s="55"/>
      <c r="AA147" s="35" t="s">
        <v>89</v>
      </c>
      <c r="AB147" s="35"/>
      <c r="AC147" s="35">
        <v>0</v>
      </c>
      <c r="AD147" s="35"/>
      <c r="AE147" s="35">
        <v>0</v>
      </c>
      <c r="AF147" s="35"/>
      <c r="AG147" s="35">
        <v>0</v>
      </c>
      <c r="AH147" s="35"/>
      <c r="AI147" s="45">
        <f t="shared" si="18"/>
        <v>0</v>
      </c>
      <c r="AJ147" s="45"/>
      <c r="AK147" s="35">
        <v>0</v>
      </c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20"/>
        <v>0</v>
      </c>
      <c r="AT147" s="45"/>
      <c r="AU147" s="35">
        <v>0</v>
      </c>
      <c r="AV147" s="35"/>
      <c r="AW147" s="35">
        <v>0</v>
      </c>
      <c r="AX147" s="35"/>
      <c r="AY147" s="35">
        <f t="shared" si="24"/>
        <v>0</v>
      </c>
      <c r="AZ147" s="35"/>
      <c r="BA147" s="35" t="s">
        <v>184</v>
      </c>
      <c r="BB147" s="55"/>
      <c r="BC147" s="35" t="s">
        <v>89</v>
      </c>
      <c r="BD147" s="35"/>
      <c r="BE147" s="35">
        <v>0</v>
      </c>
      <c r="BF147" s="35"/>
      <c r="BG147" s="35"/>
      <c r="BH147" s="35"/>
      <c r="BI147" s="35">
        <v>0</v>
      </c>
      <c r="BJ147" s="35"/>
      <c r="BK147" s="35">
        <v>0</v>
      </c>
      <c r="BL147" s="35"/>
      <c r="BM147" s="35">
        <f t="shared" si="26"/>
        <v>0</v>
      </c>
      <c r="BN147" s="54" t="s">
        <v>347</v>
      </c>
    </row>
    <row r="148" spans="1:66" ht="12.75" hidden="1" customHeight="1">
      <c r="A148" s="35" t="s">
        <v>181</v>
      </c>
      <c r="C148" s="35" t="s">
        <v>125</v>
      </c>
      <c r="D148" s="35"/>
      <c r="E148" s="35">
        <f t="shared" si="21"/>
        <v>0</v>
      </c>
      <c r="F148" s="35"/>
      <c r="G148" s="35">
        <v>0</v>
      </c>
      <c r="H148" s="35"/>
      <c r="I148" s="35">
        <v>0</v>
      </c>
      <c r="J148" s="35"/>
      <c r="K148" s="35">
        <f t="shared" si="22"/>
        <v>0</v>
      </c>
      <c r="L148" s="35"/>
      <c r="M148" s="35">
        <v>0</v>
      </c>
      <c r="N148" s="35"/>
      <c r="O148" s="35">
        <v>0</v>
      </c>
      <c r="P148" s="35"/>
      <c r="Q148" s="35">
        <v>0</v>
      </c>
      <c r="R148" s="35"/>
      <c r="S148" s="35">
        <v>0</v>
      </c>
      <c r="T148" s="35"/>
      <c r="U148" s="35">
        <v>0</v>
      </c>
      <c r="V148" s="35"/>
      <c r="W148" s="35">
        <f t="shared" si="23"/>
        <v>0</v>
      </c>
      <c r="X148" s="35"/>
      <c r="Y148" s="35" t="s">
        <v>181</v>
      </c>
      <c r="Z148" s="55"/>
      <c r="AA148" s="35" t="s">
        <v>125</v>
      </c>
      <c r="AB148" s="35"/>
      <c r="AC148" s="35">
        <v>0</v>
      </c>
      <c r="AD148" s="35"/>
      <c r="AE148" s="35">
        <v>0</v>
      </c>
      <c r="AF148" s="35"/>
      <c r="AG148" s="35">
        <v>0</v>
      </c>
      <c r="AH148" s="35"/>
      <c r="AI148" s="45">
        <f t="shared" si="18"/>
        <v>0</v>
      </c>
      <c r="AJ148" s="45"/>
      <c r="AK148" s="35">
        <v>0</v>
      </c>
      <c r="AL148" s="35"/>
      <c r="AM148" s="35">
        <v>0</v>
      </c>
      <c r="AN148" s="35"/>
      <c r="AO148" s="35">
        <v>0</v>
      </c>
      <c r="AP148" s="35"/>
      <c r="AQ148" s="35">
        <v>0</v>
      </c>
      <c r="AR148" s="35"/>
      <c r="AS148" s="45">
        <f t="shared" si="20"/>
        <v>0</v>
      </c>
      <c r="AT148" s="45"/>
      <c r="AU148" s="35">
        <v>0</v>
      </c>
      <c r="AV148" s="35"/>
      <c r="AW148" s="35">
        <v>0</v>
      </c>
      <c r="AX148" s="35"/>
      <c r="AY148" s="35">
        <f t="shared" si="24"/>
        <v>0</v>
      </c>
      <c r="AZ148" s="35"/>
      <c r="BA148" s="35" t="s">
        <v>181</v>
      </c>
      <c r="BB148" s="55"/>
      <c r="BC148" s="35" t="s">
        <v>125</v>
      </c>
      <c r="BD148" s="35"/>
      <c r="BE148" s="35">
        <v>0</v>
      </c>
      <c r="BF148" s="35"/>
      <c r="BG148" s="35"/>
      <c r="BH148" s="35"/>
      <c r="BI148" s="35">
        <v>0</v>
      </c>
      <c r="BJ148" s="35"/>
      <c r="BK148" s="35">
        <v>0</v>
      </c>
      <c r="BL148" s="35"/>
      <c r="BM148" s="35">
        <f t="shared" si="26"/>
        <v>0</v>
      </c>
      <c r="BN148" s="54" t="s">
        <v>347</v>
      </c>
    </row>
    <row r="149" spans="1:66" ht="12.75" customHeight="1">
      <c r="A149" s="35" t="s">
        <v>185</v>
      </c>
      <c r="C149" s="35" t="s">
        <v>80</v>
      </c>
      <c r="D149" s="35"/>
      <c r="E149" s="35">
        <f t="shared" si="21"/>
        <v>3555632</v>
      </c>
      <c r="F149" s="35"/>
      <c r="G149" s="35">
        <v>10202666</v>
      </c>
      <c r="H149" s="35"/>
      <c r="I149" s="35">
        <v>13758298</v>
      </c>
      <c r="J149" s="35"/>
      <c r="K149" s="35">
        <f t="shared" si="22"/>
        <v>2281947</v>
      </c>
      <c r="L149" s="35"/>
      <c r="M149" s="35">
        <v>3883275</v>
      </c>
      <c r="N149" s="35"/>
      <c r="O149" s="35">
        <v>6165222</v>
      </c>
      <c r="P149" s="35"/>
      <c r="Q149" s="35">
        <v>4724485</v>
      </c>
      <c r="R149" s="35"/>
      <c r="S149" s="35">
        <v>0</v>
      </c>
      <c r="T149" s="35"/>
      <c r="U149" s="35">
        <v>2868591</v>
      </c>
      <c r="V149" s="35"/>
      <c r="W149" s="35">
        <f t="shared" si="23"/>
        <v>7593076</v>
      </c>
      <c r="X149" s="35"/>
      <c r="Y149" s="35" t="s">
        <v>185</v>
      </c>
      <c r="Z149" s="55"/>
      <c r="AA149" s="35" t="s">
        <v>80</v>
      </c>
      <c r="AB149" s="35"/>
      <c r="AC149" s="35">
        <v>27905238</v>
      </c>
      <c r="AD149" s="35"/>
      <c r="AE149" s="35">
        <f>26383327-638915</f>
        <v>25744412</v>
      </c>
      <c r="AF149" s="35"/>
      <c r="AG149" s="35">
        <v>638915</v>
      </c>
      <c r="AH149" s="35"/>
      <c r="AI149" s="45">
        <f t="shared" si="18"/>
        <v>1521911</v>
      </c>
      <c r="AJ149" s="45"/>
      <c r="AK149" s="35">
        <v>-62906</v>
      </c>
      <c r="AL149" s="35"/>
      <c r="AM149" s="35">
        <v>0</v>
      </c>
      <c r="AN149" s="35"/>
      <c r="AO149" s="35">
        <v>0</v>
      </c>
      <c r="AP149" s="35"/>
      <c r="AQ149" s="35">
        <v>0</v>
      </c>
      <c r="AR149" s="35"/>
      <c r="AS149" s="45">
        <f t="shared" si="20"/>
        <v>1459005</v>
      </c>
      <c r="AT149" s="45"/>
      <c r="AU149" s="35">
        <v>0</v>
      </c>
      <c r="AV149" s="35"/>
      <c r="AW149" s="35">
        <v>0</v>
      </c>
      <c r="AX149" s="35"/>
      <c r="AY149" s="35">
        <f t="shared" si="24"/>
        <v>1273685</v>
      </c>
      <c r="AZ149" s="35"/>
      <c r="BA149" s="35" t="s">
        <v>185</v>
      </c>
      <c r="BB149" s="55"/>
      <c r="BC149" s="35" t="s">
        <v>80</v>
      </c>
      <c r="BD149" s="35"/>
      <c r="BE149" s="35">
        <v>0</v>
      </c>
      <c r="BF149" s="35"/>
      <c r="BG149" s="35"/>
      <c r="BH149" s="35"/>
      <c r="BI149" s="35">
        <v>0</v>
      </c>
      <c r="BJ149" s="35"/>
      <c r="BK149" s="35">
        <f>3883275+15560</f>
        <v>3898835</v>
      </c>
      <c r="BL149" s="35"/>
      <c r="BM149" s="35">
        <f t="shared" si="26"/>
        <v>3898835</v>
      </c>
      <c r="BN149" s="54" t="s">
        <v>347</v>
      </c>
    </row>
    <row r="150" spans="1:66" ht="12.75" hidden="1" customHeight="1">
      <c r="A150" s="35" t="s">
        <v>186</v>
      </c>
      <c r="C150" s="35" t="s">
        <v>15</v>
      </c>
      <c r="D150" s="35"/>
      <c r="E150" s="35">
        <f t="shared" si="21"/>
        <v>0</v>
      </c>
      <c r="F150" s="35"/>
      <c r="G150" s="35">
        <v>0</v>
      </c>
      <c r="H150" s="35"/>
      <c r="I150" s="35">
        <v>0</v>
      </c>
      <c r="J150" s="35"/>
      <c r="K150" s="35">
        <f t="shared" si="22"/>
        <v>0</v>
      </c>
      <c r="L150" s="35"/>
      <c r="M150" s="35">
        <v>0</v>
      </c>
      <c r="N150" s="35"/>
      <c r="O150" s="35">
        <v>0</v>
      </c>
      <c r="P150" s="35"/>
      <c r="Q150" s="35">
        <v>0</v>
      </c>
      <c r="R150" s="35"/>
      <c r="S150" s="35">
        <v>0</v>
      </c>
      <c r="T150" s="35"/>
      <c r="U150" s="35">
        <v>0</v>
      </c>
      <c r="V150" s="35"/>
      <c r="W150" s="35">
        <f t="shared" si="23"/>
        <v>0</v>
      </c>
      <c r="X150" s="35"/>
      <c r="Y150" s="35" t="s">
        <v>186</v>
      </c>
      <c r="Z150" s="55"/>
      <c r="AA150" s="35" t="s">
        <v>15</v>
      </c>
      <c r="AB150" s="35"/>
      <c r="AC150" s="35">
        <v>0</v>
      </c>
      <c r="AD150" s="35"/>
      <c r="AE150" s="35">
        <v>0</v>
      </c>
      <c r="AF150" s="35"/>
      <c r="AG150" s="35">
        <v>0</v>
      </c>
      <c r="AH150" s="35"/>
      <c r="AI150" s="45">
        <f t="shared" si="18"/>
        <v>0</v>
      </c>
      <c r="AJ150" s="45"/>
      <c r="AK150" s="35">
        <v>0</v>
      </c>
      <c r="AL150" s="35"/>
      <c r="AM150" s="35">
        <v>0</v>
      </c>
      <c r="AN150" s="35"/>
      <c r="AO150" s="35">
        <v>0</v>
      </c>
      <c r="AP150" s="35"/>
      <c r="AQ150" s="35">
        <v>0</v>
      </c>
      <c r="AR150" s="35"/>
      <c r="AS150" s="45">
        <f t="shared" si="20"/>
        <v>0</v>
      </c>
      <c r="AT150" s="45"/>
      <c r="AU150" s="35">
        <v>0</v>
      </c>
      <c r="AV150" s="35"/>
      <c r="AW150" s="35">
        <v>0</v>
      </c>
      <c r="AX150" s="35"/>
      <c r="AY150" s="35">
        <f t="shared" si="24"/>
        <v>0</v>
      </c>
      <c r="AZ150" s="35"/>
      <c r="BA150" s="35" t="s">
        <v>186</v>
      </c>
      <c r="BB150" s="55"/>
      <c r="BC150" s="35" t="s">
        <v>15</v>
      </c>
      <c r="BD150" s="35"/>
      <c r="BE150" s="35">
        <v>0</v>
      </c>
      <c r="BF150" s="35"/>
      <c r="BG150" s="35"/>
      <c r="BH150" s="35"/>
      <c r="BI150" s="35">
        <v>0</v>
      </c>
      <c r="BJ150" s="35"/>
      <c r="BK150" s="35">
        <v>0</v>
      </c>
      <c r="BL150" s="35"/>
      <c r="BM150" s="35">
        <f t="shared" si="26"/>
        <v>0</v>
      </c>
      <c r="BN150" s="54" t="s">
        <v>347</v>
      </c>
    </row>
    <row r="151" spans="1:66" ht="12.75" hidden="1" customHeight="1">
      <c r="A151" s="35" t="s">
        <v>187</v>
      </c>
      <c r="C151" s="35" t="s">
        <v>27</v>
      </c>
      <c r="D151" s="35"/>
      <c r="E151" s="35">
        <f t="shared" si="21"/>
        <v>0</v>
      </c>
      <c r="F151" s="35"/>
      <c r="G151" s="35">
        <v>0</v>
      </c>
      <c r="H151" s="35"/>
      <c r="I151" s="35">
        <v>0</v>
      </c>
      <c r="J151" s="35"/>
      <c r="K151" s="35">
        <f t="shared" si="22"/>
        <v>0</v>
      </c>
      <c r="L151" s="35"/>
      <c r="M151" s="35">
        <v>0</v>
      </c>
      <c r="N151" s="35"/>
      <c r="O151" s="35">
        <v>0</v>
      </c>
      <c r="P151" s="35"/>
      <c r="Q151" s="35">
        <v>0</v>
      </c>
      <c r="R151" s="35"/>
      <c r="S151" s="35">
        <v>0</v>
      </c>
      <c r="T151" s="35"/>
      <c r="U151" s="35">
        <v>0</v>
      </c>
      <c r="V151" s="35"/>
      <c r="W151" s="35">
        <f t="shared" si="23"/>
        <v>0</v>
      </c>
      <c r="X151" s="35"/>
      <c r="Y151" s="35" t="s">
        <v>187</v>
      </c>
      <c r="Z151" s="55"/>
      <c r="AA151" s="35" t="s">
        <v>27</v>
      </c>
      <c r="AB151" s="35"/>
      <c r="AC151" s="35">
        <v>0</v>
      </c>
      <c r="AD151" s="35"/>
      <c r="AE151" s="35">
        <v>0</v>
      </c>
      <c r="AF151" s="35"/>
      <c r="AG151" s="35">
        <v>0</v>
      </c>
      <c r="AH151" s="35"/>
      <c r="AI151" s="45">
        <f t="shared" si="18"/>
        <v>0</v>
      </c>
      <c r="AJ151" s="45"/>
      <c r="AK151" s="35">
        <v>0</v>
      </c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20"/>
        <v>0</v>
      </c>
      <c r="AT151" s="45"/>
      <c r="AU151" s="35">
        <v>0</v>
      </c>
      <c r="AV151" s="35"/>
      <c r="AW151" s="35">
        <v>0</v>
      </c>
      <c r="AX151" s="35"/>
      <c r="AY151" s="35">
        <f t="shared" si="24"/>
        <v>0</v>
      </c>
      <c r="AZ151" s="35"/>
      <c r="BA151" s="35" t="s">
        <v>187</v>
      </c>
      <c r="BB151" s="55"/>
      <c r="BC151" s="35" t="s">
        <v>27</v>
      </c>
      <c r="BD151" s="35"/>
      <c r="BE151" s="35">
        <v>0</v>
      </c>
      <c r="BF151" s="35"/>
      <c r="BG151" s="35"/>
      <c r="BH151" s="35"/>
      <c r="BI151" s="35">
        <v>0</v>
      </c>
      <c r="BJ151" s="35"/>
      <c r="BK151" s="35">
        <v>0</v>
      </c>
      <c r="BL151" s="35"/>
      <c r="BM151" s="35">
        <f t="shared" si="26"/>
        <v>0</v>
      </c>
      <c r="BN151" s="54" t="s">
        <v>347</v>
      </c>
    </row>
    <row r="152" spans="1:66" ht="12.75" hidden="1" customHeight="1">
      <c r="A152" s="35" t="s">
        <v>189</v>
      </c>
      <c r="C152" s="35" t="s">
        <v>17</v>
      </c>
      <c r="D152" s="35"/>
      <c r="E152" s="35">
        <f t="shared" si="21"/>
        <v>0</v>
      </c>
      <c r="F152" s="35"/>
      <c r="G152" s="35">
        <v>0</v>
      </c>
      <c r="H152" s="35"/>
      <c r="I152" s="35">
        <v>0</v>
      </c>
      <c r="J152" s="35"/>
      <c r="K152" s="35">
        <f t="shared" si="22"/>
        <v>0</v>
      </c>
      <c r="L152" s="35"/>
      <c r="M152" s="35">
        <v>0</v>
      </c>
      <c r="N152" s="35"/>
      <c r="O152" s="35">
        <v>0</v>
      </c>
      <c r="P152" s="35"/>
      <c r="Q152" s="35">
        <v>0</v>
      </c>
      <c r="R152" s="35"/>
      <c r="S152" s="35">
        <v>0</v>
      </c>
      <c r="T152" s="35"/>
      <c r="U152" s="35">
        <v>0</v>
      </c>
      <c r="V152" s="35"/>
      <c r="W152" s="35">
        <f t="shared" si="23"/>
        <v>0</v>
      </c>
      <c r="X152" s="35"/>
      <c r="Y152" s="35" t="s">
        <v>189</v>
      </c>
      <c r="Z152" s="55"/>
      <c r="AA152" s="35" t="s">
        <v>17</v>
      </c>
      <c r="AB152" s="35"/>
      <c r="AC152" s="35">
        <v>0</v>
      </c>
      <c r="AD152" s="35"/>
      <c r="AE152" s="35">
        <v>0</v>
      </c>
      <c r="AF152" s="35"/>
      <c r="AG152" s="35">
        <v>0</v>
      </c>
      <c r="AH152" s="35"/>
      <c r="AI152" s="45">
        <f t="shared" si="18"/>
        <v>0</v>
      </c>
      <c r="AJ152" s="45"/>
      <c r="AK152" s="35">
        <v>0</v>
      </c>
      <c r="AL152" s="35"/>
      <c r="AM152" s="35">
        <v>0</v>
      </c>
      <c r="AN152" s="35"/>
      <c r="AO152" s="35">
        <v>0</v>
      </c>
      <c r="AP152" s="35"/>
      <c r="AQ152" s="35">
        <v>0</v>
      </c>
      <c r="AR152" s="35"/>
      <c r="AS152" s="45">
        <f t="shared" si="20"/>
        <v>0</v>
      </c>
      <c r="AT152" s="45"/>
      <c r="AU152" s="35">
        <v>0</v>
      </c>
      <c r="AV152" s="35"/>
      <c r="AW152" s="35">
        <v>0</v>
      </c>
      <c r="AX152" s="35"/>
      <c r="AY152" s="35">
        <f t="shared" si="24"/>
        <v>0</v>
      </c>
      <c r="AZ152" s="35"/>
      <c r="BA152" s="35" t="s">
        <v>189</v>
      </c>
      <c r="BB152" s="55"/>
      <c r="BC152" s="35" t="s">
        <v>17</v>
      </c>
      <c r="BD152" s="35"/>
      <c r="BE152" s="35">
        <v>0</v>
      </c>
      <c r="BF152" s="35"/>
      <c r="BG152" s="35"/>
      <c r="BH152" s="35"/>
      <c r="BI152" s="35">
        <v>0</v>
      </c>
      <c r="BJ152" s="35"/>
      <c r="BK152" s="35">
        <v>0</v>
      </c>
      <c r="BL152" s="35"/>
      <c r="BM152" s="35">
        <f t="shared" si="26"/>
        <v>0</v>
      </c>
      <c r="BN152" s="54" t="s">
        <v>347</v>
      </c>
    </row>
    <row r="153" spans="1:66" ht="12.75" hidden="1" customHeight="1">
      <c r="A153" s="35" t="s">
        <v>188</v>
      </c>
      <c r="C153" s="35" t="s">
        <v>27</v>
      </c>
      <c r="D153" s="35"/>
      <c r="E153" s="35">
        <f t="shared" si="21"/>
        <v>0</v>
      </c>
      <c r="F153" s="35"/>
      <c r="G153" s="35">
        <v>0</v>
      </c>
      <c r="H153" s="35"/>
      <c r="I153" s="35">
        <v>0</v>
      </c>
      <c r="J153" s="35"/>
      <c r="K153" s="35">
        <f t="shared" si="22"/>
        <v>0</v>
      </c>
      <c r="L153" s="35"/>
      <c r="M153" s="35">
        <v>0</v>
      </c>
      <c r="N153" s="35"/>
      <c r="O153" s="35">
        <v>0</v>
      </c>
      <c r="P153" s="35"/>
      <c r="Q153" s="35">
        <v>0</v>
      </c>
      <c r="R153" s="35"/>
      <c r="S153" s="35">
        <v>0</v>
      </c>
      <c r="T153" s="35"/>
      <c r="U153" s="35">
        <v>0</v>
      </c>
      <c r="V153" s="35"/>
      <c r="W153" s="35">
        <f t="shared" si="23"/>
        <v>0</v>
      </c>
      <c r="X153" s="35"/>
      <c r="Y153" s="35" t="s">
        <v>188</v>
      </c>
      <c r="Z153" s="55"/>
      <c r="AA153" s="35" t="s">
        <v>27</v>
      </c>
      <c r="AB153" s="35"/>
      <c r="AC153" s="35">
        <v>0</v>
      </c>
      <c r="AD153" s="35"/>
      <c r="AE153" s="35">
        <v>0</v>
      </c>
      <c r="AF153" s="35"/>
      <c r="AG153" s="35">
        <v>0</v>
      </c>
      <c r="AH153" s="35"/>
      <c r="AI153" s="45">
        <f t="shared" si="18"/>
        <v>0</v>
      </c>
      <c r="AJ153" s="45"/>
      <c r="AK153" s="35">
        <v>0</v>
      </c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20"/>
        <v>0</v>
      </c>
      <c r="AT153" s="45"/>
      <c r="AU153" s="35">
        <v>0</v>
      </c>
      <c r="AV153" s="35"/>
      <c r="AW153" s="35">
        <v>0</v>
      </c>
      <c r="AX153" s="35"/>
      <c r="AY153" s="35">
        <f t="shared" si="24"/>
        <v>0</v>
      </c>
      <c r="AZ153" s="35"/>
      <c r="BA153" s="35" t="s">
        <v>188</v>
      </c>
      <c r="BB153" s="55"/>
      <c r="BC153" s="35" t="s">
        <v>27</v>
      </c>
      <c r="BD153" s="35"/>
      <c r="BE153" s="35">
        <v>0</v>
      </c>
      <c r="BF153" s="35"/>
      <c r="BG153" s="35"/>
      <c r="BH153" s="35"/>
      <c r="BI153" s="35">
        <v>0</v>
      </c>
      <c r="BJ153" s="35"/>
      <c r="BK153" s="35">
        <v>0</v>
      </c>
      <c r="BL153" s="35"/>
      <c r="BM153" s="35">
        <f t="shared" si="26"/>
        <v>0</v>
      </c>
      <c r="BN153" s="54" t="s">
        <v>347</v>
      </c>
    </row>
    <row r="154" spans="1:66" ht="12.75" hidden="1" customHeight="1">
      <c r="A154" s="35" t="s">
        <v>190</v>
      </c>
      <c r="C154" s="35" t="s">
        <v>47</v>
      </c>
      <c r="D154" s="35"/>
      <c r="E154" s="35">
        <f t="shared" si="21"/>
        <v>0</v>
      </c>
      <c r="F154" s="35"/>
      <c r="G154" s="35">
        <v>0</v>
      </c>
      <c r="H154" s="35"/>
      <c r="I154" s="35">
        <v>0</v>
      </c>
      <c r="J154" s="35"/>
      <c r="K154" s="35">
        <f t="shared" si="22"/>
        <v>0</v>
      </c>
      <c r="L154" s="35"/>
      <c r="M154" s="35">
        <v>0</v>
      </c>
      <c r="N154" s="35"/>
      <c r="O154" s="35">
        <v>0</v>
      </c>
      <c r="P154" s="35"/>
      <c r="Q154" s="35">
        <v>0</v>
      </c>
      <c r="R154" s="35"/>
      <c r="S154" s="35">
        <v>0</v>
      </c>
      <c r="T154" s="35"/>
      <c r="U154" s="35">
        <v>0</v>
      </c>
      <c r="V154" s="35"/>
      <c r="W154" s="35">
        <f t="shared" si="23"/>
        <v>0</v>
      </c>
      <c r="X154" s="35"/>
      <c r="Y154" s="35" t="s">
        <v>190</v>
      </c>
      <c r="Z154" s="55"/>
      <c r="AA154" s="35" t="s">
        <v>47</v>
      </c>
      <c r="AB154" s="35"/>
      <c r="AC154" s="35">
        <v>0</v>
      </c>
      <c r="AD154" s="35"/>
      <c r="AE154" s="35">
        <v>0</v>
      </c>
      <c r="AF154" s="35"/>
      <c r="AG154" s="35">
        <v>0</v>
      </c>
      <c r="AH154" s="35"/>
      <c r="AI154" s="45">
        <f t="shared" si="18"/>
        <v>0</v>
      </c>
      <c r="AJ154" s="45"/>
      <c r="AK154" s="35">
        <v>0</v>
      </c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20"/>
        <v>0</v>
      </c>
      <c r="AT154" s="45"/>
      <c r="AU154" s="35">
        <v>0</v>
      </c>
      <c r="AV154" s="35"/>
      <c r="AW154" s="35">
        <v>0</v>
      </c>
      <c r="AX154" s="35"/>
      <c r="AY154" s="35">
        <f t="shared" si="24"/>
        <v>0</v>
      </c>
      <c r="AZ154" s="35"/>
      <c r="BA154" s="35" t="s">
        <v>190</v>
      </c>
      <c r="BB154" s="55"/>
      <c r="BC154" s="35" t="s">
        <v>47</v>
      </c>
      <c r="BD154" s="35"/>
      <c r="BE154" s="35">
        <v>0</v>
      </c>
      <c r="BF154" s="35"/>
      <c r="BG154" s="35"/>
      <c r="BH154" s="35"/>
      <c r="BI154" s="35">
        <v>0</v>
      </c>
      <c r="BJ154" s="35"/>
      <c r="BK154" s="35">
        <v>0</v>
      </c>
      <c r="BL154" s="35"/>
      <c r="BM154" s="35">
        <f t="shared" si="26"/>
        <v>0</v>
      </c>
      <c r="BN154" s="54" t="s">
        <v>347</v>
      </c>
    </row>
    <row r="155" spans="1:66" ht="12.75" hidden="1" customHeight="1">
      <c r="A155" s="35" t="s">
        <v>191</v>
      </c>
      <c r="C155" s="35" t="s">
        <v>13</v>
      </c>
      <c r="D155" s="35"/>
      <c r="E155" s="35">
        <f t="shared" si="21"/>
        <v>0</v>
      </c>
      <c r="F155" s="35"/>
      <c r="G155" s="35">
        <v>0</v>
      </c>
      <c r="H155" s="35"/>
      <c r="I155" s="35">
        <v>0</v>
      </c>
      <c r="J155" s="35"/>
      <c r="K155" s="35">
        <f t="shared" si="22"/>
        <v>0</v>
      </c>
      <c r="L155" s="35"/>
      <c r="M155" s="35">
        <v>0</v>
      </c>
      <c r="N155" s="35"/>
      <c r="O155" s="35">
        <v>0</v>
      </c>
      <c r="P155" s="35"/>
      <c r="Q155" s="35">
        <v>0</v>
      </c>
      <c r="R155" s="35"/>
      <c r="S155" s="35">
        <v>0</v>
      </c>
      <c r="T155" s="35"/>
      <c r="U155" s="35">
        <v>0</v>
      </c>
      <c r="V155" s="35"/>
      <c r="W155" s="35">
        <f t="shared" si="23"/>
        <v>0</v>
      </c>
      <c r="X155" s="35"/>
      <c r="Y155" s="35" t="s">
        <v>191</v>
      </c>
      <c r="Z155" s="55"/>
      <c r="AA155" s="35" t="s">
        <v>13</v>
      </c>
      <c r="AB155" s="35"/>
      <c r="AC155" s="35">
        <v>0</v>
      </c>
      <c r="AD155" s="35"/>
      <c r="AE155" s="35">
        <v>0</v>
      </c>
      <c r="AF155" s="35"/>
      <c r="AG155" s="35">
        <v>0</v>
      </c>
      <c r="AH155" s="35"/>
      <c r="AI155" s="45">
        <f t="shared" si="18"/>
        <v>0</v>
      </c>
      <c r="AJ155" s="45"/>
      <c r="AK155" s="35">
        <v>0</v>
      </c>
      <c r="AL155" s="35"/>
      <c r="AM155" s="35">
        <v>0</v>
      </c>
      <c r="AN155" s="35"/>
      <c r="AO155" s="35">
        <v>0</v>
      </c>
      <c r="AP155" s="35"/>
      <c r="AQ155" s="35">
        <v>0</v>
      </c>
      <c r="AR155" s="35"/>
      <c r="AS155" s="45">
        <f t="shared" si="20"/>
        <v>0</v>
      </c>
      <c r="AT155" s="45"/>
      <c r="AU155" s="35">
        <v>0</v>
      </c>
      <c r="AV155" s="35"/>
      <c r="AW155" s="35">
        <v>0</v>
      </c>
      <c r="AX155" s="35"/>
      <c r="AY155" s="35">
        <f t="shared" si="24"/>
        <v>0</v>
      </c>
      <c r="AZ155" s="35"/>
      <c r="BA155" s="35" t="s">
        <v>191</v>
      </c>
      <c r="BB155" s="55"/>
      <c r="BC155" s="35" t="s">
        <v>13</v>
      </c>
      <c r="BD155" s="35"/>
      <c r="BE155" s="35">
        <v>0</v>
      </c>
      <c r="BF155" s="35"/>
      <c r="BG155" s="35"/>
      <c r="BH155" s="35"/>
      <c r="BI155" s="35">
        <v>0</v>
      </c>
      <c r="BJ155" s="35"/>
      <c r="BK155" s="35">
        <v>0</v>
      </c>
      <c r="BL155" s="35"/>
      <c r="BM155" s="35">
        <f t="shared" si="26"/>
        <v>0</v>
      </c>
      <c r="BN155" s="54" t="s">
        <v>347</v>
      </c>
    </row>
    <row r="156" spans="1:66" ht="12.75" hidden="1" customHeight="1">
      <c r="A156" s="35" t="s">
        <v>192</v>
      </c>
      <c r="C156" s="35" t="s">
        <v>38</v>
      </c>
      <c r="D156" s="35"/>
      <c r="E156" s="35">
        <f t="shared" si="21"/>
        <v>0</v>
      </c>
      <c r="F156" s="35"/>
      <c r="G156" s="35">
        <v>0</v>
      </c>
      <c r="H156" s="35"/>
      <c r="I156" s="35">
        <v>0</v>
      </c>
      <c r="J156" s="35"/>
      <c r="K156" s="35">
        <f t="shared" si="22"/>
        <v>0</v>
      </c>
      <c r="L156" s="35"/>
      <c r="M156" s="35">
        <v>0</v>
      </c>
      <c r="N156" s="35"/>
      <c r="O156" s="35">
        <v>0</v>
      </c>
      <c r="P156" s="35"/>
      <c r="Q156" s="35">
        <v>0</v>
      </c>
      <c r="R156" s="35"/>
      <c r="S156" s="35">
        <v>0</v>
      </c>
      <c r="T156" s="35"/>
      <c r="U156" s="35">
        <v>0</v>
      </c>
      <c r="V156" s="35"/>
      <c r="W156" s="35">
        <f t="shared" si="23"/>
        <v>0</v>
      </c>
      <c r="X156" s="35"/>
      <c r="Y156" s="35" t="s">
        <v>192</v>
      </c>
      <c r="Z156" s="55"/>
      <c r="AA156" s="35" t="s">
        <v>38</v>
      </c>
      <c r="AB156" s="35"/>
      <c r="AC156" s="35">
        <v>0</v>
      </c>
      <c r="AD156" s="35"/>
      <c r="AE156" s="35">
        <v>0</v>
      </c>
      <c r="AF156" s="35"/>
      <c r="AG156" s="35">
        <v>0</v>
      </c>
      <c r="AH156" s="35"/>
      <c r="AI156" s="45">
        <f t="shared" si="18"/>
        <v>0</v>
      </c>
      <c r="AJ156" s="45"/>
      <c r="AK156" s="35">
        <v>0</v>
      </c>
      <c r="AL156" s="35"/>
      <c r="AM156" s="35">
        <v>0</v>
      </c>
      <c r="AN156" s="35"/>
      <c r="AO156" s="35">
        <v>0</v>
      </c>
      <c r="AP156" s="35"/>
      <c r="AQ156" s="35">
        <v>0</v>
      </c>
      <c r="AR156" s="35"/>
      <c r="AS156" s="45">
        <f t="shared" si="20"/>
        <v>0</v>
      </c>
      <c r="AT156" s="45"/>
      <c r="AU156" s="35">
        <v>0</v>
      </c>
      <c r="AV156" s="35"/>
      <c r="AW156" s="35">
        <v>0</v>
      </c>
      <c r="AX156" s="35"/>
      <c r="AY156" s="35">
        <f t="shared" si="24"/>
        <v>0</v>
      </c>
      <c r="AZ156" s="35"/>
      <c r="BA156" s="35" t="s">
        <v>192</v>
      </c>
      <c r="BB156" s="55"/>
      <c r="BC156" s="35" t="s">
        <v>38</v>
      </c>
      <c r="BD156" s="35"/>
      <c r="BE156" s="35">
        <v>0</v>
      </c>
      <c r="BF156" s="35"/>
      <c r="BG156" s="35"/>
      <c r="BH156" s="35"/>
      <c r="BI156" s="35">
        <v>0</v>
      </c>
      <c r="BJ156" s="35"/>
      <c r="BK156" s="35">
        <v>0</v>
      </c>
      <c r="BL156" s="35"/>
      <c r="BM156" s="35">
        <f t="shared" si="26"/>
        <v>0</v>
      </c>
      <c r="BN156" s="54" t="s">
        <v>347</v>
      </c>
    </row>
    <row r="157" spans="1:66" ht="12.75" hidden="1" customHeight="1">
      <c r="A157" s="35" t="s">
        <v>193</v>
      </c>
      <c r="C157" s="35" t="s">
        <v>45</v>
      </c>
      <c r="D157" s="35"/>
      <c r="E157" s="35">
        <f t="shared" si="21"/>
        <v>0</v>
      </c>
      <c r="F157" s="35"/>
      <c r="G157" s="35">
        <v>0</v>
      </c>
      <c r="H157" s="35"/>
      <c r="I157" s="35">
        <v>0</v>
      </c>
      <c r="J157" s="35"/>
      <c r="K157" s="35">
        <f t="shared" si="22"/>
        <v>0</v>
      </c>
      <c r="L157" s="35"/>
      <c r="M157" s="35">
        <v>0</v>
      </c>
      <c r="N157" s="35"/>
      <c r="O157" s="35">
        <v>0</v>
      </c>
      <c r="P157" s="35"/>
      <c r="Q157" s="35">
        <v>0</v>
      </c>
      <c r="R157" s="35"/>
      <c r="S157" s="35">
        <v>0</v>
      </c>
      <c r="T157" s="35"/>
      <c r="U157" s="35">
        <v>0</v>
      </c>
      <c r="V157" s="35"/>
      <c r="W157" s="35">
        <f t="shared" si="23"/>
        <v>0</v>
      </c>
      <c r="X157" s="35"/>
      <c r="Y157" s="35" t="s">
        <v>193</v>
      </c>
      <c r="Z157" s="55"/>
      <c r="AA157" s="35" t="s">
        <v>45</v>
      </c>
      <c r="AB157" s="35"/>
      <c r="AC157" s="35">
        <v>0</v>
      </c>
      <c r="AD157" s="35"/>
      <c r="AE157" s="35">
        <v>0</v>
      </c>
      <c r="AF157" s="35"/>
      <c r="AG157" s="35">
        <v>0</v>
      </c>
      <c r="AH157" s="35"/>
      <c r="AI157" s="45">
        <f t="shared" si="18"/>
        <v>0</v>
      </c>
      <c r="AJ157" s="45"/>
      <c r="AK157" s="35">
        <v>0</v>
      </c>
      <c r="AL157" s="35"/>
      <c r="AM157" s="35">
        <v>0</v>
      </c>
      <c r="AN157" s="35"/>
      <c r="AO157" s="35">
        <v>0</v>
      </c>
      <c r="AP157" s="35"/>
      <c r="AQ157" s="35">
        <v>0</v>
      </c>
      <c r="AR157" s="35"/>
      <c r="AS157" s="45">
        <f t="shared" si="20"/>
        <v>0</v>
      </c>
      <c r="AT157" s="45"/>
      <c r="AU157" s="35">
        <v>0</v>
      </c>
      <c r="AV157" s="35"/>
      <c r="AW157" s="35">
        <v>0</v>
      </c>
      <c r="AX157" s="35"/>
      <c r="AY157" s="35">
        <f t="shared" si="24"/>
        <v>0</v>
      </c>
      <c r="AZ157" s="35"/>
      <c r="BA157" s="35" t="s">
        <v>193</v>
      </c>
      <c r="BB157" s="55"/>
      <c r="BC157" s="35" t="s">
        <v>45</v>
      </c>
      <c r="BD157" s="35"/>
      <c r="BE157" s="35">
        <v>0</v>
      </c>
      <c r="BF157" s="35"/>
      <c r="BG157" s="35"/>
      <c r="BH157" s="35"/>
      <c r="BI157" s="35">
        <v>0</v>
      </c>
      <c r="BJ157" s="35"/>
      <c r="BK157" s="35">
        <v>0</v>
      </c>
      <c r="BL157" s="35"/>
      <c r="BM157" s="35">
        <f t="shared" si="26"/>
        <v>0</v>
      </c>
      <c r="BN157" s="54" t="s">
        <v>347</v>
      </c>
    </row>
    <row r="158" spans="1:66" ht="12.75" hidden="1" customHeight="1">
      <c r="A158" s="35" t="s">
        <v>194</v>
      </c>
      <c r="C158" s="35" t="s">
        <v>66</v>
      </c>
      <c r="D158" s="35"/>
      <c r="E158" s="35">
        <f t="shared" si="21"/>
        <v>0</v>
      </c>
      <c r="F158" s="35"/>
      <c r="G158" s="35">
        <v>0</v>
      </c>
      <c r="H158" s="35"/>
      <c r="I158" s="35">
        <v>0</v>
      </c>
      <c r="J158" s="35"/>
      <c r="K158" s="35">
        <f t="shared" si="22"/>
        <v>0</v>
      </c>
      <c r="L158" s="35"/>
      <c r="M158" s="35">
        <v>0</v>
      </c>
      <c r="N158" s="35"/>
      <c r="O158" s="35">
        <v>0</v>
      </c>
      <c r="P158" s="35"/>
      <c r="Q158" s="35">
        <v>0</v>
      </c>
      <c r="R158" s="35"/>
      <c r="S158" s="35">
        <v>0</v>
      </c>
      <c r="T158" s="35"/>
      <c r="U158" s="35">
        <v>0</v>
      </c>
      <c r="V158" s="35"/>
      <c r="W158" s="35">
        <f t="shared" si="23"/>
        <v>0</v>
      </c>
      <c r="X158" s="35"/>
      <c r="Y158" s="35" t="s">
        <v>194</v>
      </c>
      <c r="Z158" s="55"/>
      <c r="AA158" s="35" t="s">
        <v>66</v>
      </c>
      <c r="AB158" s="35"/>
      <c r="AC158" s="35">
        <v>0</v>
      </c>
      <c r="AD158" s="35"/>
      <c r="AE158" s="35">
        <v>0</v>
      </c>
      <c r="AF158" s="35"/>
      <c r="AG158" s="35">
        <v>0</v>
      </c>
      <c r="AH158" s="35"/>
      <c r="AI158" s="45">
        <f t="shared" si="18"/>
        <v>0</v>
      </c>
      <c r="AJ158" s="45"/>
      <c r="AK158" s="35">
        <v>0</v>
      </c>
      <c r="AL158" s="35"/>
      <c r="AM158" s="35">
        <v>0</v>
      </c>
      <c r="AN158" s="35"/>
      <c r="AO158" s="35">
        <v>0</v>
      </c>
      <c r="AP158" s="35"/>
      <c r="AQ158" s="35">
        <v>0</v>
      </c>
      <c r="AR158" s="35"/>
      <c r="AS158" s="45">
        <f t="shared" si="20"/>
        <v>0</v>
      </c>
      <c r="AT158" s="45"/>
      <c r="AU158" s="35">
        <v>0</v>
      </c>
      <c r="AV158" s="35"/>
      <c r="AW158" s="35">
        <v>0</v>
      </c>
      <c r="AX158" s="35"/>
      <c r="AY158" s="35">
        <f t="shared" si="24"/>
        <v>0</v>
      </c>
      <c r="AZ158" s="35"/>
      <c r="BA158" s="35" t="s">
        <v>194</v>
      </c>
      <c r="BB158" s="55"/>
      <c r="BC158" s="35" t="s">
        <v>66</v>
      </c>
      <c r="BD158" s="35"/>
      <c r="BE158" s="35">
        <v>0</v>
      </c>
      <c r="BF158" s="35"/>
      <c r="BG158" s="35"/>
      <c r="BH158" s="35"/>
      <c r="BI158" s="35">
        <v>0</v>
      </c>
      <c r="BJ158" s="35"/>
      <c r="BK158" s="35">
        <v>0</v>
      </c>
      <c r="BL158" s="35"/>
      <c r="BM158" s="35">
        <f t="shared" si="26"/>
        <v>0</v>
      </c>
      <c r="BN158" s="54" t="s">
        <v>347</v>
      </c>
    </row>
    <row r="159" spans="1:66" ht="12.75" customHeight="1">
      <c r="A159" s="35" t="s">
        <v>195</v>
      </c>
      <c r="C159" s="35" t="s">
        <v>17</v>
      </c>
      <c r="D159" s="35"/>
      <c r="E159" s="35">
        <f t="shared" si="21"/>
        <v>7802492</v>
      </c>
      <c r="F159" s="35"/>
      <c r="G159" s="35">
        <f>1598172+936479</f>
        <v>2534651</v>
      </c>
      <c r="H159" s="35"/>
      <c r="I159" s="35">
        <v>10337143</v>
      </c>
      <c r="J159" s="35"/>
      <c r="K159" s="35">
        <f t="shared" si="22"/>
        <v>143640</v>
      </c>
      <c r="L159" s="35"/>
      <c r="M159" s="35">
        <f>169574+446496</f>
        <v>616070</v>
      </c>
      <c r="N159" s="35"/>
      <c r="O159" s="35">
        <v>759710</v>
      </c>
      <c r="P159" s="35"/>
      <c r="Q159" s="35">
        <v>1597172</v>
      </c>
      <c r="R159" s="35"/>
      <c r="S159" s="35">
        <v>0</v>
      </c>
      <c r="T159" s="35"/>
      <c r="U159" s="35">
        <v>7979261</v>
      </c>
      <c r="V159" s="35"/>
      <c r="W159" s="35">
        <f t="shared" si="23"/>
        <v>9576433</v>
      </c>
      <c r="X159" s="35"/>
      <c r="Y159" s="35" t="s">
        <v>195</v>
      </c>
      <c r="Z159" s="55"/>
      <c r="AA159" s="35" t="s">
        <v>17</v>
      </c>
      <c r="AB159" s="35"/>
      <c r="AC159" s="35">
        <v>10712843</v>
      </c>
      <c r="AD159" s="35"/>
      <c r="AE159" s="35">
        <f>10277698-683245</f>
        <v>9594453</v>
      </c>
      <c r="AF159" s="35"/>
      <c r="AG159" s="35">
        <v>683245</v>
      </c>
      <c r="AH159" s="35"/>
      <c r="AI159" s="45">
        <f t="shared" si="18"/>
        <v>435145</v>
      </c>
      <c r="AJ159" s="45"/>
      <c r="AK159" s="35">
        <v>-355224</v>
      </c>
      <c r="AL159" s="35"/>
      <c r="AM159" s="35">
        <v>0</v>
      </c>
      <c r="AN159" s="35"/>
      <c r="AO159" s="35">
        <v>0</v>
      </c>
      <c r="AP159" s="35"/>
      <c r="AQ159" s="35">
        <v>2744</v>
      </c>
      <c r="AR159" s="35"/>
      <c r="AS159" s="45">
        <f t="shared" si="20"/>
        <v>82665</v>
      </c>
      <c r="AT159" s="45"/>
      <c r="AU159" s="35">
        <v>0</v>
      </c>
      <c r="AV159" s="35"/>
      <c r="AW159" s="35">
        <v>0</v>
      </c>
      <c r="AX159" s="35"/>
      <c r="AY159" s="35">
        <f t="shared" si="24"/>
        <v>7658852</v>
      </c>
      <c r="AZ159" s="35"/>
      <c r="BA159" s="35" t="s">
        <v>195</v>
      </c>
      <c r="BB159" s="55"/>
      <c r="BC159" s="35" t="s">
        <v>17</v>
      </c>
      <c r="BD159" s="35"/>
      <c r="BE159" s="35">
        <v>0</v>
      </c>
      <c r="BF159" s="35"/>
      <c r="BG159" s="35"/>
      <c r="BH159" s="35"/>
      <c r="BI159" s="35">
        <v>0</v>
      </c>
      <c r="BJ159" s="35"/>
      <c r="BK159" s="35">
        <v>759710</v>
      </c>
      <c r="BL159" s="35"/>
      <c r="BM159" s="35">
        <f t="shared" si="26"/>
        <v>759710</v>
      </c>
      <c r="BN159" s="54" t="s">
        <v>347</v>
      </c>
    </row>
    <row r="160" spans="1:66" ht="12.75" hidden="1" customHeight="1">
      <c r="A160" s="35" t="s">
        <v>196</v>
      </c>
      <c r="C160" s="35" t="s">
        <v>27</v>
      </c>
      <c r="D160" s="35"/>
      <c r="E160" s="35">
        <f t="shared" si="21"/>
        <v>0</v>
      </c>
      <c r="F160" s="35"/>
      <c r="G160" s="35">
        <v>0</v>
      </c>
      <c r="H160" s="35"/>
      <c r="I160" s="35">
        <v>0</v>
      </c>
      <c r="J160" s="35"/>
      <c r="K160" s="35">
        <f t="shared" si="22"/>
        <v>0</v>
      </c>
      <c r="L160" s="35"/>
      <c r="M160" s="35">
        <v>0</v>
      </c>
      <c r="N160" s="35"/>
      <c r="O160" s="35">
        <v>0</v>
      </c>
      <c r="P160" s="35"/>
      <c r="Q160" s="35">
        <v>0</v>
      </c>
      <c r="R160" s="35"/>
      <c r="S160" s="35">
        <v>0</v>
      </c>
      <c r="T160" s="35"/>
      <c r="U160" s="35">
        <v>0</v>
      </c>
      <c r="V160" s="35"/>
      <c r="W160" s="35">
        <f t="shared" si="23"/>
        <v>0</v>
      </c>
      <c r="X160" s="35"/>
      <c r="Y160" s="35" t="s">
        <v>196</v>
      </c>
      <c r="Z160" s="55"/>
      <c r="AA160" s="35" t="s">
        <v>27</v>
      </c>
      <c r="AB160" s="35"/>
      <c r="AC160" s="35">
        <v>0</v>
      </c>
      <c r="AD160" s="35"/>
      <c r="AE160" s="35">
        <v>0</v>
      </c>
      <c r="AF160" s="35"/>
      <c r="AG160" s="35">
        <v>0</v>
      </c>
      <c r="AH160" s="35"/>
      <c r="AI160" s="45">
        <f t="shared" si="18"/>
        <v>0</v>
      </c>
      <c r="AJ160" s="45"/>
      <c r="AK160" s="35">
        <v>0</v>
      </c>
      <c r="AL160" s="35"/>
      <c r="AM160" s="35">
        <v>0</v>
      </c>
      <c r="AN160" s="35"/>
      <c r="AO160" s="35">
        <v>0</v>
      </c>
      <c r="AP160" s="35"/>
      <c r="AQ160" s="35">
        <v>0</v>
      </c>
      <c r="AR160" s="35"/>
      <c r="AS160" s="45">
        <f t="shared" si="20"/>
        <v>0</v>
      </c>
      <c r="AT160" s="45"/>
      <c r="AU160" s="35">
        <v>0</v>
      </c>
      <c r="AV160" s="35"/>
      <c r="AW160" s="35">
        <v>0</v>
      </c>
      <c r="AX160" s="35"/>
      <c r="AY160" s="35">
        <f t="shared" si="24"/>
        <v>0</v>
      </c>
      <c r="AZ160" s="35"/>
      <c r="BA160" s="35" t="s">
        <v>196</v>
      </c>
      <c r="BB160" s="55"/>
      <c r="BC160" s="35" t="s">
        <v>27</v>
      </c>
      <c r="BD160" s="35"/>
      <c r="BE160" s="35">
        <v>0</v>
      </c>
      <c r="BF160" s="35"/>
      <c r="BG160" s="35"/>
      <c r="BH160" s="35"/>
      <c r="BI160" s="35">
        <v>0</v>
      </c>
      <c r="BJ160" s="35"/>
      <c r="BK160" s="35">
        <v>0</v>
      </c>
      <c r="BL160" s="35"/>
      <c r="BM160" s="35">
        <f t="shared" si="26"/>
        <v>0</v>
      </c>
      <c r="BN160" s="54" t="s">
        <v>347</v>
      </c>
    </row>
    <row r="161" spans="1:67" ht="12.75" hidden="1" customHeight="1">
      <c r="A161" s="35" t="s">
        <v>402</v>
      </c>
      <c r="C161" s="35" t="s">
        <v>153</v>
      </c>
      <c r="D161" s="35"/>
      <c r="E161" s="35">
        <f t="shared" si="21"/>
        <v>0</v>
      </c>
      <c r="F161" s="35"/>
      <c r="G161" s="35">
        <v>0</v>
      </c>
      <c r="H161" s="35"/>
      <c r="I161" s="35">
        <v>0</v>
      </c>
      <c r="J161" s="35"/>
      <c r="K161" s="35">
        <f t="shared" si="22"/>
        <v>0</v>
      </c>
      <c r="L161" s="35"/>
      <c r="M161" s="35">
        <v>0</v>
      </c>
      <c r="N161" s="35"/>
      <c r="O161" s="35">
        <v>0</v>
      </c>
      <c r="P161" s="35"/>
      <c r="Q161" s="35">
        <v>0</v>
      </c>
      <c r="R161" s="35"/>
      <c r="S161" s="35">
        <v>0</v>
      </c>
      <c r="T161" s="35"/>
      <c r="U161" s="35">
        <v>0</v>
      </c>
      <c r="V161" s="35"/>
      <c r="W161" s="35">
        <f t="shared" si="23"/>
        <v>0</v>
      </c>
      <c r="X161" s="35"/>
      <c r="Y161" s="35" t="s">
        <v>402</v>
      </c>
      <c r="Z161" s="55"/>
      <c r="AA161" s="35" t="s">
        <v>153</v>
      </c>
      <c r="AB161" s="35"/>
      <c r="AC161" s="35">
        <v>0</v>
      </c>
      <c r="AD161" s="35"/>
      <c r="AE161" s="35">
        <v>0</v>
      </c>
      <c r="AF161" s="35"/>
      <c r="AG161" s="35">
        <v>0</v>
      </c>
      <c r="AH161" s="35"/>
      <c r="AI161" s="45">
        <f t="shared" si="18"/>
        <v>0</v>
      </c>
      <c r="AJ161" s="45"/>
      <c r="AK161" s="35">
        <v>0</v>
      </c>
      <c r="AL161" s="35"/>
      <c r="AM161" s="35">
        <v>0</v>
      </c>
      <c r="AN161" s="35"/>
      <c r="AO161" s="35">
        <v>0</v>
      </c>
      <c r="AP161" s="35"/>
      <c r="AQ161" s="35">
        <v>0</v>
      </c>
      <c r="AR161" s="35"/>
      <c r="AS161" s="45">
        <f t="shared" si="20"/>
        <v>0</v>
      </c>
      <c r="AT161" s="45"/>
      <c r="AU161" s="35">
        <v>0</v>
      </c>
      <c r="AV161" s="35"/>
      <c r="AW161" s="35">
        <v>0</v>
      </c>
      <c r="AX161" s="35"/>
      <c r="AY161" s="35">
        <f t="shared" si="24"/>
        <v>0</v>
      </c>
      <c r="AZ161" s="35"/>
      <c r="BA161" s="35" t="s">
        <v>402</v>
      </c>
      <c r="BB161" s="55"/>
      <c r="BC161" s="35" t="s">
        <v>153</v>
      </c>
      <c r="BD161" s="35"/>
      <c r="BE161" s="35">
        <v>0</v>
      </c>
      <c r="BF161" s="35"/>
      <c r="BG161" s="35"/>
      <c r="BH161" s="35"/>
      <c r="BI161" s="35">
        <v>0</v>
      </c>
      <c r="BJ161" s="35"/>
      <c r="BK161" s="35">
        <v>0</v>
      </c>
      <c r="BL161" s="35"/>
      <c r="BM161" s="35">
        <f t="shared" si="26"/>
        <v>0</v>
      </c>
      <c r="BN161" s="54" t="s">
        <v>347</v>
      </c>
    </row>
    <row r="162" spans="1:67" ht="12.75" hidden="1" customHeight="1">
      <c r="A162" s="35" t="s">
        <v>197</v>
      </c>
      <c r="C162" s="35" t="s">
        <v>163</v>
      </c>
      <c r="D162" s="35"/>
      <c r="E162" s="35">
        <f t="shared" si="21"/>
        <v>0</v>
      </c>
      <c r="F162" s="35"/>
      <c r="G162" s="35">
        <v>0</v>
      </c>
      <c r="H162" s="35"/>
      <c r="I162" s="35">
        <v>0</v>
      </c>
      <c r="J162" s="35"/>
      <c r="K162" s="35">
        <f t="shared" si="22"/>
        <v>0</v>
      </c>
      <c r="L162" s="35"/>
      <c r="M162" s="35">
        <v>0</v>
      </c>
      <c r="N162" s="35"/>
      <c r="O162" s="35">
        <v>0</v>
      </c>
      <c r="P162" s="35"/>
      <c r="Q162" s="35">
        <v>0</v>
      </c>
      <c r="R162" s="35"/>
      <c r="S162" s="35">
        <v>0</v>
      </c>
      <c r="T162" s="35"/>
      <c r="U162" s="35">
        <v>0</v>
      </c>
      <c r="V162" s="35"/>
      <c r="W162" s="35">
        <f t="shared" si="23"/>
        <v>0</v>
      </c>
      <c r="X162" s="35"/>
      <c r="Y162" s="35" t="s">
        <v>197</v>
      </c>
      <c r="Z162" s="55"/>
      <c r="AA162" s="35" t="s">
        <v>163</v>
      </c>
      <c r="AB162" s="35"/>
      <c r="AC162" s="35">
        <v>0</v>
      </c>
      <c r="AD162" s="35"/>
      <c r="AE162" s="35">
        <v>0</v>
      </c>
      <c r="AF162" s="35"/>
      <c r="AG162" s="35">
        <v>0</v>
      </c>
      <c r="AH162" s="35"/>
      <c r="AI162" s="45">
        <f t="shared" ref="AI162:AI225" si="27">+AC162-AE162-AG162</f>
        <v>0</v>
      </c>
      <c r="AJ162" s="45"/>
      <c r="AK162" s="35">
        <v>0</v>
      </c>
      <c r="AL162" s="35"/>
      <c r="AM162" s="35">
        <v>0</v>
      </c>
      <c r="AN162" s="35"/>
      <c r="AO162" s="35">
        <v>0</v>
      </c>
      <c r="AP162" s="35"/>
      <c r="AQ162" s="35">
        <v>0</v>
      </c>
      <c r="AR162" s="35"/>
      <c r="AS162" s="45">
        <f t="shared" si="20"/>
        <v>0</v>
      </c>
      <c r="AT162" s="45"/>
      <c r="AU162" s="35">
        <v>0</v>
      </c>
      <c r="AV162" s="35"/>
      <c r="AW162" s="35">
        <v>0</v>
      </c>
      <c r="AX162" s="35"/>
      <c r="AY162" s="35">
        <f t="shared" si="24"/>
        <v>0</v>
      </c>
      <c r="AZ162" s="35"/>
      <c r="BA162" s="35" t="s">
        <v>197</v>
      </c>
      <c r="BB162" s="55"/>
      <c r="BC162" s="35" t="s">
        <v>163</v>
      </c>
      <c r="BD162" s="35"/>
      <c r="BE162" s="35">
        <v>0</v>
      </c>
      <c r="BF162" s="35"/>
      <c r="BG162" s="35"/>
      <c r="BH162" s="35"/>
      <c r="BI162" s="35">
        <v>0</v>
      </c>
      <c r="BJ162" s="35"/>
      <c r="BK162" s="35">
        <v>0</v>
      </c>
      <c r="BL162" s="35"/>
      <c r="BM162" s="35">
        <f t="shared" si="26"/>
        <v>0</v>
      </c>
      <c r="BN162" s="54" t="s">
        <v>347</v>
      </c>
    </row>
    <row r="163" spans="1:67" ht="12.75" customHeight="1">
      <c r="A163" s="35" t="s">
        <v>198</v>
      </c>
      <c r="C163" s="35" t="s">
        <v>199</v>
      </c>
      <c r="D163" s="35"/>
      <c r="E163" s="35">
        <f t="shared" si="21"/>
        <v>23085598</v>
      </c>
      <c r="F163" s="35"/>
      <c r="G163" s="35">
        <v>22483338</v>
      </c>
      <c r="H163" s="35"/>
      <c r="I163" s="35">
        <v>45568936</v>
      </c>
      <c r="J163" s="35"/>
      <c r="K163" s="35">
        <f t="shared" si="22"/>
        <v>2786248</v>
      </c>
      <c r="L163" s="35"/>
      <c r="M163" s="35">
        <v>170210</v>
      </c>
      <c r="N163" s="35"/>
      <c r="O163" s="35">
        <v>2956458</v>
      </c>
      <c r="P163" s="35"/>
      <c r="Q163" s="35">
        <v>21213338</v>
      </c>
      <c r="R163" s="35"/>
      <c r="S163" s="35">
        <v>0</v>
      </c>
      <c r="T163" s="35"/>
      <c r="U163" s="35">
        <v>21399140</v>
      </c>
      <c r="V163" s="35"/>
      <c r="W163" s="35">
        <f t="shared" si="23"/>
        <v>42612478</v>
      </c>
      <c r="X163" s="35"/>
      <c r="Y163" s="35" t="s">
        <v>198</v>
      </c>
      <c r="Z163" s="55"/>
      <c r="AA163" s="35" t="s">
        <v>199</v>
      </c>
      <c r="AB163" s="35"/>
      <c r="AC163" s="35">
        <v>25059331</v>
      </c>
      <c r="AD163" s="35"/>
      <c r="AE163" s="35">
        <f>25128844-1924315</f>
        <v>23204529</v>
      </c>
      <c r="AF163" s="35"/>
      <c r="AG163" s="35">
        <v>1924315</v>
      </c>
      <c r="AH163" s="35"/>
      <c r="AI163" s="45">
        <f t="shared" si="27"/>
        <v>-69513</v>
      </c>
      <c r="AJ163" s="45"/>
      <c r="AK163" s="35">
        <v>-335842</v>
      </c>
      <c r="AL163" s="35"/>
      <c r="AM163" s="35">
        <v>880337</v>
      </c>
      <c r="AN163" s="35"/>
      <c r="AO163" s="35">
        <v>0</v>
      </c>
      <c r="AP163" s="35"/>
      <c r="AQ163" s="35">
        <v>0</v>
      </c>
      <c r="AR163" s="35"/>
      <c r="AS163" s="45">
        <f t="shared" si="20"/>
        <v>474982</v>
      </c>
      <c r="AT163" s="45"/>
      <c r="AU163" s="35">
        <v>0</v>
      </c>
      <c r="AV163" s="35"/>
      <c r="AW163" s="35">
        <v>0</v>
      </c>
      <c r="AX163" s="35"/>
      <c r="AY163" s="35">
        <f t="shared" si="24"/>
        <v>20299350</v>
      </c>
      <c r="AZ163" s="35"/>
      <c r="BA163" s="35" t="s">
        <v>198</v>
      </c>
      <c r="BB163" s="55"/>
      <c r="BC163" s="35" t="s">
        <v>199</v>
      </c>
      <c r="BD163" s="35"/>
      <c r="BE163" s="35">
        <v>0</v>
      </c>
      <c r="BF163" s="35"/>
      <c r="BG163" s="35"/>
      <c r="BH163" s="35"/>
      <c r="BI163" s="35">
        <v>0</v>
      </c>
      <c r="BJ163" s="35"/>
      <c r="BK163" s="35">
        <f>170210+173332</f>
        <v>343542</v>
      </c>
      <c r="BL163" s="35"/>
      <c r="BM163" s="35">
        <f t="shared" si="26"/>
        <v>343542</v>
      </c>
      <c r="BN163" s="54" t="s">
        <v>347</v>
      </c>
      <c r="BO163" s="55" t="s">
        <v>371</v>
      </c>
    </row>
    <row r="164" spans="1:67" ht="12.75" hidden="1" customHeight="1">
      <c r="A164" s="35" t="s">
        <v>200</v>
      </c>
      <c r="C164" s="35" t="s">
        <v>103</v>
      </c>
      <c r="D164" s="35"/>
      <c r="E164" s="35">
        <f t="shared" si="21"/>
        <v>0</v>
      </c>
      <c r="F164" s="35"/>
      <c r="G164" s="35">
        <v>0</v>
      </c>
      <c r="H164" s="35"/>
      <c r="I164" s="35">
        <v>0</v>
      </c>
      <c r="J164" s="35"/>
      <c r="K164" s="35">
        <f t="shared" si="22"/>
        <v>0</v>
      </c>
      <c r="L164" s="35"/>
      <c r="M164" s="35">
        <v>0</v>
      </c>
      <c r="N164" s="35"/>
      <c r="O164" s="35">
        <v>0</v>
      </c>
      <c r="P164" s="35"/>
      <c r="Q164" s="35">
        <v>0</v>
      </c>
      <c r="R164" s="35"/>
      <c r="S164" s="35">
        <v>0</v>
      </c>
      <c r="T164" s="35"/>
      <c r="U164" s="35">
        <v>0</v>
      </c>
      <c r="V164" s="35"/>
      <c r="W164" s="35">
        <f t="shared" si="23"/>
        <v>0</v>
      </c>
      <c r="X164" s="35"/>
      <c r="Y164" s="35" t="s">
        <v>200</v>
      </c>
      <c r="Z164" s="55"/>
      <c r="AA164" s="35" t="s">
        <v>103</v>
      </c>
      <c r="AB164" s="35"/>
      <c r="AC164" s="35">
        <v>0</v>
      </c>
      <c r="AD164" s="35"/>
      <c r="AE164" s="35">
        <v>0</v>
      </c>
      <c r="AF164" s="35"/>
      <c r="AG164" s="35">
        <v>0</v>
      </c>
      <c r="AH164" s="35"/>
      <c r="AI164" s="45">
        <f t="shared" si="27"/>
        <v>0</v>
      </c>
      <c r="AJ164" s="45"/>
      <c r="AK164" s="35">
        <v>0</v>
      </c>
      <c r="AL164" s="35"/>
      <c r="AM164" s="35">
        <v>0</v>
      </c>
      <c r="AN164" s="35"/>
      <c r="AO164" s="35">
        <v>0</v>
      </c>
      <c r="AP164" s="35"/>
      <c r="AQ164" s="35">
        <v>0</v>
      </c>
      <c r="AR164" s="35"/>
      <c r="AS164" s="45">
        <f t="shared" si="20"/>
        <v>0</v>
      </c>
      <c r="AT164" s="45"/>
      <c r="AU164" s="35">
        <v>0</v>
      </c>
      <c r="AV164" s="35"/>
      <c r="AW164" s="35">
        <v>0</v>
      </c>
      <c r="AX164" s="35"/>
      <c r="AY164" s="35">
        <f t="shared" si="24"/>
        <v>0</v>
      </c>
      <c r="AZ164" s="35"/>
      <c r="BA164" s="35" t="s">
        <v>200</v>
      </c>
      <c r="BB164" s="55"/>
      <c r="BC164" s="35" t="s">
        <v>103</v>
      </c>
      <c r="BD164" s="35"/>
      <c r="BE164" s="35">
        <v>0</v>
      </c>
      <c r="BF164" s="35"/>
      <c r="BG164" s="35"/>
      <c r="BH164" s="35"/>
      <c r="BI164" s="35">
        <v>0</v>
      </c>
      <c r="BJ164" s="35"/>
      <c r="BK164" s="35">
        <v>0</v>
      </c>
      <c r="BL164" s="35"/>
      <c r="BM164" s="35">
        <f t="shared" si="26"/>
        <v>0</v>
      </c>
      <c r="BN164" s="54" t="s">
        <v>347</v>
      </c>
    </row>
    <row r="165" spans="1:67" ht="12.75" customHeight="1">
      <c r="A165" s="35" t="s">
        <v>201</v>
      </c>
      <c r="C165" s="35" t="s">
        <v>92</v>
      </c>
      <c r="D165" s="35"/>
      <c r="E165" s="35">
        <f t="shared" si="21"/>
        <v>25676714</v>
      </c>
      <c r="F165" s="35"/>
      <c r="G165" s="35">
        <v>23131311</v>
      </c>
      <c r="H165" s="35"/>
      <c r="I165" s="35">
        <v>48808025</v>
      </c>
      <c r="J165" s="35"/>
      <c r="K165" s="35">
        <f t="shared" si="22"/>
        <v>2877341</v>
      </c>
      <c r="L165" s="35"/>
      <c r="M165" s="35">
        <v>2085356</v>
      </c>
      <c r="N165" s="35"/>
      <c r="O165" s="35">
        <v>4962697</v>
      </c>
      <c r="P165" s="35"/>
      <c r="Q165" s="35">
        <v>18940445</v>
      </c>
      <c r="R165" s="35"/>
      <c r="S165" s="35">
        <v>0</v>
      </c>
      <c r="T165" s="35"/>
      <c r="U165" s="35">
        <v>24904883</v>
      </c>
      <c r="V165" s="35"/>
      <c r="W165" s="35">
        <f t="shared" si="23"/>
        <v>43845328</v>
      </c>
      <c r="X165" s="35"/>
      <c r="Y165" s="35" t="s">
        <v>201</v>
      </c>
      <c r="Z165" s="55"/>
      <c r="AA165" s="35" t="s">
        <v>92</v>
      </c>
      <c r="AB165" s="35"/>
      <c r="AC165" s="35">
        <v>25655622</v>
      </c>
      <c r="AD165" s="35"/>
      <c r="AE165" s="35">
        <f>21747996-774166</f>
        <v>20973830</v>
      </c>
      <c r="AF165" s="35"/>
      <c r="AG165" s="35">
        <v>774166</v>
      </c>
      <c r="AH165" s="35"/>
      <c r="AI165" s="45">
        <f t="shared" si="27"/>
        <v>3907626</v>
      </c>
      <c r="AJ165" s="45"/>
      <c r="AK165" s="35">
        <v>1105788</v>
      </c>
      <c r="AL165" s="35"/>
      <c r="AM165" s="35">
        <v>0</v>
      </c>
      <c r="AN165" s="35"/>
      <c r="AO165" s="35">
        <v>1061191</v>
      </c>
      <c r="AP165" s="35"/>
      <c r="AQ165" s="35">
        <v>0</v>
      </c>
      <c r="AR165" s="35"/>
      <c r="AS165" s="45">
        <f t="shared" si="20"/>
        <v>3952223</v>
      </c>
      <c r="AT165" s="45"/>
      <c r="AU165" s="35">
        <v>0</v>
      </c>
      <c r="AV165" s="35"/>
      <c r="AW165" s="35">
        <v>0</v>
      </c>
      <c r="AX165" s="35"/>
      <c r="AY165" s="35">
        <f t="shared" si="24"/>
        <v>22799373</v>
      </c>
      <c r="AZ165" s="35"/>
      <c r="BA165" s="35" t="s">
        <v>201</v>
      </c>
      <c r="BB165" s="55"/>
      <c r="BC165" s="35" t="s">
        <v>92</v>
      </c>
      <c r="BD165" s="35"/>
      <c r="BE165" s="35">
        <v>0</v>
      </c>
      <c r="BF165" s="35"/>
      <c r="BG165" s="35">
        <f>1486453+161866</f>
        <v>1648319</v>
      </c>
      <c r="BH165" s="35"/>
      <c r="BI165" s="35">
        <v>0</v>
      </c>
      <c r="BJ165" s="35"/>
      <c r="BK165" s="35">
        <v>1142516</v>
      </c>
      <c r="BL165" s="35"/>
      <c r="BM165" s="35">
        <f t="shared" si="26"/>
        <v>2790835</v>
      </c>
      <c r="BN165" s="54" t="s">
        <v>347</v>
      </c>
    </row>
    <row r="166" spans="1:67" ht="12.75" hidden="1" customHeight="1">
      <c r="A166" s="35" t="s">
        <v>202</v>
      </c>
      <c r="C166" s="35" t="s">
        <v>27</v>
      </c>
      <c r="D166" s="35"/>
      <c r="E166" s="35">
        <f t="shared" si="21"/>
        <v>0</v>
      </c>
      <c r="F166" s="35"/>
      <c r="G166" s="35">
        <v>0</v>
      </c>
      <c r="H166" s="35"/>
      <c r="I166" s="35">
        <v>0</v>
      </c>
      <c r="J166" s="35"/>
      <c r="K166" s="35">
        <f t="shared" si="22"/>
        <v>0</v>
      </c>
      <c r="L166" s="35"/>
      <c r="M166" s="35">
        <v>0</v>
      </c>
      <c r="N166" s="35"/>
      <c r="O166" s="35">
        <v>0</v>
      </c>
      <c r="P166" s="35"/>
      <c r="Q166" s="35">
        <v>0</v>
      </c>
      <c r="R166" s="35"/>
      <c r="S166" s="35">
        <v>0</v>
      </c>
      <c r="T166" s="35"/>
      <c r="U166" s="35">
        <v>0</v>
      </c>
      <c r="V166" s="35"/>
      <c r="W166" s="35">
        <f t="shared" si="23"/>
        <v>0</v>
      </c>
      <c r="X166" s="35"/>
      <c r="Y166" s="35" t="s">
        <v>202</v>
      </c>
      <c r="Z166" s="55"/>
      <c r="AA166" s="35" t="s">
        <v>27</v>
      </c>
      <c r="AB166" s="35"/>
      <c r="AC166" s="35">
        <v>0</v>
      </c>
      <c r="AD166" s="35"/>
      <c r="AE166" s="35">
        <v>0</v>
      </c>
      <c r="AF166" s="35"/>
      <c r="AG166" s="35">
        <v>0</v>
      </c>
      <c r="AH166" s="35"/>
      <c r="AI166" s="45">
        <f t="shared" si="27"/>
        <v>0</v>
      </c>
      <c r="AJ166" s="45"/>
      <c r="AK166" s="35">
        <v>0</v>
      </c>
      <c r="AL166" s="35"/>
      <c r="AM166" s="35">
        <v>0</v>
      </c>
      <c r="AN166" s="35"/>
      <c r="AO166" s="35">
        <v>0</v>
      </c>
      <c r="AP166" s="35"/>
      <c r="AQ166" s="35">
        <v>0</v>
      </c>
      <c r="AR166" s="35"/>
      <c r="AS166" s="45">
        <f t="shared" ref="AS166:AS229" si="28">+AI166+AK166+AM166-AO166+AQ166</f>
        <v>0</v>
      </c>
      <c r="AT166" s="45"/>
      <c r="AU166" s="35">
        <v>0</v>
      </c>
      <c r="AV166" s="35"/>
      <c r="AW166" s="35">
        <v>0</v>
      </c>
      <c r="AX166" s="35"/>
      <c r="AY166" s="35">
        <f t="shared" si="24"/>
        <v>0</v>
      </c>
      <c r="AZ166" s="35"/>
      <c r="BA166" s="35" t="s">
        <v>202</v>
      </c>
      <c r="BB166" s="55"/>
      <c r="BC166" s="35" t="s">
        <v>27</v>
      </c>
      <c r="BD166" s="35"/>
      <c r="BE166" s="35">
        <v>0</v>
      </c>
      <c r="BF166" s="35"/>
      <c r="BG166" s="35"/>
      <c r="BH166" s="35"/>
      <c r="BI166" s="35">
        <v>0</v>
      </c>
      <c r="BJ166" s="35"/>
      <c r="BK166" s="35">
        <v>0</v>
      </c>
      <c r="BL166" s="35"/>
      <c r="BM166" s="35">
        <f t="shared" si="26"/>
        <v>0</v>
      </c>
      <c r="BN166" s="54" t="s">
        <v>347</v>
      </c>
    </row>
    <row r="167" spans="1:67" ht="12.75" hidden="1" customHeight="1">
      <c r="A167" s="35" t="s">
        <v>203</v>
      </c>
      <c r="C167" s="35" t="s">
        <v>27</v>
      </c>
      <c r="D167" s="35"/>
      <c r="E167" s="35">
        <f t="shared" ref="E167:E230" si="29">I167-G167</f>
        <v>0</v>
      </c>
      <c r="F167" s="35"/>
      <c r="G167" s="35">
        <v>0</v>
      </c>
      <c r="H167" s="35"/>
      <c r="I167" s="35">
        <v>0</v>
      </c>
      <c r="J167" s="35"/>
      <c r="K167" s="35">
        <f t="shared" ref="K167:K230" si="30">O167-M167</f>
        <v>0</v>
      </c>
      <c r="L167" s="35"/>
      <c r="M167" s="35">
        <v>0</v>
      </c>
      <c r="N167" s="35"/>
      <c r="O167" s="35">
        <v>0</v>
      </c>
      <c r="P167" s="35"/>
      <c r="Q167" s="35">
        <v>0</v>
      </c>
      <c r="R167" s="35"/>
      <c r="S167" s="35">
        <v>0</v>
      </c>
      <c r="T167" s="35"/>
      <c r="U167" s="35">
        <v>0</v>
      </c>
      <c r="V167" s="35"/>
      <c r="W167" s="35">
        <f t="shared" ref="W167:W230" si="31">SUM(Q167:U167)</f>
        <v>0</v>
      </c>
      <c r="X167" s="35"/>
      <c r="Y167" s="35" t="s">
        <v>203</v>
      </c>
      <c r="Z167" s="55"/>
      <c r="AA167" s="35" t="s">
        <v>27</v>
      </c>
      <c r="AB167" s="35"/>
      <c r="AC167" s="35">
        <v>0</v>
      </c>
      <c r="AD167" s="35"/>
      <c r="AE167" s="35">
        <v>0</v>
      </c>
      <c r="AF167" s="35"/>
      <c r="AG167" s="35">
        <v>0</v>
      </c>
      <c r="AH167" s="35"/>
      <c r="AI167" s="45">
        <f t="shared" si="27"/>
        <v>0</v>
      </c>
      <c r="AJ167" s="45"/>
      <c r="AK167" s="35">
        <v>0</v>
      </c>
      <c r="AL167" s="35"/>
      <c r="AM167" s="35">
        <v>0</v>
      </c>
      <c r="AN167" s="35"/>
      <c r="AO167" s="35">
        <v>0</v>
      </c>
      <c r="AP167" s="35"/>
      <c r="AQ167" s="35">
        <v>0</v>
      </c>
      <c r="AR167" s="35"/>
      <c r="AS167" s="45">
        <f t="shared" si="28"/>
        <v>0</v>
      </c>
      <c r="AT167" s="45"/>
      <c r="AU167" s="35">
        <v>0</v>
      </c>
      <c r="AV167" s="35"/>
      <c r="AW167" s="35">
        <v>0</v>
      </c>
      <c r="AX167" s="35"/>
      <c r="AY167" s="35">
        <f t="shared" ref="AY167:AY230" si="32">+E167-K167</f>
        <v>0</v>
      </c>
      <c r="AZ167" s="35"/>
      <c r="BA167" s="35" t="s">
        <v>203</v>
      </c>
      <c r="BB167" s="55"/>
      <c r="BC167" s="35" t="s">
        <v>27</v>
      </c>
      <c r="BD167" s="35"/>
      <c r="BE167" s="35">
        <v>0</v>
      </c>
      <c r="BF167" s="35"/>
      <c r="BG167" s="35"/>
      <c r="BH167" s="35"/>
      <c r="BI167" s="35">
        <v>0</v>
      </c>
      <c r="BJ167" s="35"/>
      <c r="BK167" s="35">
        <v>0</v>
      </c>
      <c r="BL167" s="35"/>
      <c r="BM167" s="35">
        <f t="shared" si="26"/>
        <v>0</v>
      </c>
      <c r="BN167" s="54" t="s">
        <v>347</v>
      </c>
    </row>
    <row r="168" spans="1:67" ht="12.75" hidden="1" customHeight="1">
      <c r="A168" s="35" t="s">
        <v>204</v>
      </c>
      <c r="C168" s="35" t="s">
        <v>125</v>
      </c>
      <c r="D168" s="35"/>
      <c r="E168" s="35">
        <f t="shared" si="29"/>
        <v>0</v>
      </c>
      <c r="F168" s="35"/>
      <c r="G168" s="35">
        <v>0</v>
      </c>
      <c r="H168" s="35"/>
      <c r="I168" s="35">
        <v>0</v>
      </c>
      <c r="J168" s="35"/>
      <c r="K168" s="35">
        <f t="shared" si="30"/>
        <v>0</v>
      </c>
      <c r="L168" s="35"/>
      <c r="M168" s="35">
        <v>0</v>
      </c>
      <c r="N168" s="35"/>
      <c r="O168" s="35">
        <v>0</v>
      </c>
      <c r="P168" s="35"/>
      <c r="Q168" s="35">
        <v>0</v>
      </c>
      <c r="R168" s="35"/>
      <c r="S168" s="35">
        <v>0</v>
      </c>
      <c r="T168" s="35"/>
      <c r="U168" s="35">
        <v>0</v>
      </c>
      <c r="V168" s="35"/>
      <c r="W168" s="35">
        <f t="shared" si="31"/>
        <v>0</v>
      </c>
      <c r="X168" s="35"/>
      <c r="Y168" s="35" t="s">
        <v>204</v>
      </c>
      <c r="Z168" s="55"/>
      <c r="AA168" s="35" t="s">
        <v>125</v>
      </c>
      <c r="AB168" s="35"/>
      <c r="AC168" s="35">
        <v>0</v>
      </c>
      <c r="AD168" s="35"/>
      <c r="AE168" s="35">
        <v>0</v>
      </c>
      <c r="AF168" s="35"/>
      <c r="AG168" s="35">
        <v>0</v>
      </c>
      <c r="AH168" s="35"/>
      <c r="AI168" s="45">
        <f t="shared" si="27"/>
        <v>0</v>
      </c>
      <c r="AJ168" s="45"/>
      <c r="AK168" s="35">
        <v>0</v>
      </c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28"/>
        <v>0</v>
      </c>
      <c r="AT168" s="45"/>
      <c r="AU168" s="35">
        <v>0</v>
      </c>
      <c r="AV168" s="35"/>
      <c r="AW168" s="35">
        <v>0</v>
      </c>
      <c r="AX168" s="35"/>
      <c r="AY168" s="35">
        <f t="shared" si="32"/>
        <v>0</v>
      </c>
      <c r="AZ168" s="35"/>
      <c r="BA168" s="35" t="s">
        <v>204</v>
      </c>
      <c r="BB168" s="55"/>
      <c r="BC168" s="35" t="s">
        <v>125</v>
      </c>
      <c r="BD168" s="35"/>
      <c r="BE168" s="35">
        <v>0</v>
      </c>
      <c r="BF168" s="35"/>
      <c r="BG168" s="35"/>
      <c r="BH168" s="35"/>
      <c r="BI168" s="35">
        <v>0</v>
      </c>
      <c r="BJ168" s="35"/>
      <c r="BK168" s="35">
        <v>0</v>
      </c>
      <c r="BL168" s="35"/>
      <c r="BM168" s="35">
        <f t="shared" si="26"/>
        <v>0</v>
      </c>
      <c r="BN168" s="54" t="s">
        <v>347</v>
      </c>
    </row>
    <row r="169" spans="1:67" ht="12.75" hidden="1" customHeight="1">
      <c r="A169" s="35" t="s">
        <v>205</v>
      </c>
      <c r="C169" s="35" t="s">
        <v>27</v>
      </c>
      <c r="D169" s="35"/>
      <c r="E169" s="35">
        <f t="shared" si="29"/>
        <v>0</v>
      </c>
      <c r="F169" s="35"/>
      <c r="G169" s="35">
        <v>0</v>
      </c>
      <c r="H169" s="35"/>
      <c r="I169" s="35">
        <v>0</v>
      </c>
      <c r="J169" s="35"/>
      <c r="K169" s="35">
        <f t="shared" si="30"/>
        <v>0</v>
      </c>
      <c r="L169" s="35"/>
      <c r="M169" s="35">
        <v>0</v>
      </c>
      <c r="N169" s="35"/>
      <c r="O169" s="35">
        <v>0</v>
      </c>
      <c r="P169" s="35"/>
      <c r="Q169" s="35">
        <v>0</v>
      </c>
      <c r="R169" s="35"/>
      <c r="S169" s="35">
        <v>0</v>
      </c>
      <c r="T169" s="35"/>
      <c r="U169" s="35">
        <v>0</v>
      </c>
      <c r="V169" s="35"/>
      <c r="W169" s="35">
        <f t="shared" si="31"/>
        <v>0</v>
      </c>
      <c r="X169" s="35"/>
      <c r="Y169" s="35" t="s">
        <v>205</v>
      </c>
      <c r="Z169" s="55"/>
      <c r="AA169" s="35" t="s">
        <v>27</v>
      </c>
      <c r="AB169" s="35"/>
      <c r="AC169" s="35">
        <v>0</v>
      </c>
      <c r="AD169" s="35"/>
      <c r="AE169" s="35">
        <v>0</v>
      </c>
      <c r="AF169" s="35"/>
      <c r="AG169" s="35">
        <v>0</v>
      </c>
      <c r="AH169" s="35"/>
      <c r="AI169" s="45">
        <f t="shared" si="27"/>
        <v>0</v>
      </c>
      <c r="AJ169" s="45"/>
      <c r="AK169" s="35">
        <v>0</v>
      </c>
      <c r="AL169" s="35"/>
      <c r="AM169" s="35">
        <v>0</v>
      </c>
      <c r="AN169" s="35"/>
      <c r="AO169" s="35">
        <v>0</v>
      </c>
      <c r="AP169" s="35"/>
      <c r="AQ169" s="35">
        <v>0</v>
      </c>
      <c r="AR169" s="35"/>
      <c r="AS169" s="45">
        <f t="shared" si="28"/>
        <v>0</v>
      </c>
      <c r="AT169" s="45"/>
      <c r="AU169" s="35">
        <v>0</v>
      </c>
      <c r="AV169" s="35"/>
      <c r="AW169" s="35">
        <v>0</v>
      </c>
      <c r="AX169" s="35"/>
      <c r="AY169" s="35">
        <f t="shared" si="32"/>
        <v>0</v>
      </c>
      <c r="AZ169" s="35"/>
      <c r="BA169" s="35" t="s">
        <v>205</v>
      </c>
      <c r="BB169" s="55"/>
      <c r="BC169" s="35" t="s">
        <v>27</v>
      </c>
      <c r="BD169" s="35"/>
      <c r="BE169" s="35">
        <v>0</v>
      </c>
      <c r="BF169" s="35"/>
      <c r="BG169" s="35"/>
      <c r="BH169" s="35"/>
      <c r="BI169" s="35">
        <v>0</v>
      </c>
      <c r="BJ169" s="35"/>
      <c r="BK169" s="35">
        <v>0</v>
      </c>
      <c r="BL169" s="35"/>
      <c r="BM169" s="35">
        <f t="shared" si="26"/>
        <v>0</v>
      </c>
      <c r="BN169" s="54" t="s">
        <v>347</v>
      </c>
    </row>
    <row r="170" spans="1:67" ht="12.75" hidden="1" customHeight="1">
      <c r="A170" s="35" t="s">
        <v>206</v>
      </c>
      <c r="C170" s="35" t="s">
        <v>47</v>
      </c>
      <c r="D170" s="35"/>
      <c r="E170" s="35">
        <f t="shared" si="29"/>
        <v>0</v>
      </c>
      <c r="F170" s="35"/>
      <c r="G170" s="35">
        <v>0</v>
      </c>
      <c r="H170" s="35"/>
      <c r="I170" s="35">
        <v>0</v>
      </c>
      <c r="J170" s="35"/>
      <c r="K170" s="35">
        <f t="shared" si="30"/>
        <v>0</v>
      </c>
      <c r="L170" s="35"/>
      <c r="M170" s="35">
        <v>0</v>
      </c>
      <c r="N170" s="35"/>
      <c r="O170" s="35">
        <v>0</v>
      </c>
      <c r="P170" s="35"/>
      <c r="Q170" s="35">
        <v>0</v>
      </c>
      <c r="R170" s="35"/>
      <c r="S170" s="35">
        <v>0</v>
      </c>
      <c r="T170" s="35"/>
      <c r="U170" s="35">
        <v>0</v>
      </c>
      <c r="V170" s="35"/>
      <c r="W170" s="35">
        <f t="shared" si="31"/>
        <v>0</v>
      </c>
      <c r="X170" s="35"/>
      <c r="Y170" s="35" t="s">
        <v>206</v>
      </c>
      <c r="Z170" s="55"/>
      <c r="AA170" s="35" t="s">
        <v>47</v>
      </c>
      <c r="AB170" s="35"/>
      <c r="AC170" s="35">
        <v>0</v>
      </c>
      <c r="AD170" s="35"/>
      <c r="AE170" s="35">
        <v>0</v>
      </c>
      <c r="AF170" s="35"/>
      <c r="AG170" s="35">
        <v>0</v>
      </c>
      <c r="AH170" s="35"/>
      <c r="AI170" s="45">
        <f t="shared" si="27"/>
        <v>0</v>
      </c>
      <c r="AJ170" s="45"/>
      <c r="AK170" s="35">
        <v>0</v>
      </c>
      <c r="AL170" s="35"/>
      <c r="AM170" s="35">
        <v>0</v>
      </c>
      <c r="AN170" s="35"/>
      <c r="AO170" s="35">
        <v>0</v>
      </c>
      <c r="AP170" s="35"/>
      <c r="AQ170" s="35">
        <v>0</v>
      </c>
      <c r="AR170" s="35"/>
      <c r="AS170" s="45">
        <f t="shared" si="28"/>
        <v>0</v>
      </c>
      <c r="AT170" s="45"/>
      <c r="AU170" s="35">
        <v>0</v>
      </c>
      <c r="AV170" s="35"/>
      <c r="AW170" s="35">
        <v>0</v>
      </c>
      <c r="AX170" s="35"/>
      <c r="AY170" s="35">
        <f t="shared" si="32"/>
        <v>0</v>
      </c>
      <c r="AZ170" s="35"/>
      <c r="BA170" s="35" t="s">
        <v>206</v>
      </c>
      <c r="BB170" s="55"/>
      <c r="BC170" s="35" t="s">
        <v>47</v>
      </c>
      <c r="BD170" s="35"/>
      <c r="BE170" s="35">
        <v>0</v>
      </c>
      <c r="BF170" s="35"/>
      <c r="BG170" s="35"/>
      <c r="BH170" s="35"/>
      <c r="BI170" s="35">
        <v>0</v>
      </c>
      <c r="BJ170" s="35"/>
      <c r="BK170" s="35">
        <v>0</v>
      </c>
      <c r="BL170" s="35"/>
      <c r="BM170" s="35">
        <f t="shared" si="26"/>
        <v>0</v>
      </c>
      <c r="BN170" s="54" t="s">
        <v>347</v>
      </c>
    </row>
    <row r="171" spans="1:67" ht="12.75" hidden="1" customHeight="1">
      <c r="A171" s="35" t="s">
        <v>207</v>
      </c>
      <c r="C171" s="35" t="s">
        <v>102</v>
      </c>
      <c r="D171" s="35"/>
      <c r="E171" s="35">
        <f t="shared" si="29"/>
        <v>0</v>
      </c>
      <c r="F171" s="35"/>
      <c r="G171" s="35">
        <v>0</v>
      </c>
      <c r="H171" s="35"/>
      <c r="I171" s="35">
        <v>0</v>
      </c>
      <c r="J171" s="35"/>
      <c r="K171" s="35">
        <f t="shared" si="30"/>
        <v>0</v>
      </c>
      <c r="L171" s="35"/>
      <c r="M171" s="35">
        <v>0</v>
      </c>
      <c r="N171" s="35"/>
      <c r="O171" s="35">
        <v>0</v>
      </c>
      <c r="P171" s="35"/>
      <c r="Q171" s="35">
        <v>0</v>
      </c>
      <c r="R171" s="35"/>
      <c r="S171" s="35">
        <v>0</v>
      </c>
      <c r="T171" s="35"/>
      <c r="U171" s="35">
        <v>0</v>
      </c>
      <c r="V171" s="35"/>
      <c r="W171" s="35">
        <f t="shared" si="31"/>
        <v>0</v>
      </c>
      <c r="X171" s="35"/>
      <c r="Y171" s="35" t="s">
        <v>207</v>
      </c>
      <c r="Z171" s="55"/>
      <c r="AA171" s="35" t="s">
        <v>102</v>
      </c>
      <c r="AB171" s="35"/>
      <c r="AC171" s="35">
        <v>0</v>
      </c>
      <c r="AD171" s="35"/>
      <c r="AE171" s="35">
        <v>0</v>
      </c>
      <c r="AF171" s="35"/>
      <c r="AG171" s="35">
        <v>0</v>
      </c>
      <c r="AH171" s="35"/>
      <c r="AI171" s="45">
        <f t="shared" si="27"/>
        <v>0</v>
      </c>
      <c r="AJ171" s="45"/>
      <c r="AK171" s="35">
        <v>0</v>
      </c>
      <c r="AL171" s="35"/>
      <c r="AM171" s="35">
        <v>0</v>
      </c>
      <c r="AN171" s="35"/>
      <c r="AO171" s="35">
        <v>0</v>
      </c>
      <c r="AP171" s="35"/>
      <c r="AQ171" s="35">
        <v>0</v>
      </c>
      <c r="AR171" s="35"/>
      <c r="AS171" s="45">
        <f t="shared" si="28"/>
        <v>0</v>
      </c>
      <c r="AT171" s="45"/>
      <c r="AU171" s="35">
        <v>0</v>
      </c>
      <c r="AV171" s="35"/>
      <c r="AW171" s="35">
        <v>0</v>
      </c>
      <c r="AX171" s="35"/>
      <c r="AY171" s="35">
        <f t="shared" si="32"/>
        <v>0</v>
      </c>
      <c r="AZ171" s="35"/>
      <c r="BA171" s="35" t="s">
        <v>207</v>
      </c>
      <c r="BB171" s="55"/>
      <c r="BC171" s="35" t="s">
        <v>102</v>
      </c>
      <c r="BD171" s="35"/>
      <c r="BE171" s="35">
        <v>0</v>
      </c>
      <c r="BF171" s="35"/>
      <c r="BG171" s="35"/>
      <c r="BH171" s="35"/>
      <c r="BI171" s="35">
        <v>0</v>
      </c>
      <c r="BJ171" s="35"/>
      <c r="BK171" s="35">
        <v>0</v>
      </c>
      <c r="BL171" s="35"/>
      <c r="BM171" s="35">
        <f t="shared" si="26"/>
        <v>0</v>
      </c>
      <c r="BN171" s="54" t="s">
        <v>347</v>
      </c>
    </row>
    <row r="172" spans="1:67" ht="12.75" customHeight="1">
      <c r="A172" s="35" t="s">
        <v>208</v>
      </c>
      <c r="C172" s="35" t="s">
        <v>209</v>
      </c>
      <c r="D172" s="35"/>
      <c r="E172" s="35">
        <f t="shared" si="29"/>
        <v>16956078</v>
      </c>
      <c r="F172" s="35"/>
      <c r="G172" s="35">
        <v>30657083</v>
      </c>
      <c r="H172" s="35"/>
      <c r="I172" s="35">
        <v>47613161</v>
      </c>
      <c r="J172" s="35"/>
      <c r="K172" s="35">
        <f t="shared" si="30"/>
        <v>2452377</v>
      </c>
      <c r="L172" s="35"/>
      <c r="M172" s="35">
        <v>394079</v>
      </c>
      <c r="N172" s="35"/>
      <c r="O172" s="35">
        <v>2846456</v>
      </c>
      <c r="P172" s="35"/>
      <c r="Q172" s="35">
        <v>30259074</v>
      </c>
      <c r="R172" s="35"/>
      <c r="S172" s="35">
        <v>0</v>
      </c>
      <c r="T172" s="35"/>
      <c r="U172" s="35">
        <v>14507631</v>
      </c>
      <c r="V172" s="35"/>
      <c r="W172" s="35">
        <f t="shared" si="31"/>
        <v>44766705</v>
      </c>
      <c r="X172" s="35"/>
      <c r="Y172" s="35" t="s">
        <v>208</v>
      </c>
      <c r="Z172" s="55"/>
      <c r="AA172" s="35" t="s">
        <v>209</v>
      </c>
      <c r="AB172" s="35"/>
      <c r="AC172" s="35">
        <v>23768520</v>
      </c>
      <c r="AD172" s="35"/>
      <c r="AE172" s="35">
        <f>22481995-1678367</f>
        <v>20803628</v>
      </c>
      <c r="AF172" s="35"/>
      <c r="AG172" s="35">
        <v>1678367</v>
      </c>
      <c r="AH172" s="35"/>
      <c r="AI172" s="45">
        <f t="shared" si="27"/>
        <v>1286525</v>
      </c>
      <c r="AJ172" s="45"/>
      <c r="AK172" s="35">
        <v>-495667</v>
      </c>
      <c r="AL172" s="35"/>
      <c r="AM172" s="35">
        <v>0</v>
      </c>
      <c r="AN172" s="35"/>
      <c r="AO172" s="35">
        <v>0</v>
      </c>
      <c r="AP172" s="35"/>
      <c r="AQ172" s="35">
        <v>0</v>
      </c>
      <c r="AR172" s="35"/>
      <c r="AS172" s="45">
        <f t="shared" si="28"/>
        <v>790858</v>
      </c>
      <c r="AT172" s="45"/>
      <c r="AU172" s="35">
        <v>0</v>
      </c>
      <c r="AV172" s="35"/>
      <c r="AW172" s="35">
        <v>0</v>
      </c>
      <c r="AX172" s="35"/>
      <c r="AY172" s="35">
        <f t="shared" si="32"/>
        <v>14503701</v>
      </c>
      <c r="AZ172" s="35"/>
      <c r="BA172" s="35" t="s">
        <v>208</v>
      </c>
      <c r="BB172" s="55"/>
      <c r="BC172" s="35" t="s">
        <v>209</v>
      </c>
      <c r="BD172" s="35"/>
      <c r="BE172" s="35">
        <v>0</v>
      </c>
      <c r="BF172" s="35"/>
      <c r="BG172" s="35"/>
      <c r="BH172" s="35"/>
      <c r="BI172" s="35">
        <v>0</v>
      </c>
      <c r="BJ172" s="35"/>
      <c r="BK172" s="35">
        <f>394079+151293</f>
        <v>545372</v>
      </c>
      <c r="BL172" s="35"/>
      <c r="BM172" s="35">
        <f t="shared" si="26"/>
        <v>545372</v>
      </c>
      <c r="BN172" s="54" t="s">
        <v>347</v>
      </c>
    </row>
    <row r="173" spans="1:67" ht="12.75" hidden="1" customHeight="1">
      <c r="A173" s="44" t="s">
        <v>210</v>
      </c>
      <c r="C173" s="44" t="s">
        <v>211</v>
      </c>
      <c r="D173" s="44"/>
      <c r="E173" s="35">
        <f t="shared" si="29"/>
        <v>0</v>
      </c>
      <c r="F173" s="35"/>
      <c r="G173" s="35">
        <v>0</v>
      </c>
      <c r="H173" s="35"/>
      <c r="I173" s="35">
        <v>0</v>
      </c>
      <c r="J173" s="35"/>
      <c r="K173" s="35">
        <f t="shared" si="30"/>
        <v>0</v>
      </c>
      <c r="L173" s="35"/>
      <c r="M173" s="35">
        <v>0</v>
      </c>
      <c r="N173" s="35"/>
      <c r="O173" s="35">
        <v>0</v>
      </c>
      <c r="P173" s="35"/>
      <c r="Q173" s="35">
        <v>0</v>
      </c>
      <c r="R173" s="35"/>
      <c r="S173" s="35">
        <v>0</v>
      </c>
      <c r="T173" s="35"/>
      <c r="U173" s="35">
        <v>0</v>
      </c>
      <c r="V173" s="35"/>
      <c r="W173" s="35">
        <f t="shared" si="31"/>
        <v>0</v>
      </c>
      <c r="X173" s="35"/>
      <c r="Y173" s="44" t="s">
        <v>210</v>
      </c>
      <c r="Z173" s="55"/>
      <c r="AA173" s="44" t="s">
        <v>211</v>
      </c>
      <c r="AB173" s="44"/>
      <c r="AC173" s="35">
        <v>0</v>
      </c>
      <c r="AD173" s="35"/>
      <c r="AE173" s="35">
        <v>0</v>
      </c>
      <c r="AF173" s="35"/>
      <c r="AG173" s="35">
        <v>0</v>
      </c>
      <c r="AH173" s="35"/>
      <c r="AI173" s="45">
        <f t="shared" si="27"/>
        <v>0</v>
      </c>
      <c r="AJ173" s="45"/>
      <c r="AK173" s="35">
        <v>0</v>
      </c>
      <c r="AL173" s="35"/>
      <c r="AM173" s="35">
        <v>0</v>
      </c>
      <c r="AN173" s="35"/>
      <c r="AO173" s="35">
        <v>0</v>
      </c>
      <c r="AP173" s="35"/>
      <c r="AQ173" s="35">
        <v>0</v>
      </c>
      <c r="AR173" s="35"/>
      <c r="AS173" s="45">
        <f t="shared" si="28"/>
        <v>0</v>
      </c>
      <c r="AT173" s="45"/>
      <c r="AU173" s="35">
        <v>0</v>
      </c>
      <c r="AV173" s="35"/>
      <c r="AW173" s="35">
        <v>0</v>
      </c>
      <c r="AX173" s="35"/>
      <c r="AY173" s="35">
        <f t="shared" si="32"/>
        <v>0</v>
      </c>
      <c r="AZ173" s="35"/>
      <c r="BA173" s="44" t="s">
        <v>210</v>
      </c>
      <c r="BB173" s="55"/>
      <c r="BC173" s="44" t="s">
        <v>211</v>
      </c>
      <c r="BD173" s="44"/>
      <c r="BE173" s="35">
        <v>0</v>
      </c>
      <c r="BF173" s="35"/>
      <c r="BG173" s="35"/>
      <c r="BH173" s="35"/>
      <c r="BI173" s="35">
        <v>0</v>
      </c>
      <c r="BJ173" s="35"/>
      <c r="BK173" s="35">
        <v>0</v>
      </c>
      <c r="BL173" s="35"/>
      <c r="BM173" s="35">
        <f t="shared" si="26"/>
        <v>0</v>
      </c>
      <c r="BN173" s="54" t="s">
        <v>347</v>
      </c>
    </row>
    <row r="174" spans="1:67" ht="12.75" hidden="1" customHeight="1">
      <c r="A174" s="44" t="s">
        <v>212</v>
      </c>
      <c r="C174" s="44" t="s">
        <v>213</v>
      </c>
      <c r="D174" s="44"/>
      <c r="E174" s="35">
        <f t="shared" si="29"/>
        <v>0</v>
      </c>
      <c r="F174" s="35"/>
      <c r="G174" s="35">
        <v>0</v>
      </c>
      <c r="H174" s="35"/>
      <c r="I174" s="35">
        <v>0</v>
      </c>
      <c r="J174" s="35"/>
      <c r="K174" s="35">
        <f t="shared" si="30"/>
        <v>0</v>
      </c>
      <c r="L174" s="35"/>
      <c r="M174" s="35">
        <v>0</v>
      </c>
      <c r="N174" s="35"/>
      <c r="O174" s="35">
        <v>0</v>
      </c>
      <c r="P174" s="35"/>
      <c r="Q174" s="35">
        <v>0</v>
      </c>
      <c r="R174" s="35"/>
      <c r="S174" s="35">
        <v>0</v>
      </c>
      <c r="T174" s="35"/>
      <c r="U174" s="35">
        <v>0</v>
      </c>
      <c r="V174" s="35"/>
      <c r="W174" s="35">
        <f t="shared" si="31"/>
        <v>0</v>
      </c>
      <c r="X174" s="35"/>
      <c r="Y174" s="44" t="s">
        <v>212</v>
      </c>
      <c r="Z174" s="55"/>
      <c r="AA174" s="44" t="s">
        <v>213</v>
      </c>
      <c r="AB174" s="44"/>
      <c r="AC174" s="35">
        <v>0</v>
      </c>
      <c r="AD174" s="35"/>
      <c r="AE174" s="35">
        <v>0</v>
      </c>
      <c r="AF174" s="35"/>
      <c r="AG174" s="35">
        <v>0</v>
      </c>
      <c r="AH174" s="35"/>
      <c r="AI174" s="45">
        <f t="shared" si="27"/>
        <v>0</v>
      </c>
      <c r="AJ174" s="45"/>
      <c r="AK174" s="35">
        <v>0</v>
      </c>
      <c r="AL174" s="35"/>
      <c r="AM174" s="35">
        <v>0</v>
      </c>
      <c r="AN174" s="35"/>
      <c r="AO174" s="35">
        <v>0</v>
      </c>
      <c r="AP174" s="35"/>
      <c r="AQ174" s="35">
        <v>0</v>
      </c>
      <c r="AR174" s="35"/>
      <c r="AS174" s="45">
        <f t="shared" si="28"/>
        <v>0</v>
      </c>
      <c r="AT174" s="45"/>
      <c r="AU174" s="35">
        <v>0</v>
      </c>
      <c r="AV174" s="35"/>
      <c r="AW174" s="35">
        <v>0</v>
      </c>
      <c r="AX174" s="35"/>
      <c r="AY174" s="35">
        <f t="shared" si="32"/>
        <v>0</v>
      </c>
      <c r="AZ174" s="35"/>
      <c r="BA174" s="44" t="s">
        <v>212</v>
      </c>
      <c r="BB174" s="55"/>
      <c r="BC174" s="44" t="s">
        <v>213</v>
      </c>
      <c r="BD174" s="44"/>
      <c r="BE174" s="35">
        <v>0</v>
      </c>
      <c r="BF174" s="35"/>
      <c r="BG174" s="35"/>
      <c r="BH174" s="35"/>
      <c r="BI174" s="35">
        <v>0</v>
      </c>
      <c r="BJ174" s="35"/>
      <c r="BK174" s="35">
        <v>0</v>
      </c>
      <c r="BL174" s="35"/>
      <c r="BM174" s="35">
        <f t="shared" si="26"/>
        <v>0</v>
      </c>
      <c r="BN174" s="54" t="s">
        <v>347</v>
      </c>
    </row>
    <row r="175" spans="1:67" ht="12.75" hidden="1" customHeight="1">
      <c r="A175" s="44" t="s">
        <v>214</v>
      </c>
      <c r="C175" s="44" t="s">
        <v>86</v>
      </c>
      <c r="D175" s="44"/>
      <c r="E175" s="35">
        <f t="shared" si="29"/>
        <v>0</v>
      </c>
      <c r="F175" s="35"/>
      <c r="G175" s="35">
        <v>0</v>
      </c>
      <c r="H175" s="35"/>
      <c r="I175" s="35">
        <v>0</v>
      </c>
      <c r="J175" s="35"/>
      <c r="K175" s="35">
        <f t="shared" si="30"/>
        <v>0</v>
      </c>
      <c r="L175" s="35"/>
      <c r="M175" s="35">
        <v>0</v>
      </c>
      <c r="N175" s="35"/>
      <c r="O175" s="35">
        <v>0</v>
      </c>
      <c r="P175" s="35"/>
      <c r="Q175" s="35">
        <v>0</v>
      </c>
      <c r="R175" s="35"/>
      <c r="S175" s="35">
        <v>0</v>
      </c>
      <c r="T175" s="35"/>
      <c r="U175" s="35">
        <v>0</v>
      </c>
      <c r="V175" s="35"/>
      <c r="W175" s="35">
        <f t="shared" si="31"/>
        <v>0</v>
      </c>
      <c r="X175" s="35"/>
      <c r="Y175" s="44" t="s">
        <v>214</v>
      </c>
      <c r="Z175" s="55"/>
      <c r="AA175" s="44" t="s">
        <v>86</v>
      </c>
      <c r="AB175" s="44"/>
      <c r="AC175" s="35">
        <v>0</v>
      </c>
      <c r="AD175" s="35"/>
      <c r="AE175" s="35">
        <v>0</v>
      </c>
      <c r="AF175" s="35"/>
      <c r="AG175" s="35">
        <v>0</v>
      </c>
      <c r="AH175" s="35"/>
      <c r="AI175" s="45">
        <f t="shared" si="27"/>
        <v>0</v>
      </c>
      <c r="AJ175" s="45"/>
      <c r="AK175" s="35">
        <v>0</v>
      </c>
      <c r="AL175" s="35"/>
      <c r="AM175" s="35">
        <v>0</v>
      </c>
      <c r="AN175" s="35"/>
      <c r="AO175" s="35">
        <v>0</v>
      </c>
      <c r="AP175" s="35"/>
      <c r="AQ175" s="35">
        <v>0</v>
      </c>
      <c r="AR175" s="35"/>
      <c r="AS175" s="45">
        <f t="shared" si="28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2"/>
        <v>0</v>
      </c>
      <c r="AZ175" s="35"/>
      <c r="BA175" s="44" t="s">
        <v>214</v>
      </c>
      <c r="BB175" s="55"/>
      <c r="BC175" s="44" t="s">
        <v>86</v>
      </c>
      <c r="BD175" s="44"/>
      <c r="BE175" s="35">
        <v>0</v>
      </c>
      <c r="BF175" s="35"/>
      <c r="BG175" s="35"/>
      <c r="BH175" s="35"/>
      <c r="BI175" s="35">
        <v>0</v>
      </c>
      <c r="BJ175" s="35"/>
      <c r="BK175" s="35">
        <v>0</v>
      </c>
      <c r="BL175" s="35"/>
      <c r="BM175" s="35">
        <f t="shared" si="26"/>
        <v>0</v>
      </c>
      <c r="BN175" s="54" t="s">
        <v>347</v>
      </c>
    </row>
    <row r="176" spans="1:67" ht="12.75" hidden="1" customHeight="1">
      <c r="A176" s="35" t="s">
        <v>215</v>
      </c>
      <c r="C176" s="35" t="s">
        <v>22</v>
      </c>
      <c r="D176" s="35"/>
      <c r="E176" s="35">
        <f t="shared" si="29"/>
        <v>0</v>
      </c>
      <c r="F176" s="35"/>
      <c r="G176" s="35">
        <v>0</v>
      </c>
      <c r="H176" s="35"/>
      <c r="I176" s="35">
        <v>0</v>
      </c>
      <c r="J176" s="35"/>
      <c r="K176" s="35">
        <f t="shared" si="30"/>
        <v>0</v>
      </c>
      <c r="L176" s="35"/>
      <c r="M176" s="35">
        <v>0</v>
      </c>
      <c r="N176" s="35"/>
      <c r="O176" s="35">
        <v>0</v>
      </c>
      <c r="P176" s="35"/>
      <c r="Q176" s="35">
        <v>0</v>
      </c>
      <c r="R176" s="35"/>
      <c r="S176" s="35">
        <v>0</v>
      </c>
      <c r="T176" s="35"/>
      <c r="U176" s="35">
        <v>0</v>
      </c>
      <c r="V176" s="35"/>
      <c r="W176" s="35">
        <f t="shared" si="31"/>
        <v>0</v>
      </c>
      <c r="X176" s="35"/>
      <c r="Y176" s="35" t="s">
        <v>215</v>
      </c>
      <c r="Z176" s="55"/>
      <c r="AA176" s="35" t="s">
        <v>22</v>
      </c>
      <c r="AB176" s="35"/>
      <c r="AC176" s="35">
        <v>0</v>
      </c>
      <c r="AD176" s="35"/>
      <c r="AE176" s="35">
        <v>0</v>
      </c>
      <c r="AF176" s="35"/>
      <c r="AG176" s="35">
        <v>0</v>
      </c>
      <c r="AH176" s="35"/>
      <c r="AI176" s="45">
        <f t="shared" si="27"/>
        <v>0</v>
      </c>
      <c r="AJ176" s="45"/>
      <c r="AK176" s="35">
        <v>0</v>
      </c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28"/>
        <v>0</v>
      </c>
      <c r="AT176" s="45"/>
      <c r="AU176" s="35">
        <v>0</v>
      </c>
      <c r="AV176" s="35"/>
      <c r="AW176" s="35">
        <v>0</v>
      </c>
      <c r="AX176" s="35"/>
      <c r="AY176" s="35">
        <f t="shared" si="32"/>
        <v>0</v>
      </c>
      <c r="AZ176" s="35"/>
      <c r="BA176" s="35" t="s">
        <v>215</v>
      </c>
      <c r="BB176" s="55"/>
      <c r="BC176" s="35" t="s">
        <v>22</v>
      </c>
      <c r="BD176" s="35"/>
      <c r="BE176" s="35">
        <v>0</v>
      </c>
      <c r="BF176" s="35"/>
      <c r="BG176" s="35"/>
      <c r="BH176" s="35"/>
      <c r="BI176" s="35">
        <v>0</v>
      </c>
      <c r="BJ176" s="35"/>
      <c r="BK176" s="35">
        <v>0</v>
      </c>
      <c r="BL176" s="35"/>
      <c r="BM176" s="35">
        <f t="shared" si="26"/>
        <v>0</v>
      </c>
      <c r="BN176" s="54" t="s">
        <v>347</v>
      </c>
    </row>
    <row r="177" spans="1:68" ht="12.75" hidden="1" customHeight="1">
      <c r="A177" s="35" t="s">
        <v>216</v>
      </c>
      <c r="C177" s="35" t="s">
        <v>45</v>
      </c>
      <c r="D177" s="35"/>
      <c r="E177" s="35">
        <f t="shared" si="29"/>
        <v>0</v>
      </c>
      <c r="F177" s="35"/>
      <c r="G177" s="35">
        <v>0</v>
      </c>
      <c r="H177" s="35"/>
      <c r="I177" s="35">
        <v>0</v>
      </c>
      <c r="J177" s="35"/>
      <c r="K177" s="35">
        <f t="shared" si="30"/>
        <v>0</v>
      </c>
      <c r="L177" s="35"/>
      <c r="M177" s="35">
        <v>0</v>
      </c>
      <c r="N177" s="35"/>
      <c r="O177" s="35">
        <v>0</v>
      </c>
      <c r="P177" s="35"/>
      <c r="Q177" s="35">
        <v>0</v>
      </c>
      <c r="R177" s="35"/>
      <c r="S177" s="35">
        <v>0</v>
      </c>
      <c r="T177" s="35"/>
      <c r="U177" s="35">
        <v>0</v>
      </c>
      <c r="V177" s="35"/>
      <c r="W177" s="35">
        <f t="shared" si="31"/>
        <v>0</v>
      </c>
      <c r="X177" s="35"/>
      <c r="Y177" s="35" t="s">
        <v>216</v>
      </c>
      <c r="Z177" s="55"/>
      <c r="AA177" s="35" t="s">
        <v>45</v>
      </c>
      <c r="AB177" s="35"/>
      <c r="AC177" s="35">
        <v>0</v>
      </c>
      <c r="AD177" s="35"/>
      <c r="AE177" s="35">
        <v>0</v>
      </c>
      <c r="AF177" s="35"/>
      <c r="AG177" s="35">
        <v>0</v>
      </c>
      <c r="AH177" s="35"/>
      <c r="AI177" s="45">
        <f t="shared" si="27"/>
        <v>0</v>
      </c>
      <c r="AJ177" s="45"/>
      <c r="AK177" s="35">
        <v>0</v>
      </c>
      <c r="AL177" s="35"/>
      <c r="AM177" s="35">
        <v>0</v>
      </c>
      <c r="AN177" s="35"/>
      <c r="AO177" s="35">
        <v>0</v>
      </c>
      <c r="AP177" s="35"/>
      <c r="AQ177" s="35">
        <v>0</v>
      </c>
      <c r="AR177" s="35"/>
      <c r="AS177" s="45">
        <f t="shared" si="28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2"/>
        <v>0</v>
      </c>
      <c r="AZ177" s="35"/>
      <c r="BA177" s="35" t="s">
        <v>216</v>
      </c>
      <c r="BB177" s="55"/>
      <c r="BC177" s="35" t="s">
        <v>45</v>
      </c>
      <c r="BD177" s="35"/>
      <c r="BE177" s="35">
        <v>0</v>
      </c>
      <c r="BF177" s="35"/>
      <c r="BG177" s="35"/>
      <c r="BH177" s="35"/>
      <c r="BI177" s="35">
        <v>0</v>
      </c>
      <c r="BJ177" s="35"/>
      <c r="BK177" s="35">
        <v>0</v>
      </c>
      <c r="BL177" s="35"/>
      <c r="BM177" s="35">
        <f t="shared" si="26"/>
        <v>0</v>
      </c>
      <c r="BN177" s="54" t="s">
        <v>347</v>
      </c>
    </row>
    <row r="178" spans="1:68" ht="12.75" hidden="1" customHeight="1">
      <c r="A178" s="35" t="s">
        <v>217</v>
      </c>
      <c r="C178" s="35" t="s">
        <v>43</v>
      </c>
      <c r="D178" s="35"/>
      <c r="E178" s="35">
        <f t="shared" si="29"/>
        <v>0</v>
      </c>
      <c r="F178" s="35"/>
      <c r="G178" s="35">
        <v>0</v>
      </c>
      <c r="H178" s="35"/>
      <c r="I178" s="35">
        <v>0</v>
      </c>
      <c r="J178" s="35"/>
      <c r="K178" s="35">
        <f t="shared" si="30"/>
        <v>0</v>
      </c>
      <c r="L178" s="35"/>
      <c r="M178" s="35">
        <v>0</v>
      </c>
      <c r="N178" s="35"/>
      <c r="O178" s="35">
        <v>0</v>
      </c>
      <c r="P178" s="35"/>
      <c r="Q178" s="35">
        <v>0</v>
      </c>
      <c r="R178" s="35"/>
      <c r="S178" s="35">
        <v>0</v>
      </c>
      <c r="T178" s="35"/>
      <c r="U178" s="35">
        <v>0</v>
      </c>
      <c r="V178" s="35"/>
      <c r="W178" s="35">
        <f t="shared" si="31"/>
        <v>0</v>
      </c>
      <c r="X178" s="35"/>
      <c r="Y178" s="35" t="s">
        <v>217</v>
      </c>
      <c r="Z178" s="55"/>
      <c r="AA178" s="35" t="s">
        <v>43</v>
      </c>
      <c r="AB178" s="35"/>
      <c r="AC178" s="35">
        <v>0</v>
      </c>
      <c r="AD178" s="35"/>
      <c r="AE178" s="35">
        <v>0</v>
      </c>
      <c r="AF178" s="35"/>
      <c r="AG178" s="35">
        <v>0</v>
      </c>
      <c r="AH178" s="35"/>
      <c r="AI178" s="45">
        <f t="shared" si="27"/>
        <v>0</v>
      </c>
      <c r="AJ178" s="45"/>
      <c r="AK178" s="35">
        <v>0</v>
      </c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28"/>
        <v>0</v>
      </c>
      <c r="AT178" s="45"/>
      <c r="AU178" s="35">
        <v>0</v>
      </c>
      <c r="AV178" s="35"/>
      <c r="AW178" s="35">
        <v>0</v>
      </c>
      <c r="AX178" s="35"/>
      <c r="AY178" s="35">
        <f t="shared" si="32"/>
        <v>0</v>
      </c>
      <c r="AZ178" s="35"/>
      <c r="BA178" s="35" t="s">
        <v>217</v>
      </c>
      <c r="BB178" s="55"/>
      <c r="BC178" s="35" t="s">
        <v>43</v>
      </c>
      <c r="BD178" s="35"/>
      <c r="BE178" s="35">
        <v>0</v>
      </c>
      <c r="BF178" s="35"/>
      <c r="BG178" s="35"/>
      <c r="BH178" s="35"/>
      <c r="BI178" s="35">
        <v>0</v>
      </c>
      <c r="BJ178" s="35"/>
      <c r="BK178" s="35">
        <v>0</v>
      </c>
      <c r="BL178" s="35"/>
      <c r="BM178" s="35">
        <f t="shared" si="26"/>
        <v>0</v>
      </c>
      <c r="BN178" s="54" t="s">
        <v>347</v>
      </c>
    </row>
    <row r="179" spans="1:68" ht="12.75" hidden="1" customHeight="1">
      <c r="A179" s="35" t="s">
        <v>218</v>
      </c>
      <c r="C179" s="35" t="s">
        <v>27</v>
      </c>
      <c r="D179" s="35"/>
      <c r="E179" s="35">
        <f t="shared" si="29"/>
        <v>0</v>
      </c>
      <c r="F179" s="35"/>
      <c r="G179" s="35">
        <v>0</v>
      </c>
      <c r="H179" s="35"/>
      <c r="I179" s="35">
        <v>0</v>
      </c>
      <c r="J179" s="35"/>
      <c r="K179" s="35">
        <f t="shared" si="30"/>
        <v>0</v>
      </c>
      <c r="L179" s="35"/>
      <c r="M179" s="35">
        <v>0</v>
      </c>
      <c r="N179" s="35"/>
      <c r="O179" s="35">
        <v>0</v>
      </c>
      <c r="P179" s="35"/>
      <c r="Q179" s="35">
        <v>0</v>
      </c>
      <c r="R179" s="35"/>
      <c r="S179" s="35">
        <v>0</v>
      </c>
      <c r="T179" s="35"/>
      <c r="U179" s="35">
        <v>0</v>
      </c>
      <c r="V179" s="35"/>
      <c r="W179" s="35">
        <f t="shared" si="31"/>
        <v>0</v>
      </c>
      <c r="X179" s="35"/>
      <c r="Y179" s="35" t="s">
        <v>218</v>
      </c>
      <c r="Z179" s="55"/>
      <c r="AA179" s="35" t="s">
        <v>27</v>
      </c>
      <c r="AB179" s="35"/>
      <c r="AC179" s="35">
        <v>0</v>
      </c>
      <c r="AD179" s="35"/>
      <c r="AE179" s="35">
        <v>0</v>
      </c>
      <c r="AF179" s="35"/>
      <c r="AG179" s="35">
        <v>0</v>
      </c>
      <c r="AH179" s="35"/>
      <c r="AI179" s="45">
        <f t="shared" si="27"/>
        <v>0</v>
      </c>
      <c r="AJ179" s="45"/>
      <c r="AK179" s="35">
        <v>0</v>
      </c>
      <c r="AL179" s="35"/>
      <c r="AM179" s="35">
        <v>0</v>
      </c>
      <c r="AN179" s="35"/>
      <c r="AO179" s="35">
        <v>0</v>
      </c>
      <c r="AP179" s="35"/>
      <c r="AQ179" s="35">
        <v>0</v>
      </c>
      <c r="AR179" s="35"/>
      <c r="AS179" s="45">
        <f t="shared" si="28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2"/>
        <v>0</v>
      </c>
      <c r="AZ179" s="35"/>
      <c r="BA179" s="35" t="s">
        <v>218</v>
      </c>
      <c r="BB179" s="55"/>
      <c r="BC179" s="35" t="s">
        <v>27</v>
      </c>
      <c r="BD179" s="35"/>
      <c r="BE179" s="35">
        <v>0</v>
      </c>
      <c r="BF179" s="35"/>
      <c r="BG179" s="35"/>
      <c r="BH179" s="35"/>
      <c r="BI179" s="35">
        <v>0</v>
      </c>
      <c r="BJ179" s="35"/>
      <c r="BK179" s="35">
        <v>0</v>
      </c>
      <c r="BL179" s="35"/>
      <c r="BM179" s="35">
        <f t="shared" si="26"/>
        <v>0</v>
      </c>
      <c r="BN179" s="54" t="s">
        <v>347</v>
      </c>
      <c r="BO179" s="35"/>
      <c r="BP179" s="35"/>
    </row>
    <row r="180" spans="1:68" ht="12.75" hidden="1" customHeight="1">
      <c r="A180" s="35" t="s">
        <v>219</v>
      </c>
      <c r="C180" s="35" t="s">
        <v>199</v>
      </c>
      <c r="D180" s="35"/>
      <c r="E180" s="35">
        <f t="shared" si="29"/>
        <v>0</v>
      </c>
      <c r="F180" s="35"/>
      <c r="G180" s="35">
        <v>0</v>
      </c>
      <c r="H180" s="35"/>
      <c r="I180" s="35">
        <v>0</v>
      </c>
      <c r="J180" s="35"/>
      <c r="K180" s="35">
        <f t="shared" si="30"/>
        <v>0</v>
      </c>
      <c r="L180" s="35"/>
      <c r="M180" s="35">
        <v>0</v>
      </c>
      <c r="N180" s="35"/>
      <c r="O180" s="35">
        <v>0</v>
      </c>
      <c r="P180" s="35"/>
      <c r="Q180" s="35">
        <v>0</v>
      </c>
      <c r="R180" s="35"/>
      <c r="S180" s="35">
        <v>0</v>
      </c>
      <c r="T180" s="35"/>
      <c r="U180" s="35">
        <v>0</v>
      </c>
      <c r="V180" s="35"/>
      <c r="W180" s="35">
        <f t="shared" si="31"/>
        <v>0</v>
      </c>
      <c r="X180" s="35"/>
      <c r="Y180" s="35" t="s">
        <v>219</v>
      </c>
      <c r="Z180" s="55"/>
      <c r="AA180" s="35" t="s">
        <v>199</v>
      </c>
      <c r="AB180" s="35"/>
      <c r="AC180" s="35">
        <v>0</v>
      </c>
      <c r="AD180" s="35"/>
      <c r="AE180" s="35">
        <v>0</v>
      </c>
      <c r="AF180" s="35"/>
      <c r="AG180" s="35">
        <v>0</v>
      </c>
      <c r="AH180" s="35"/>
      <c r="AI180" s="45">
        <f t="shared" si="27"/>
        <v>0</v>
      </c>
      <c r="AJ180" s="45"/>
      <c r="AK180" s="35">
        <v>0</v>
      </c>
      <c r="AL180" s="35"/>
      <c r="AM180" s="35">
        <v>0</v>
      </c>
      <c r="AN180" s="35"/>
      <c r="AO180" s="35">
        <v>0</v>
      </c>
      <c r="AP180" s="35"/>
      <c r="AQ180" s="35">
        <v>0</v>
      </c>
      <c r="AR180" s="35"/>
      <c r="AS180" s="45">
        <f t="shared" si="28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2"/>
        <v>0</v>
      </c>
      <c r="AZ180" s="35"/>
      <c r="BA180" s="35" t="s">
        <v>219</v>
      </c>
      <c r="BB180" s="55"/>
      <c r="BC180" s="35" t="s">
        <v>199</v>
      </c>
      <c r="BD180" s="35"/>
      <c r="BE180" s="35">
        <v>0</v>
      </c>
      <c r="BF180" s="35"/>
      <c r="BG180" s="35"/>
      <c r="BH180" s="35"/>
      <c r="BI180" s="35">
        <v>0</v>
      </c>
      <c r="BJ180" s="35"/>
      <c r="BK180" s="35">
        <v>0</v>
      </c>
      <c r="BL180" s="35"/>
      <c r="BM180" s="35">
        <f t="shared" si="26"/>
        <v>0</v>
      </c>
      <c r="BN180" s="54" t="s">
        <v>347</v>
      </c>
    </row>
    <row r="181" spans="1:68" ht="12.75" hidden="1" customHeight="1">
      <c r="A181" s="35" t="s">
        <v>220</v>
      </c>
      <c r="C181" s="35" t="s">
        <v>66</v>
      </c>
      <c r="D181" s="35"/>
      <c r="E181" s="35">
        <f t="shared" si="29"/>
        <v>0</v>
      </c>
      <c r="F181" s="35"/>
      <c r="G181" s="35">
        <v>0</v>
      </c>
      <c r="H181" s="35"/>
      <c r="I181" s="35">
        <v>0</v>
      </c>
      <c r="J181" s="35"/>
      <c r="K181" s="35">
        <f t="shared" si="30"/>
        <v>0</v>
      </c>
      <c r="L181" s="35"/>
      <c r="M181" s="35">
        <v>0</v>
      </c>
      <c r="N181" s="35"/>
      <c r="O181" s="35">
        <v>0</v>
      </c>
      <c r="P181" s="35"/>
      <c r="Q181" s="35">
        <v>0</v>
      </c>
      <c r="R181" s="35"/>
      <c r="S181" s="35">
        <v>0</v>
      </c>
      <c r="T181" s="35"/>
      <c r="U181" s="35">
        <v>0</v>
      </c>
      <c r="V181" s="35"/>
      <c r="W181" s="35">
        <f t="shared" si="31"/>
        <v>0</v>
      </c>
      <c r="X181" s="35"/>
      <c r="Y181" s="35" t="s">
        <v>220</v>
      </c>
      <c r="Z181" s="55"/>
      <c r="AA181" s="35" t="s">
        <v>66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45">
        <f t="shared" si="27"/>
        <v>0</v>
      </c>
      <c r="AJ181" s="45"/>
      <c r="AK181" s="35">
        <v>0</v>
      </c>
      <c r="AL181" s="35"/>
      <c r="AM181" s="35">
        <v>0</v>
      </c>
      <c r="AN181" s="35"/>
      <c r="AO181" s="35">
        <v>0</v>
      </c>
      <c r="AP181" s="35"/>
      <c r="AQ181" s="35">
        <v>0</v>
      </c>
      <c r="AR181" s="35"/>
      <c r="AS181" s="45">
        <f t="shared" si="28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2"/>
        <v>0</v>
      </c>
      <c r="AZ181" s="35"/>
      <c r="BA181" s="35" t="s">
        <v>220</v>
      </c>
      <c r="BB181" s="55"/>
      <c r="BC181" s="35" t="s">
        <v>66</v>
      </c>
      <c r="BD181" s="35"/>
      <c r="BE181" s="35">
        <v>0</v>
      </c>
      <c r="BF181" s="35"/>
      <c r="BG181" s="35"/>
      <c r="BH181" s="35"/>
      <c r="BI181" s="35">
        <v>0</v>
      </c>
      <c r="BJ181" s="35"/>
      <c r="BK181" s="35">
        <v>0</v>
      </c>
      <c r="BL181" s="35"/>
      <c r="BM181" s="35">
        <f t="shared" si="26"/>
        <v>0</v>
      </c>
      <c r="BN181" s="89" t="s">
        <v>347</v>
      </c>
    </row>
    <row r="182" spans="1:68" ht="12.75" hidden="1" customHeight="1">
      <c r="A182" s="35" t="s">
        <v>221</v>
      </c>
      <c r="C182" s="35" t="s">
        <v>27</v>
      </c>
      <c r="D182" s="35"/>
      <c r="E182" s="35">
        <f t="shared" si="29"/>
        <v>0</v>
      </c>
      <c r="F182" s="35"/>
      <c r="G182" s="35">
        <v>0</v>
      </c>
      <c r="H182" s="35"/>
      <c r="I182" s="35">
        <v>0</v>
      </c>
      <c r="J182" s="35"/>
      <c r="K182" s="35">
        <f t="shared" si="30"/>
        <v>0</v>
      </c>
      <c r="L182" s="35"/>
      <c r="M182" s="35">
        <v>0</v>
      </c>
      <c r="N182" s="35"/>
      <c r="O182" s="35">
        <v>0</v>
      </c>
      <c r="P182" s="35"/>
      <c r="Q182" s="35">
        <v>0</v>
      </c>
      <c r="R182" s="35"/>
      <c r="S182" s="35">
        <v>0</v>
      </c>
      <c r="T182" s="35"/>
      <c r="U182" s="35">
        <v>0</v>
      </c>
      <c r="V182" s="35"/>
      <c r="W182" s="35">
        <f t="shared" si="31"/>
        <v>0</v>
      </c>
      <c r="X182" s="35"/>
      <c r="Y182" s="35" t="s">
        <v>221</v>
      </c>
      <c r="Z182" s="55"/>
      <c r="AA182" s="35" t="s">
        <v>27</v>
      </c>
      <c r="AB182" s="35"/>
      <c r="AC182" s="35">
        <v>0</v>
      </c>
      <c r="AD182" s="35"/>
      <c r="AE182" s="35">
        <v>0</v>
      </c>
      <c r="AF182" s="35"/>
      <c r="AG182" s="35">
        <v>0</v>
      </c>
      <c r="AH182" s="35"/>
      <c r="AI182" s="45">
        <f t="shared" si="27"/>
        <v>0</v>
      </c>
      <c r="AJ182" s="45"/>
      <c r="AK182" s="35">
        <v>0</v>
      </c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28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2"/>
        <v>0</v>
      </c>
      <c r="AZ182" s="35"/>
      <c r="BA182" s="35" t="s">
        <v>221</v>
      </c>
      <c r="BB182" s="55"/>
      <c r="BC182" s="35" t="s">
        <v>27</v>
      </c>
      <c r="BD182" s="35"/>
      <c r="BE182" s="35">
        <v>0</v>
      </c>
      <c r="BF182" s="35"/>
      <c r="BG182" s="35"/>
      <c r="BH182" s="35"/>
      <c r="BI182" s="35">
        <v>0</v>
      </c>
      <c r="BJ182" s="35"/>
      <c r="BK182" s="35">
        <v>0</v>
      </c>
      <c r="BL182" s="35"/>
      <c r="BM182" s="35">
        <f t="shared" si="26"/>
        <v>0</v>
      </c>
      <c r="BN182" s="89" t="s">
        <v>347</v>
      </c>
    </row>
    <row r="183" spans="1:68" ht="12.75" hidden="1" customHeight="1">
      <c r="A183" s="35" t="s">
        <v>222</v>
      </c>
      <c r="C183" s="35" t="s">
        <v>47</v>
      </c>
      <c r="D183" s="35"/>
      <c r="E183" s="35">
        <f t="shared" si="29"/>
        <v>0</v>
      </c>
      <c r="F183" s="35"/>
      <c r="G183" s="35">
        <v>0</v>
      </c>
      <c r="H183" s="35"/>
      <c r="I183" s="35">
        <v>0</v>
      </c>
      <c r="J183" s="35"/>
      <c r="K183" s="35">
        <f t="shared" si="30"/>
        <v>0</v>
      </c>
      <c r="L183" s="35"/>
      <c r="M183" s="35">
        <v>0</v>
      </c>
      <c r="N183" s="35"/>
      <c r="O183" s="35">
        <v>0</v>
      </c>
      <c r="P183" s="35"/>
      <c r="Q183" s="35">
        <v>0</v>
      </c>
      <c r="R183" s="35"/>
      <c r="S183" s="35">
        <v>0</v>
      </c>
      <c r="T183" s="35"/>
      <c r="U183" s="35">
        <v>0</v>
      </c>
      <c r="V183" s="35"/>
      <c r="W183" s="35">
        <f t="shared" si="31"/>
        <v>0</v>
      </c>
      <c r="X183" s="35"/>
      <c r="Y183" s="35" t="s">
        <v>222</v>
      </c>
      <c r="Z183" s="55"/>
      <c r="AA183" s="35" t="s">
        <v>47</v>
      </c>
      <c r="AB183" s="35"/>
      <c r="AC183" s="35">
        <v>0</v>
      </c>
      <c r="AD183" s="35"/>
      <c r="AE183" s="35">
        <v>0</v>
      </c>
      <c r="AF183" s="35"/>
      <c r="AG183" s="35">
        <v>0</v>
      </c>
      <c r="AH183" s="35"/>
      <c r="AI183" s="45">
        <f t="shared" si="27"/>
        <v>0</v>
      </c>
      <c r="AJ183" s="45"/>
      <c r="AK183" s="35">
        <v>0</v>
      </c>
      <c r="AL183" s="35"/>
      <c r="AM183" s="35">
        <v>0</v>
      </c>
      <c r="AN183" s="35"/>
      <c r="AO183" s="35">
        <v>0</v>
      </c>
      <c r="AP183" s="35"/>
      <c r="AQ183" s="35">
        <v>0</v>
      </c>
      <c r="AR183" s="35"/>
      <c r="AS183" s="45">
        <f t="shared" si="28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2"/>
        <v>0</v>
      </c>
      <c r="AZ183" s="35"/>
      <c r="BA183" s="35" t="s">
        <v>222</v>
      </c>
      <c r="BB183" s="55"/>
      <c r="BC183" s="35" t="s">
        <v>47</v>
      </c>
      <c r="BD183" s="35"/>
      <c r="BE183" s="35">
        <v>0</v>
      </c>
      <c r="BF183" s="35"/>
      <c r="BG183" s="35"/>
      <c r="BH183" s="35"/>
      <c r="BI183" s="35">
        <v>0</v>
      </c>
      <c r="BJ183" s="35"/>
      <c r="BK183" s="35">
        <v>0</v>
      </c>
      <c r="BL183" s="35"/>
      <c r="BM183" s="35">
        <f t="shared" si="26"/>
        <v>0</v>
      </c>
      <c r="BN183" s="89" t="s">
        <v>347</v>
      </c>
    </row>
    <row r="184" spans="1:68" ht="12.75" hidden="1" customHeight="1">
      <c r="A184" s="35" t="s">
        <v>223</v>
      </c>
      <c r="C184" s="35" t="s">
        <v>94</v>
      </c>
      <c r="D184" s="35"/>
      <c r="E184" s="35">
        <f t="shared" si="29"/>
        <v>0</v>
      </c>
      <c r="F184" s="35"/>
      <c r="G184" s="35">
        <v>0</v>
      </c>
      <c r="H184" s="35"/>
      <c r="I184" s="35">
        <v>0</v>
      </c>
      <c r="J184" s="35"/>
      <c r="K184" s="35">
        <f t="shared" si="30"/>
        <v>0</v>
      </c>
      <c r="L184" s="35"/>
      <c r="M184" s="35">
        <v>0</v>
      </c>
      <c r="N184" s="35"/>
      <c r="O184" s="35">
        <v>0</v>
      </c>
      <c r="P184" s="35"/>
      <c r="Q184" s="35">
        <v>0</v>
      </c>
      <c r="R184" s="35"/>
      <c r="S184" s="35">
        <v>0</v>
      </c>
      <c r="T184" s="35"/>
      <c r="U184" s="35">
        <v>0</v>
      </c>
      <c r="V184" s="35"/>
      <c r="W184" s="35">
        <f t="shared" si="31"/>
        <v>0</v>
      </c>
      <c r="X184" s="35"/>
      <c r="Y184" s="35" t="s">
        <v>223</v>
      </c>
      <c r="Z184" s="55"/>
      <c r="AA184" s="35" t="s">
        <v>94</v>
      </c>
      <c r="AB184" s="35"/>
      <c r="AC184" s="35">
        <v>0</v>
      </c>
      <c r="AD184" s="35"/>
      <c r="AE184" s="35">
        <v>0</v>
      </c>
      <c r="AF184" s="35"/>
      <c r="AG184" s="35">
        <v>0</v>
      </c>
      <c r="AH184" s="35"/>
      <c r="AI184" s="45">
        <f t="shared" si="27"/>
        <v>0</v>
      </c>
      <c r="AJ184" s="45"/>
      <c r="AK184" s="35">
        <v>0</v>
      </c>
      <c r="AL184" s="35"/>
      <c r="AM184" s="35">
        <v>0</v>
      </c>
      <c r="AN184" s="35"/>
      <c r="AO184" s="35">
        <v>0</v>
      </c>
      <c r="AP184" s="35"/>
      <c r="AQ184" s="35">
        <v>0</v>
      </c>
      <c r="AR184" s="35"/>
      <c r="AS184" s="45">
        <f t="shared" si="28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2"/>
        <v>0</v>
      </c>
      <c r="AZ184" s="35"/>
      <c r="BA184" s="35" t="s">
        <v>223</v>
      </c>
      <c r="BB184" s="55"/>
      <c r="BC184" s="35" t="s">
        <v>94</v>
      </c>
      <c r="BD184" s="35"/>
      <c r="BE184" s="35">
        <v>0</v>
      </c>
      <c r="BF184" s="35"/>
      <c r="BG184" s="35"/>
      <c r="BH184" s="35"/>
      <c r="BI184" s="35">
        <v>0</v>
      </c>
      <c r="BJ184" s="35"/>
      <c r="BK184" s="35">
        <v>0</v>
      </c>
      <c r="BL184" s="35"/>
      <c r="BM184" s="35">
        <f t="shared" si="26"/>
        <v>0</v>
      </c>
      <c r="BN184" s="89" t="s">
        <v>347</v>
      </c>
    </row>
    <row r="185" spans="1:68" ht="12.75" hidden="1" customHeight="1">
      <c r="A185" s="35" t="s">
        <v>76</v>
      </c>
      <c r="C185" s="35" t="s">
        <v>132</v>
      </c>
      <c r="D185" s="35"/>
      <c r="E185" s="35">
        <f t="shared" si="29"/>
        <v>0</v>
      </c>
      <c r="F185" s="35"/>
      <c r="G185" s="35">
        <v>0</v>
      </c>
      <c r="H185" s="35"/>
      <c r="I185" s="35">
        <v>0</v>
      </c>
      <c r="J185" s="35"/>
      <c r="K185" s="35">
        <f t="shared" si="30"/>
        <v>0</v>
      </c>
      <c r="L185" s="35"/>
      <c r="M185" s="35">
        <v>0</v>
      </c>
      <c r="N185" s="35"/>
      <c r="O185" s="35">
        <v>0</v>
      </c>
      <c r="P185" s="35"/>
      <c r="Q185" s="35">
        <v>0</v>
      </c>
      <c r="R185" s="35"/>
      <c r="S185" s="35">
        <v>0</v>
      </c>
      <c r="T185" s="35"/>
      <c r="U185" s="35">
        <v>0</v>
      </c>
      <c r="V185" s="35"/>
      <c r="W185" s="35">
        <f t="shared" si="31"/>
        <v>0</v>
      </c>
      <c r="X185" s="35"/>
      <c r="Y185" s="35" t="s">
        <v>76</v>
      </c>
      <c r="Z185" s="55"/>
      <c r="AA185" s="35" t="s">
        <v>132</v>
      </c>
      <c r="AB185" s="35"/>
      <c r="AC185" s="35">
        <v>0</v>
      </c>
      <c r="AD185" s="35"/>
      <c r="AE185" s="35">
        <v>0</v>
      </c>
      <c r="AF185" s="35"/>
      <c r="AG185" s="35">
        <v>0</v>
      </c>
      <c r="AH185" s="35"/>
      <c r="AI185" s="45">
        <f t="shared" si="27"/>
        <v>0</v>
      </c>
      <c r="AJ185" s="45"/>
      <c r="AK185" s="35">
        <v>0</v>
      </c>
      <c r="AL185" s="35"/>
      <c r="AM185" s="35">
        <v>0</v>
      </c>
      <c r="AN185" s="35"/>
      <c r="AO185" s="35">
        <v>0</v>
      </c>
      <c r="AP185" s="35"/>
      <c r="AQ185" s="35">
        <v>0</v>
      </c>
      <c r="AR185" s="35"/>
      <c r="AS185" s="45">
        <f t="shared" si="28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2"/>
        <v>0</v>
      </c>
      <c r="AZ185" s="35"/>
      <c r="BA185" s="35" t="s">
        <v>76</v>
      </c>
      <c r="BB185" s="55"/>
      <c r="BC185" s="35" t="s">
        <v>132</v>
      </c>
      <c r="BD185" s="35"/>
      <c r="BE185" s="35">
        <v>0</v>
      </c>
      <c r="BF185" s="35"/>
      <c r="BG185" s="35"/>
      <c r="BH185" s="35"/>
      <c r="BI185" s="35">
        <v>0</v>
      </c>
      <c r="BJ185" s="35"/>
      <c r="BK185" s="35">
        <v>0</v>
      </c>
      <c r="BL185" s="35"/>
      <c r="BM185" s="35">
        <f t="shared" si="26"/>
        <v>0</v>
      </c>
      <c r="BN185" s="54" t="s">
        <v>347</v>
      </c>
    </row>
    <row r="186" spans="1:68" ht="12.75" hidden="1" customHeight="1">
      <c r="A186" s="35" t="s">
        <v>224</v>
      </c>
      <c r="C186" s="35" t="s">
        <v>27</v>
      </c>
      <c r="D186" s="35"/>
      <c r="E186" s="35">
        <f t="shared" si="29"/>
        <v>0</v>
      </c>
      <c r="F186" s="35"/>
      <c r="G186" s="35">
        <v>0</v>
      </c>
      <c r="H186" s="35"/>
      <c r="I186" s="35">
        <v>0</v>
      </c>
      <c r="J186" s="35"/>
      <c r="K186" s="35">
        <f t="shared" si="30"/>
        <v>0</v>
      </c>
      <c r="L186" s="35"/>
      <c r="M186" s="35">
        <v>0</v>
      </c>
      <c r="N186" s="35"/>
      <c r="O186" s="35">
        <v>0</v>
      </c>
      <c r="P186" s="35"/>
      <c r="Q186" s="35">
        <v>0</v>
      </c>
      <c r="R186" s="35"/>
      <c r="S186" s="35">
        <v>0</v>
      </c>
      <c r="T186" s="35"/>
      <c r="U186" s="35">
        <v>0</v>
      </c>
      <c r="V186" s="35"/>
      <c r="W186" s="35">
        <f t="shared" si="31"/>
        <v>0</v>
      </c>
      <c r="X186" s="35"/>
      <c r="Y186" s="35" t="s">
        <v>224</v>
      </c>
      <c r="Z186" s="55"/>
      <c r="AA186" s="35" t="s">
        <v>27</v>
      </c>
      <c r="AB186" s="35"/>
      <c r="AC186" s="35">
        <v>0</v>
      </c>
      <c r="AD186" s="35"/>
      <c r="AE186" s="35">
        <v>0</v>
      </c>
      <c r="AF186" s="35"/>
      <c r="AG186" s="35">
        <v>0</v>
      </c>
      <c r="AH186" s="35"/>
      <c r="AI186" s="45">
        <f t="shared" si="27"/>
        <v>0</v>
      </c>
      <c r="AJ186" s="45"/>
      <c r="AK186" s="35">
        <v>0</v>
      </c>
      <c r="AL186" s="35"/>
      <c r="AM186" s="35">
        <v>0</v>
      </c>
      <c r="AN186" s="35"/>
      <c r="AO186" s="35">
        <v>0</v>
      </c>
      <c r="AP186" s="35"/>
      <c r="AQ186" s="35">
        <v>0</v>
      </c>
      <c r="AR186" s="35"/>
      <c r="AS186" s="45">
        <f t="shared" si="28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2"/>
        <v>0</v>
      </c>
      <c r="AZ186" s="35"/>
      <c r="BA186" s="35" t="s">
        <v>224</v>
      </c>
      <c r="BB186" s="55"/>
      <c r="BC186" s="35" t="s">
        <v>27</v>
      </c>
      <c r="BD186" s="35"/>
      <c r="BE186" s="35">
        <v>0</v>
      </c>
      <c r="BF186" s="35"/>
      <c r="BG186" s="35"/>
      <c r="BH186" s="35"/>
      <c r="BI186" s="35">
        <v>0</v>
      </c>
      <c r="BJ186" s="35"/>
      <c r="BK186" s="35">
        <v>0</v>
      </c>
      <c r="BL186" s="35"/>
      <c r="BM186" s="35">
        <f t="shared" si="26"/>
        <v>0</v>
      </c>
      <c r="BN186" s="54" t="s">
        <v>347</v>
      </c>
      <c r="BO186" s="35"/>
      <c r="BP186" s="35"/>
    </row>
    <row r="187" spans="1:68" ht="12.75" hidden="1" customHeight="1">
      <c r="A187" s="35" t="s">
        <v>225</v>
      </c>
      <c r="C187" s="35" t="s">
        <v>27</v>
      </c>
      <c r="D187" s="35"/>
      <c r="E187" s="35">
        <f t="shared" si="29"/>
        <v>0</v>
      </c>
      <c r="F187" s="35"/>
      <c r="G187" s="35">
        <v>0</v>
      </c>
      <c r="H187" s="35"/>
      <c r="I187" s="35">
        <v>0</v>
      </c>
      <c r="J187" s="35"/>
      <c r="K187" s="35">
        <f t="shared" si="30"/>
        <v>0</v>
      </c>
      <c r="L187" s="35"/>
      <c r="M187" s="35">
        <v>0</v>
      </c>
      <c r="N187" s="35"/>
      <c r="O187" s="35">
        <v>0</v>
      </c>
      <c r="P187" s="35"/>
      <c r="Q187" s="35">
        <v>0</v>
      </c>
      <c r="R187" s="35"/>
      <c r="S187" s="35">
        <v>0</v>
      </c>
      <c r="T187" s="35"/>
      <c r="U187" s="35">
        <v>0</v>
      </c>
      <c r="V187" s="35"/>
      <c r="W187" s="35">
        <f t="shared" si="31"/>
        <v>0</v>
      </c>
      <c r="X187" s="35"/>
      <c r="Y187" s="35" t="s">
        <v>225</v>
      </c>
      <c r="Z187" s="55"/>
      <c r="AA187" s="35" t="s">
        <v>27</v>
      </c>
      <c r="AB187" s="35"/>
      <c r="AC187" s="35">
        <v>0</v>
      </c>
      <c r="AD187" s="35"/>
      <c r="AE187" s="35">
        <v>0</v>
      </c>
      <c r="AF187" s="35"/>
      <c r="AG187" s="35">
        <v>0</v>
      </c>
      <c r="AH187" s="35"/>
      <c r="AI187" s="45">
        <f t="shared" si="27"/>
        <v>0</v>
      </c>
      <c r="AJ187" s="45"/>
      <c r="AK187" s="35">
        <v>0</v>
      </c>
      <c r="AL187" s="35"/>
      <c r="AM187" s="35">
        <v>0</v>
      </c>
      <c r="AN187" s="35"/>
      <c r="AO187" s="35">
        <v>0</v>
      </c>
      <c r="AP187" s="35"/>
      <c r="AQ187" s="35">
        <v>0</v>
      </c>
      <c r="AR187" s="35"/>
      <c r="AS187" s="45">
        <f t="shared" si="28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2"/>
        <v>0</v>
      </c>
      <c r="AZ187" s="35"/>
      <c r="BA187" s="35" t="s">
        <v>225</v>
      </c>
      <c r="BB187" s="55"/>
      <c r="BC187" s="35" t="s">
        <v>27</v>
      </c>
      <c r="BD187" s="35"/>
      <c r="BE187" s="35">
        <v>0</v>
      </c>
      <c r="BF187" s="35"/>
      <c r="BG187" s="35"/>
      <c r="BH187" s="35"/>
      <c r="BI187" s="35">
        <v>0</v>
      </c>
      <c r="BJ187" s="35"/>
      <c r="BK187" s="35">
        <v>0</v>
      </c>
      <c r="BL187" s="35"/>
      <c r="BM187" s="35">
        <f t="shared" si="26"/>
        <v>0</v>
      </c>
      <c r="BN187" s="54" t="s">
        <v>347</v>
      </c>
    </row>
    <row r="188" spans="1:68" ht="12.75" hidden="1" customHeight="1">
      <c r="A188" s="35" t="s">
        <v>226</v>
      </c>
      <c r="C188" s="35" t="s">
        <v>45</v>
      </c>
      <c r="D188" s="35"/>
      <c r="E188" s="35">
        <f t="shared" si="29"/>
        <v>0</v>
      </c>
      <c r="F188" s="35"/>
      <c r="G188" s="35">
        <v>0</v>
      </c>
      <c r="H188" s="35"/>
      <c r="I188" s="35">
        <v>0</v>
      </c>
      <c r="J188" s="35"/>
      <c r="K188" s="35">
        <f t="shared" si="30"/>
        <v>0</v>
      </c>
      <c r="L188" s="35"/>
      <c r="M188" s="35">
        <v>0</v>
      </c>
      <c r="N188" s="35"/>
      <c r="O188" s="35">
        <v>0</v>
      </c>
      <c r="P188" s="35"/>
      <c r="Q188" s="35">
        <v>0</v>
      </c>
      <c r="R188" s="35"/>
      <c r="S188" s="35">
        <v>0</v>
      </c>
      <c r="T188" s="35"/>
      <c r="U188" s="35">
        <v>0</v>
      </c>
      <c r="V188" s="35"/>
      <c r="W188" s="35">
        <f t="shared" si="31"/>
        <v>0</v>
      </c>
      <c r="X188" s="35"/>
      <c r="Y188" s="35" t="s">
        <v>226</v>
      </c>
      <c r="Z188" s="55"/>
      <c r="AA188" s="35" t="s">
        <v>45</v>
      </c>
      <c r="AB188" s="35"/>
      <c r="AC188" s="35">
        <v>0</v>
      </c>
      <c r="AD188" s="35"/>
      <c r="AE188" s="35">
        <v>0</v>
      </c>
      <c r="AF188" s="35"/>
      <c r="AG188" s="35">
        <v>0</v>
      </c>
      <c r="AH188" s="35"/>
      <c r="AI188" s="45">
        <f t="shared" si="27"/>
        <v>0</v>
      </c>
      <c r="AJ188" s="45"/>
      <c r="AK188" s="35">
        <v>0</v>
      </c>
      <c r="AL188" s="35"/>
      <c r="AM188" s="35">
        <v>0</v>
      </c>
      <c r="AN188" s="35"/>
      <c r="AO188" s="35">
        <v>0</v>
      </c>
      <c r="AP188" s="35"/>
      <c r="AQ188" s="35">
        <v>0</v>
      </c>
      <c r="AR188" s="35"/>
      <c r="AS188" s="45">
        <f t="shared" si="28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2"/>
        <v>0</v>
      </c>
      <c r="AZ188" s="35"/>
      <c r="BA188" s="35" t="s">
        <v>226</v>
      </c>
      <c r="BB188" s="55"/>
      <c r="BC188" s="35" t="s">
        <v>45</v>
      </c>
      <c r="BD188" s="35"/>
      <c r="BE188" s="35">
        <v>0</v>
      </c>
      <c r="BF188" s="35"/>
      <c r="BG188" s="35"/>
      <c r="BH188" s="35"/>
      <c r="BI188" s="35">
        <v>0</v>
      </c>
      <c r="BJ188" s="35"/>
      <c r="BK188" s="35">
        <v>0</v>
      </c>
      <c r="BL188" s="35"/>
      <c r="BM188" s="35">
        <f t="shared" si="26"/>
        <v>0</v>
      </c>
      <c r="BN188" s="54" t="s">
        <v>347</v>
      </c>
    </row>
    <row r="189" spans="1:68" ht="12.75" hidden="1" customHeight="1">
      <c r="A189" s="35" t="s">
        <v>227</v>
      </c>
      <c r="C189" s="35" t="s">
        <v>17</v>
      </c>
      <c r="D189" s="35"/>
      <c r="E189" s="35">
        <f t="shared" si="29"/>
        <v>0</v>
      </c>
      <c r="F189" s="35"/>
      <c r="G189" s="35">
        <v>0</v>
      </c>
      <c r="H189" s="35"/>
      <c r="I189" s="35">
        <v>0</v>
      </c>
      <c r="J189" s="35"/>
      <c r="K189" s="35">
        <f t="shared" si="30"/>
        <v>0</v>
      </c>
      <c r="L189" s="35"/>
      <c r="M189" s="35">
        <v>0</v>
      </c>
      <c r="N189" s="35"/>
      <c r="O189" s="35">
        <v>0</v>
      </c>
      <c r="P189" s="35"/>
      <c r="Q189" s="35">
        <v>0</v>
      </c>
      <c r="R189" s="35"/>
      <c r="S189" s="35">
        <v>0</v>
      </c>
      <c r="T189" s="35"/>
      <c r="U189" s="35">
        <v>0</v>
      </c>
      <c r="V189" s="35"/>
      <c r="W189" s="35">
        <f t="shared" si="31"/>
        <v>0</v>
      </c>
      <c r="X189" s="35"/>
      <c r="Y189" s="35" t="s">
        <v>227</v>
      </c>
      <c r="Z189" s="55"/>
      <c r="AA189" s="35" t="s">
        <v>17</v>
      </c>
      <c r="AB189" s="35"/>
      <c r="AC189" s="35">
        <v>0</v>
      </c>
      <c r="AD189" s="35"/>
      <c r="AE189" s="35">
        <v>0</v>
      </c>
      <c r="AF189" s="35"/>
      <c r="AG189" s="35">
        <v>0</v>
      </c>
      <c r="AH189" s="35"/>
      <c r="AI189" s="45">
        <f t="shared" si="27"/>
        <v>0</v>
      </c>
      <c r="AJ189" s="45"/>
      <c r="AK189" s="35">
        <v>0</v>
      </c>
      <c r="AL189" s="35"/>
      <c r="AM189" s="35">
        <v>0</v>
      </c>
      <c r="AN189" s="35"/>
      <c r="AO189" s="35">
        <v>0</v>
      </c>
      <c r="AP189" s="35"/>
      <c r="AQ189" s="35">
        <v>0</v>
      </c>
      <c r="AR189" s="35"/>
      <c r="AS189" s="45">
        <f t="shared" si="28"/>
        <v>0</v>
      </c>
      <c r="AT189" s="45"/>
      <c r="AU189" s="35">
        <v>0</v>
      </c>
      <c r="AV189" s="35"/>
      <c r="AW189" s="35">
        <v>0</v>
      </c>
      <c r="AX189" s="35"/>
      <c r="AY189" s="35">
        <f t="shared" si="32"/>
        <v>0</v>
      </c>
      <c r="AZ189" s="35"/>
      <c r="BA189" s="35" t="s">
        <v>227</v>
      </c>
      <c r="BB189" s="55"/>
      <c r="BC189" s="35" t="s">
        <v>17</v>
      </c>
      <c r="BD189" s="35"/>
      <c r="BE189" s="35">
        <v>0</v>
      </c>
      <c r="BF189" s="35"/>
      <c r="BG189" s="35"/>
      <c r="BH189" s="35"/>
      <c r="BI189" s="35">
        <v>0</v>
      </c>
      <c r="BJ189" s="35"/>
      <c r="BK189" s="35">
        <v>0</v>
      </c>
      <c r="BL189" s="35"/>
      <c r="BM189" s="35">
        <v>0</v>
      </c>
      <c r="BN189" s="54" t="s">
        <v>347</v>
      </c>
    </row>
    <row r="190" spans="1:68" ht="12.75" customHeight="1">
      <c r="A190" s="35" t="s">
        <v>228</v>
      </c>
      <c r="C190" s="35" t="s">
        <v>153</v>
      </c>
      <c r="D190" s="35"/>
      <c r="E190" s="35">
        <f t="shared" si="29"/>
        <v>5942042</v>
      </c>
      <c r="F190" s="35"/>
      <c r="G190" s="35">
        <v>11250694</v>
      </c>
      <c r="H190" s="35"/>
      <c r="I190" s="35">
        <v>17192736</v>
      </c>
      <c r="J190" s="35"/>
      <c r="K190" s="35">
        <f t="shared" si="30"/>
        <v>3303000</v>
      </c>
      <c r="L190" s="35"/>
      <c r="M190" s="35">
        <v>143244</v>
      </c>
      <c r="N190" s="35"/>
      <c r="O190" s="35">
        <v>3446244</v>
      </c>
      <c r="P190" s="35"/>
      <c r="Q190" s="35">
        <v>7945884</v>
      </c>
      <c r="R190" s="35"/>
      <c r="S190" s="35">
        <v>0</v>
      </c>
      <c r="T190" s="35"/>
      <c r="U190" s="35">
        <v>5800608</v>
      </c>
      <c r="V190" s="35"/>
      <c r="W190" s="35">
        <f t="shared" si="31"/>
        <v>13746492</v>
      </c>
      <c r="X190" s="35"/>
      <c r="Y190" s="35" t="s">
        <v>228</v>
      </c>
      <c r="Z190" s="55"/>
      <c r="AA190" s="35" t="s">
        <v>153</v>
      </c>
      <c r="AB190" s="35"/>
      <c r="AC190" s="35">
        <v>11776409</v>
      </c>
      <c r="AD190" s="35"/>
      <c r="AE190" s="35">
        <f>11028398-622749</f>
        <v>10405649</v>
      </c>
      <c r="AF190" s="35"/>
      <c r="AG190" s="35">
        <v>622749</v>
      </c>
      <c r="AH190" s="35"/>
      <c r="AI190" s="45">
        <f t="shared" si="27"/>
        <v>748011</v>
      </c>
      <c r="AJ190" s="45"/>
      <c r="AK190" s="35">
        <v>-76684</v>
      </c>
      <c r="AL190" s="35"/>
      <c r="AM190" s="35">
        <v>0</v>
      </c>
      <c r="AN190" s="35"/>
      <c r="AO190" s="35">
        <v>0</v>
      </c>
      <c r="AP190" s="35"/>
      <c r="AQ190" s="35">
        <v>0</v>
      </c>
      <c r="AR190" s="35"/>
      <c r="AS190" s="45">
        <f t="shared" si="28"/>
        <v>671327</v>
      </c>
      <c r="AT190" s="45"/>
      <c r="AU190" s="35">
        <v>0</v>
      </c>
      <c r="AV190" s="35"/>
      <c r="AW190" s="35">
        <v>0</v>
      </c>
      <c r="AX190" s="35"/>
      <c r="AY190" s="35">
        <f t="shared" si="32"/>
        <v>2639042</v>
      </c>
      <c r="AZ190" s="35"/>
      <c r="BA190" s="35" t="s">
        <v>228</v>
      </c>
      <c r="BB190" s="55"/>
      <c r="BC190" s="35" t="s">
        <v>153</v>
      </c>
      <c r="BD190" s="35"/>
      <c r="BE190" s="35">
        <v>0</v>
      </c>
      <c r="BF190" s="35"/>
      <c r="BG190" s="35"/>
      <c r="BH190" s="35"/>
      <c r="BI190" s="35">
        <v>0</v>
      </c>
      <c r="BJ190" s="35"/>
      <c r="BK190" s="35">
        <f>143244+5625</f>
        <v>148869</v>
      </c>
      <c r="BL190" s="35"/>
      <c r="BM190" s="35">
        <f t="shared" ref="BM190:BM208" si="33">SUM(BE190:BK190)</f>
        <v>148869</v>
      </c>
      <c r="BN190" s="54" t="s">
        <v>347</v>
      </c>
    </row>
    <row r="191" spans="1:68" ht="12.75" hidden="1" customHeight="1">
      <c r="A191" s="35" t="s">
        <v>229</v>
      </c>
      <c r="C191" s="35" t="s">
        <v>228</v>
      </c>
      <c r="D191" s="35"/>
      <c r="E191" s="35">
        <f t="shared" si="29"/>
        <v>0</v>
      </c>
      <c r="F191" s="35"/>
      <c r="G191" s="35">
        <v>0</v>
      </c>
      <c r="H191" s="35"/>
      <c r="I191" s="35">
        <v>0</v>
      </c>
      <c r="J191" s="35"/>
      <c r="K191" s="35">
        <f t="shared" si="30"/>
        <v>0</v>
      </c>
      <c r="L191" s="35"/>
      <c r="M191" s="35">
        <v>0</v>
      </c>
      <c r="N191" s="35"/>
      <c r="O191" s="35">
        <v>0</v>
      </c>
      <c r="P191" s="35"/>
      <c r="Q191" s="35">
        <v>0</v>
      </c>
      <c r="R191" s="35"/>
      <c r="S191" s="35">
        <v>0</v>
      </c>
      <c r="T191" s="35"/>
      <c r="U191" s="35">
        <v>0</v>
      </c>
      <c r="V191" s="35"/>
      <c r="W191" s="35">
        <f t="shared" si="31"/>
        <v>0</v>
      </c>
      <c r="X191" s="35"/>
      <c r="Y191" s="35" t="s">
        <v>229</v>
      </c>
      <c r="Z191" s="55"/>
      <c r="AA191" s="35" t="s">
        <v>228</v>
      </c>
      <c r="AB191" s="35"/>
      <c r="AC191" s="35">
        <v>0</v>
      </c>
      <c r="AD191" s="35"/>
      <c r="AE191" s="35">
        <v>0</v>
      </c>
      <c r="AF191" s="35"/>
      <c r="AG191" s="35">
        <v>0</v>
      </c>
      <c r="AH191" s="35"/>
      <c r="AI191" s="45">
        <f t="shared" si="27"/>
        <v>0</v>
      </c>
      <c r="AJ191" s="45"/>
      <c r="AK191" s="35">
        <v>0</v>
      </c>
      <c r="AL191" s="35"/>
      <c r="AM191" s="35">
        <v>0</v>
      </c>
      <c r="AN191" s="35"/>
      <c r="AO191" s="35">
        <v>0</v>
      </c>
      <c r="AP191" s="35"/>
      <c r="AQ191" s="35">
        <v>0</v>
      </c>
      <c r="AR191" s="35"/>
      <c r="AS191" s="45">
        <f t="shared" si="28"/>
        <v>0</v>
      </c>
      <c r="AT191" s="45"/>
      <c r="AU191" s="35">
        <v>0</v>
      </c>
      <c r="AV191" s="35"/>
      <c r="AW191" s="35">
        <v>0</v>
      </c>
      <c r="AX191" s="35"/>
      <c r="AY191" s="35">
        <f t="shared" si="32"/>
        <v>0</v>
      </c>
      <c r="AZ191" s="35"/>
      <c r="BA191" s="35" t="s">
        <v>229</v>
      </c>
      <c r="BB191" s="55"/>
      <c r="BC191" s="35" t="s">
        <v>228</v>
      </c>
      <c r="BD191" s="35"/>
      <c r="BE191" s="35">
        <v>0</v>
      </c>
      <c r="BF191" s="35"/>
      <c r="BG191" s="35"/>
      <c r="BH191" s="35"/>
      <c r="BI191" s="35">
        <v>0</v>
      </c>
      <c r="BJ191" s="35"/>
      <c r="BK191" s="35">
        <v>0</v>
      </c>
      <c r="BL191" s="35"/>
      <c r="BM191" s="35">
        <f t="shared" si="33"/>
        <v>0</v>
      </c>
      <c r="BN191" s="54" t="s">
        <v>347</v>
      </c>
    </row>
    <row r="192" spans="1:68" ht="12.75" hidden="1" customHeight="1">
      <c r="A192" s="35" t="s">
        <v>230</v>
      </c>
      <c r="C192" s="35" t="s">
        <v>45</v>
      </c>
      <c r="D192" s="35"/>
      <c r="E192" s="35">
        <f t="shared" si="29"/>
        <v>0</v>
      </c>
      <c r="F192" s="35"/>
      <c r="G192" s="35">
        <v>0</v>
      </c>
      <c r="H192" s="35"/>
      <c r="I192" s="35">
        <v>0</v>
      </c>
      <c r="J192" s="35"/>
      <c r="K192" s="35">
        <f t="shared" si="30"/>
        <v>0</v>
      </c>
      <c r="L192" s="35"/>
      <c r="M192" s="35">
        <v>0</v>
      </c>
      <c r="N192" s="35"/>
      <c r="O192" s="35">
        <v>0</v>
      </c>
      <c r="P192" s="35"/>
      <c r="Q192" s="35">
        <v>0</v>
      </c>
      <c r="R192" s="35"/>
      <c r="S192" s="35">
        <v>0</v>
      </c>
      <c r="T192" s="35"/>
      <c r="U192" s="35">
        <v>0</v>
      </c>
      <c r="V192" s="35"/>
      <c r="W192" s="35">
        <f t="shared" si="31"/>
        <v>0</v>
      </c>
      <c r="X192" s="35"/>
      <c r="Y192" s="35" t="s">
        <v>230</v>
      </c>
      <c r="Z192" s="55"/>
      <c r="AA192" s="35" t="s">
        <v>45</v>
      </c>
      <c r="AB192" s="35"/>
      <c r="AC192" s="35">
        <v>0</v>
      </c>
      <c r="AD192" s="35"/>
      <c r="AE192" s="35">
        <v>0</v>
      </c>
      <c r="AF192" s="35"/>
      <c r="AG192" s="35">
        <v>0</v>
      </c>
      <c r="AH192" s="35"/>
      <c r="AI192" s="45">
        <f t="shared" si="27"/>
        <v>0</v>
      </c>
      <c r="AJ192" s="45"/>
      <c r="AK192" s="35">
        <v>0</v>
      </c>
      <c r="AL192" s="35"/>
      <c r="AM192" s="35">
        <v>0</v>
      </c>
      <c r="AN192" s="35"/>
      <c r="AO192" s="35">
        <v>0</v>
      </c>
      <c r="AP192" s="35"/>
      <c r="AQ192" s="35">
        <v>0</v>
      </c>
      <c r="AR192" s="35"/>
      <c r="AS192" s="45">
        <f t="shared" si="28"/>
        <v>0</v>
      </c>
      <c r="AT192" s="45"/>
      <c r="AU192" s="35">
        <v>0</v>
      </c>
      <c r="AV192" s="35"/>
      <c r="AW192" s="35">
        <v>0</v>
      </c>
      <c r="AX192" s="35"/>
      <c r="AY192" s="35">
        <f t="shared" si="32"/>
        <v>0</v>
      </c>
      <c r="AZ192" s="35"/>
      <c r="BA192" s="35" t="s">
        <v>230</v>
      </c>
      <c r="BB192" s="55"/>
      <c r="BC192" s="35" t="s">
        <v>45</v>
      </c>
      <c r="BD192" s="35"/>
      <c r="BE192" s="35">
        <v>0</v>
      </c>
      <c r="BF192" s="35"/>
      <c r="BG192" s="35"/>
      <c r="BH192" s="35"/>
      <c r="BI192" s="35">
        <v>0</v>
      </c>
      <c r="BJ192" s="35"/>
      <c r="BK192" s="35">
        <v>0</v>
      </c>
      <c r="BL192" s="35"/>
      <c r="BM192" s="35">
        <f t="shared" si="33"/>
        <v>0</v>
      </c>
      <c r="BN192" s="54" t="s">
        <v>347</v>
      </c>
    </row>
    <row r="193" spans="1:74" ht="12.75" hidden="1" customHeight="1">
      <c r="A193" s="35" t="s">
        <v>231</v>
      </c>
      <c r="C193" s="35" t="s">
        <v>27</v>
      </c>
      <c r="D193" s="35"/>
      <c r="E193" s="35">
        <f t="shared" si="29"/>
        <v>0</v>
      </c>
      <c r="F193" s="35"/>
      <c r="G193" s="35">
        <v>0</v>
      </c>
      <c r="H193" s="35"/>
      <c r="I193" s="35">
        <v>0</v>
      </c>
      <c r="J193" s="35"/>
      <c r="K193" s="35">
        <f t="shared" si="30"/>
        <v>0</v>
      </c>
      <c r="L193" s="35"/>
      <c r="M193" s="35">
        <v>0</v>
      </c>
      <c r="N193" s="35"/>
      <c r="O193" s="35">
        <v>0</v>
      </c>
      <c r="P193" s="35"/>
      <c r="Q193" s="35">
        <v>0</v>
      </c>
      <c r="R193" s="35"/>
      <c r="S193" s="35">
        <v>0</v>
      </c>
      <c r="T193" s="35"/>
      <c r="U193" s="35">
        <v>0</v>
      </c>
      <c r="V193" s="35"/>
      <c r="W193" s="35">
        <f t="shared" si="31"/>
        <v>0</v>
      </c>
      <c r="X193" s="35"/>
      <c r="Y193" s="35" t="s">
        <v>231</v>
      </c>
      <c r="Z193" s="55"/>
      <c r="AA193" s="35" t="s">
        <v>27</v>
      </c>
      <c r="AB193" s="35"/>
      <c r="AC193" s="35">
        <v>0</v>
      </c>
      <c r="AD193" s="35"/>
      <c r="AE193" s="35">
        <v>0</v>
      </c>
      <c r="AF193" s="35"/>
      <c r="AG193" s="35">
        <v>0</v>
      </c>
      <c r="AH193" s="35"/>
      <c r="AI193" s="45">
        <f t="shared" si="27"/>
        <v>0</v>
      </c>
      <c r="AJ193" s="45"/>
      <c r="AK193" s="35">
        <v>0</v>
      </c>
      <c r="AL193" s="35"/>
      <c r="AM193" s="35">
        <v>0</v>
      </c>
      <c r="AN193" s="35"/>
      <c r="AO193" s="35">
        <v>0</v>
      </c>
      <c r="AP193" s="35"/>
      <c r="AQ193" s="35">
        <v>0</v>
      </c>
      <c r="AR193" s="35"/>
      <c r="AS193" s="45">
        <f t="shared" si="28"/>
        <v>0</v>
      </c>
      <c r="AT193" s="45"/>
      <c r="AU193" s="35">
        <v>0</v>
      </c>
      <c r="AV193" s="35"/>
      <c r="AW193" s="35">
        <v>0</v>
      </c>
      <c r="AX193" s="35"/>
      <c r="AY193" s="35">
        <f t="shared" si="32"/>
        <v>0</v>
      </c>
      <c r="AZ193" s="35"/>
      <c r="BA193" s="35" t="s">
        <v>231</v>
      </c>
      <c r="BB193" s="55"/>
      <c r="BC193" s="35" t="s">
        <v>27</v>
      </c>
      <c r="BD193" s="35"/>
      <c r="BE193" s="35">
        <v>0</v>
      </c>
      <c r="BF193" s="35"/>
      <c r="BG193" s="35"/>
      <c r="BH193" s="35"/>
      <c r="BI193" s="35">
        <v>0</v>
      </c>
      <c r="BJ193" s="35"/>
      <c r="BK193" s="35">
        <v>0</v>
      </c>
      <c r="BL193" s="35"/>
      <c r="BM193" s="35">
        <f t="shared" si="33"/>
        <v>0</v>
      </c>
      <c r="BN193" s="54" t="s">
        <v>347</v>
      </c>
    </row>
    <row r="194" spans="1:74" ht="12.75" hidden="1" customHeight="1">
      <c r="A194" s="35" t="s">
        <v>232</v>
      </c>
      <c r="C194" s="35" t="s">
        <v>27</v>
      </c>
      <c r="D194" s="35"/>
      <c r="E194" s="35">
        <f t="shared" si="29"/>
        <v>0</v>
      </c>
      <c r="F194" s="35"/>
      <c r="G194" s="35">
        <v>0</v>
      </c>
      <c r="H194" s="35"/>
      <c r="I194" s="35">
        <v>0</v>
      </c>
      <c r="J194" s="35"/>
      <c r="K194" s="35">
        <f t="shared" si="30"/>
        <v>0</v>
      </c>
      <c r="L194" s="35"/>
      <c r="M194" s="35">
        <v>0</v>
      </c>
      <c r="N194" s="35"/>
      <c r="O194" s="35">
        <v>0</v>
      </c>
      <c r="P194" s="35"/>
      <c r="Q194" s="35">
        <v>0</v>
      </c>
      <c r="R194" s="35"/>
      <c r="S194" s="35">
        <v>0</v>
      </c>
      <c r="T194" s="35"/>
      <c r="U194" s="35">
        <v>0</v>
      </c>
      <c r="V194" s="35"/>
      <c r="W194" s="35">
        <f t="shared" si="31"/>
        <v>0</v>
      </c>
      <c r="X194" s="35"/>
      <c r="Y194" s="35" t="s">
        <v>232</v>
      </c>
      <c r="Z194" s="55"/>
      <c r="AA194" s="35" t="s">
        <v>27</v>
      </c>
      <c r="AB194" s="35"/>
      <c r="AC194" s="35">
        <v>0</v>
      </c>
      <c r="AD194" s="35"/>
      <c r="AE194" s="35">
        <v>0</v>
      </c>
      <c r="AF194" s="35"/>
      <c r="AG194" s="35">
        <v>0</v>
      </c>
      <c r="AH194" s="35"/>
      <c r="AI194" s="45">
        <f t="shared" si="27"/>
        <v>0</v>
      </c>
      <c r="AJ194" s="45"/>
      <c r="AK194" s="35">
        <v>0</v>
      </c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28"/>
        <v>0</v>
      </c>
      <c r="AT194" s="45"/>
      <c r="AU194" s="35">
        <v>0</v>
      </c>
      <c r="AV194" s="35"/>
      <c r="AW194" s="35">
        <v>0</v>
      </c>
      <c r="AX194" s="35"/>
      <c r="AY194" s="35">
        <f t="shared" si="32"/>
        <v>0</v>
      </c>
      <c r="AZ194" s="35"/>
      <c r="BA194" s="35" t="s">
        <v>232</v>
      </c>
      <c r="BB194" s="55"/>
      <c r="BC194" s="35" t="s">
        <v>27</v>
      </c>
      <c r="BD194" s="35"/>
      <c r="BE194" s="35">
        <v>0</v>
      </c>
      <c r="BF194" s="35"/>
      <c r="BG194" s="35"/>
      <c r="BH194" s="35"/>
      <c r="BI194" s="35">
        <v>0</v>
      </c>
      <c r="BJ194" s="35"/>
      <c r="BK194" s="35">
        <v>0</v>
      </c>
      <c r="BL194" s="35"/>
      <c r="BM194" s="35">
        <f t="shared" si="33"/>
        <v>0</v>
      </c>
      <c r="BN194" s="54" t="s">
        <v>347</v>
      </c>
      <c r="BO194" s="35"/>
      <c r="BP194" s="35"/>
      <c r="BQ194" s="35"/>
      <c r="BR194" s="35"/>
      <c r="BS194" s="35"/>
      <c r="BT194" s="35"/>
      <c r="BU194" s="35"/>
      <c r="BV194" s="35"/>
    </row>
    <row r="195" spans="1:74" ht="12.75" hidden="1" customHeight="1">
      <c r="A195" s="35" t="s">
        <v>233</v>
      </c>
      <c r="C195" s="35" t="s">
        <v>111</v>
      </c>
      <c r="D195" s="35"/>
      <c r="E195" s="35">
        <f t="shared" si="29"/>
        <v>0</v>
      </c>
      <c r="F195" s="35"/>
      <c r="G195" s="35">
        <v>0</v>
      </c>
      <c r="H195" s="35"/>
      <c r="I195" s="35">
        <v>0</v>
      </c>
      <c r="J195" s="35"/>
      <c r="K195" s="35">
        <f t="shared" si="30"/>
        <v>0</v>
      </c>
      <c r="L195" s="35"/>
      <c r="M195" s="35">
        <v>0</v>
      </c>
      <c r="N195" s="35"/>
      <c r="O195" s="35">
        <v>0</v>
      </c>
      <c r="P195" s="35"/>
      <c r="Q195" s="35">
        <v>0</v>
      </c>
      <c r="R195" s="35"/>
      <c r="S195" s="35">
        <v>0</v>
      </c>
      <c r="T195" s="35"/>
      <c r="U195" s="35">
        <v>0</v>
      </c>
      <c r="V195" s="35"/>
      <c r="W195" s="35">
        <f t="shared" si="31"/>
        <v>0</v>
      </c>
      <c r="X195" s="35"/>
      <c r="Y195" s="35" t="s">
        <v>233</v>
      </c>
      <c r="Z195" s="55"/>
      <c r="AA195" s="35" t="s">
        <v>111</v>
      </c>
      <c r="AB195" s="35"/>
      <c r="AC195" s="35">
        <v>0</v>
      </c>
      <c r="AD195" s="35"/>
      <c r="AE195" s="35">
        <v>0</v>
      </c>
      <c r="AF195" s="35"/>
      <c r="AG195" s="35">
        <v>0</v>
      </c>
      <c r="AH195" s="35"/>
      <c r="AI195" s="45">
        <f t="shared" si="27"/>
        <v>0</v>
      </c>
      <c r="AJ195" s="45"/>
      <c r="AK195" s="35">
        <v>0</v>
      </c>
      <c r="AL195" s="35"/>
      <c r="AM195" s="35">
        <v>0</v>
      </c>
      <c r="AN195" s="35"/>
      <c r="AO195" s="35">
        <v>0</v>
      </c>
      <c r="AP195" s="35"/>
      <c r="AQ195" s="35">
        <v>0</v>
      </c>
      <c r="AR195" s="35"/>
      <c r="AS195" s="45">
        <f t="shared" si="28"/>
        <v>0</v>
      </c>
      <c r="AT195" s="45"/>
      <c r="AU195" s="35">
        <v>0</v>
      </c>
      <c r="AV195" s="35"/>
      <c r="AW195" s="35">
        <v>0</v>
      </c>
      <c r="AX195" s="35"/>
      <c r="AY195" s="35">
        <f t="shared" si="32"/>
        <v>0</v>
      </c>
      <c r="AZ195" s="35"/>
      <c r="BA195" s="35" t="s">
        <v>233</v>
      </c>
      <c r="BB195" s="55"/>
      <c r="BC195" s="35" t="s">
        <v>111</v>
      </c>
      <c r="BD195" s="35"/>
      <c r="BE195" s="35">
        <v>0</v>
      </c>
      <c r="BF195" s="35"/>
      <c r="BG195" s="35"/>
      <c r="BH195" s="35"/>
      <c r="BI195" s="35">
        <v>0</v>
      </c>
      <c r="BJ195" s="35"/>
      <c r="BK195" s="35">
        <v>0</v>
      </c>
      <c r="BL195" s="35"/>
      <c r="BM195" s="35">
        <f t="shared" si="33"/>
        <v>0</v>
      </c>
      <c r="BN195" s="54" t="s">
        <v>347</v>
      </c>
      <c r="BO195" s="35"/>
      <c r="BP195" s="35"/>
      <c r="BQ195" s="35"/>
      <c r="BR195" s="35"/>
      <c r="BS195" s="35"/>
      <c r="BT195" s="35"/>
      <c r="BU195" s="35"/>
      <c r="BV195" s="35"/>
    </row>
    <row r="196" spans="1:74" ht="12.75" hidden="1" customHeight="1">
      <c r="A196" s="35" t="s">
        <v>234</v>
      </c>
      <c r="C196" s="35" t="s">
        <v>45</v>
      </c>
      <c r="D196" s="35"/>
      <c r="E196" s="35">
        <f t="shared" si="29"/>
        <v>0</v>
      </c>
      <c r="F196" s="35"/>
      <c r="G196" s="35">
        <v>0</v>
      </c>
      <c r="H196" s="35"/>
      <c r="I196" s="35">
        <v>0</v>
      </c>
      <c r="J196" s="35"/>
      <c r="K196" s="35">
        <f t="shared" si="30"/>
        <v>0</v>
      </c>
      <c r="L196" s="35"/>
      <c r="M196" s="35">
        <v>0</v>
      </c>
      <c r="N196" s="35"/>
      <c r="O196" s="35">
        <v>0</v>
      </c>
      <c r="P196" s="35"/>
      <c r="Q196" s="35">
        <v>0</v>
      </c>
      <c r="R196" s="35"/>
      <c r="S196" s="35">
        <v>0</v>
      </c>
      <c r="T196" s="35"/>
      <c r="U196" s="35">
        <v>0</v>
      </c>
      <c r="V196" s="35"/>
      <c r="W196" s="35">
        <f t="shared" si="31"/>
        <v>0</v>
      </c>
      <c r="X196" s="35"/>
      <c r="Y196" s="35" t="s">
        <v>234</v>
      </c>
      <c r="Z196" s="55"/>
      <c r="AA196" s="35" t="s">
        <v>45</v>
      </c>
      <c r="AB196" s="35"/>
      <c r="AC196" s="35">
        <v>0</v>
      </c>
      <c r="AD196" s="35"/>
      <c r="AE196" s="35">
        <v>0</v>
      </c>
      <c r="AF196" s="35"/>
      <c r="AG196" s="35">
        <v>0</v>
      </c>
      <c r="AH196" s="35"/>
      <c r="AI196" s="45">
        <f t="shared" si="27"/>
        <v>0</v>
      </c>
      <c r="AJ196" s="45"/>
      <c r="AK196" s="35">
        <v>0</v>
      </c>
      <c r="AL196" s="35"/>
      <c r="AM196" s="35">
        <v>0</v>
      </c>
      <c r="AN196" s="35"/>
      <c r="AO196" s="35">
        <v>0</v>
      </c>
      <c r="AP196" s="35"/>
      <c r="AQ196" s="35">
        <v>0</v>
      </c>
      <c r="AR196" s="35"/>
      <c r="AS196" s="45">
        <f t="shared" si="28"/>
        <v>0</v>
      </c>
      <c r="AT196" s="45"/>
      <c r="AU196" s="35">
        <v>0</v>
      </c>
      <c r="AV196" s="35"/>
      <c r="AW196" s="35">
        <v>0</v>
      </c>
      <c r="AX196" s="35"/>
      <c r="AY196" s="35">
        <f t="shared" si="32"/>
        <v>0</v>
      </c>
      <c r="AZ196" s="35"/>
      <c r="BA196" s="35" t="s">
        <v>234</v>
      </c>
      <c r="BB196" s="55"/>
      <c r="BC196" s="35" t="s">
        <v>45</v>
      </c>
      <c r="BD196" s="35"/>
      <c r="BE196" s="35">
        <v>0</v>
      </c>
      <c r="BF196" s="35"/>
      <c r="BG196" s="35"/>
      <c r="BH196" s="35"/>
      <c r="BI196" s="35">
        <v>0</v>
      </c>
      <c r="BJ196" s="35"/>
      <c r="BK196" s="35">
        <v>0</v>
      </c>
      <c r="BL196" s="35"/>
      <c r="BM196" s="35">
        <f t="shared" si="33"/>
        <v>0</v>
      </c>
      <c r="BN196" s="54" t="s">
        <v>347</v>
      </c>
      <c r="BO196" s="35" t="s">
        <v>371</v>
      </c>
      <c r="BP196" s="35"/>
      <c r="BQ196" s="35"/>
      <c r="BR196" s="35"/>
      <c r="BS196" s="35"/>
      <c r="BT196" s="35"/>
      <c r="BU196" s="35"/>
      <c r="BV196" s="35"/>
    </row>
    <row r="197" spans="1:74" ht="12.75" hidden="1" customHeight="1">
      <c r="A197" s="35" t="s">
        <v>235</v>
      </c>
      <c r="C197" s="35" t="s">
        <v>183</v>
      </c>
      <c r="D197" s="35"/>
      <c r="E197" s="35">
        <f t="shared" si="29"/>
        <v>0</v>
      </c>
      <c r="F197" s="35"/>
      <c r="G197" s="35">
        <v>0</v>
      </c>
      <c r="H197" s="35"/>
      <c r="I197" s="35">
        <v>0</v>
      </c>
      <c r="J197" s="35"/>
      <c r="K197" s="35">
        <f t="shared" si="30"/>
        <v>0</v>
      </c>
      <c r="L197" s="35"/>
      <c r="M197" s="35">
        <v>0</v>
      </c>
      <c r="N197" s="35"/>
      <c r="O197" s="35">
        <v>0</v>
      </c>
      <c r="P197" s="35"/>
      <c r="Q197" s="35">
        <v>0</v>
      </c>
      <c r="R197" s="35"/>
      <c r="S197" s="35">
        <v>0</v>
      </c>
      <c r="T197" s="35"/>
      <c r="U197" s="35">
        <v>0</v>
      </c>
      <c r="V197" s="35"/>
      <c r="W197" s="35">
        <f t="shared" si="31"/>
        <v>0</v>
      </c>
      <c r="X197" s="35"/>
      <c r="Y197" s="35" t="s">
        <v>235</v>
      </c>
      <c r="Z197" s="55"/>
      <c r="AA197" s="35" t="s">
        <v>183</v>
      </c>
      <c r="AB197" s="35"/>
      <c r="AC197" s="35">
        <v>0</v>
      </c>
      <c r="AD197" s="35"/>
      <c r="AE197" s="35">
        <v>0</v>
      </c>
      <c r="AF197" s="35"/>
      <c r="AG197" s="35">
        <v>0</v>
      </c>
      <c r="AH197" s="35"/>
      <c r="AI197" s="45">
        <f t="shared" si="27"/>
        <v>0</v>
      </c>
      <c r="AJ197" s="45"/>
      <c r="AK197" s="35">
        <v>0</v>
      </c>
      <c r="AL197" s="35"/>
      <c r="AM197" s="35">
        <v>0</v>
      </c>
      <c r="AN197" s="35"/>
      <c r="AO197" s="35">
        <v>0</v>
      </c>
      <c r="AP197" s="35"/>
      <c r="AQ197" s="35">
        <v>0</v>
      </c>
      <c r="AR197" s="35"/>
      <c r="AS197" s="45">
        <f t="shared" si="28"/>
        <v>0</v>
      </c>
      <c r="AT197" s="45"/>
      <c r="AU197" s="35">
        <v>0</v>
      </c>
      <c r="AV197" s="35"/>
      <c r="AW197" s="35">
        <v>0</v>
      </c>
      <c r="AX197" s="35"/>
      <c r="AY197" s="35">
        <f t="shared" si="32"/>
        <v>0</v>
      </c>
      <c r="AZ197" s="35"/>
      <c r="BA197" s="35" t="s">
        <v>235</v>
      </c>
      <c r="BB197" s="55"/>
      <c r="BC197" s="35" t="s">
        <v>183</v>
      </c>
      <c r="BD197" s="35"/>
      <c r="BE197" s="35">
        <v>0</v>
      </c>
      <c r="BF197" s="35"/>
      <c r="BG197" s="35"/>
      <c r="BH197" s="35"/>
      <c r="BI197" s="35">
        <v>0</v>
      </c>
      <c r="BJ197" s="35"/>
      <c r="BK197" s="35">
        <v>0</v>
      </c>
      <c r="BL197" s="35"/>
      <c r="BM197" s="35">
        <f t="shared" si="33"/>
        <v>0</v>
      </c>
      <c r="BN197" s="54" t="s">
        <v>347</v>
      </c>
      <c r="BO197" s="35"/>
      <c r="BP197" s="35"/>
    </row>
    <row r="198" spans="1:74" ht="12.75" hidden="1" customHeight="1">
      <c r="A198" s="35" t="s">
        <v>236</v>
      </c>
      <c r="C198" s="35" t="s">
        <v>45</v>
      </c>
      <c r="D198" s="35"/>
      <c r="E198" s="35">
        <f t="shared" si="29"/>
        <v>0</v>
      </c>
      <c r="F198" s="35"/>
      <c r="G198" s="35">
        <v>0</v>
      </c>
      <c r="H198" s="35"/>
      <c r="I198" s="35">
        <v>0</v>
      </c>
      <c r="J198" s="35"/>
      <c r="K198" s="35">
        <f t="shared" si="30"/>
        <v>0</v>
      </c>
      <c r="L198" s="35"/>
      <c r="M198" s="35">
        <v>0</v>
      </c>
      <c r="N198" s="35"/>
      <c r="O198" s="35">
        <v>0</v>
      </c>
      <c r="P198" s="35"/>
      <c r="Q198" s="35">
        <v>0</v>
      </c>
      <c r="R198" s="35"/>
      <c r="S198" s="35">
        <v>0</v>
      </c>
      <c r="T198" s="35"/>
      <c r="U198" s="35">
        <v>0</v>
      </c>
      <c r="V198" s="35"/>
      <c r="W198" s="35">
        <f t="shared" si="31"/>
        <v>0</v>
      </c>
      <c r="X198" s="35"/>
      <c r="Y198" s="35" t="s">
        <v>236</v>
      </c>
      <c r="Z198" s="55"/>
      <c r="AA198" s="35" t="s">
        <v>45</v>
      </c>
      <c r="AB198" s="35"/>
      <c r="AC198" s="35">
        <v>0</v>
      </c>
      <c r="AD198" s="35"/>
      <c r="AE198" s="35">
        <v>0</v>
      </c>
      <c r="AF198" s="35"/>
      <c r="AG198" s="35">
        <v>0</v>
      </c>
      <c r="AH198" s="35"/>
      <c r="AI198" s="45">
        <f t="shared" si="27"/>
        <v>0</v>
      </c>
      <c r="AJ198" s="45"/>
      <c r="AK198" s="35">
        <v>0</v>
      </c>
      <c r="AL198" s="35"/>
      <c r="AM198" s="35">
        <v>0</v>
      </c>
      <c r="AN198" s="35"/>
      <c r="AO198" s="35">
        <v>0</v>
      </c>
      <c r="AP198" s="35"/>
      <c r="AQ198" s="35">
        <v>0</v>
      </c>
      <c r="AR198" s="35"/>
      <c r="AS198" s="45">
        <f t="shared" si="28"/>
        <v>0</v>
      </c>
      <c r="AT198" s="45"/>
      <c r="AU198" s="35">
        <v>0</v>
      </c>
      <c r="AV198" s="35"/>
      <c r="AW198" s="35">
        <v>0</v>
      </c>
      <c r="AX198" s="35"/>
      <c r="AY198" s="35">
        <f t="shared" si="32"/>
        <v>0</v>
      </c>
      <c r="AZ198" s="35"/>
      <c r="BA198" s="35" t="s">
        <v>236</v>
      </c>
      <c r="BB198" s="55"/>
      <c r="BC198" s="35" t="s">
        <v>45</v>
      </c>
      <c r="BD198" s="35"/>
      <c r="BE198" s="35">
        <v>0</v>
      </c>
      <c r="BF198" s="35"/>
      <c r="BG198" s="35"/>
      <c r="BH198" s="35"/>
      <c r="BI198" s="35">
        <v>0</v>
      </c>
      <c r="BJ198" s="35"/>
      <c r="BK198" s="35">
        <v>0</v>
      </c>
      <c r="BL198" s="35"/>
      <c r="BM198" s="35">
        <f t="shared" si="33"/>
        <v>0</v>
      </c>
      <c r="BN198" s="54" t="s">
        <v>347</v>
      </c>
    </row>
    <row r="199" spans="1:74" ht="12.75" customHeight="1">
      <c r="A199" s="35" t="s">
        <v>237</v>
      </c>
      <c r="C199" s="35" t="s">
        <v>33</v>
      </c>
      <c r="D199" s="35"/>
      <c r="E199" s="35">
        <f t="shared" si="29"/>
        <v>3514023</v>
      </c>
      <c r="F199" s="35"/>
      <c r="G199" s="35">
        <v>4807177</v>
      </c>
      <c r="H199" s="35"/>
      <c r="I199" s="35">
        <v>8321200</v>
      </c>
      <c r="J199" s="35"/>
      <c r="K199" s="35">
        <f t="shared" si="30"/>
        <v>597169</v>
      </c>
      <c r="L199" s="35"/>
      <c r="M199" s="35">
        <v>5610251</v>
      </c>
      <c r="N199" s="35"/>
      <c r="O199" s="35">
        <v>6207420</v>
      </c>
      <c r="P199" s="35"/>
      <c r="Q199" s="35">
        <v>-252401</v>
      </c>
      <c r="R199" s="35"/>
      <c r="S199" s="35">
        <v>0</v>
      </c>
      <c r="T199" s="35"/>
      <c r="U199" s="35">
        <v>2366181</v>
      </c>
      <c r="V199" s="35"/>
      <c r="W199" s="35">
        <f t="shared" si="31"/>
        <v>2113780</v>
      </c>
      <c r="X199" s="35"/>
      <c r="Y199" s="35" t="s">
        <v>237</v>
      </c>
      <c r="Z199" s="55"/>
      <c r="AA199" s="35" t="s">
        <v>33</v>
      </c>
      <c r="AB199" s="35"/>
      <c r="AC199" s="35">
        <v>4759904</v>
      </c>
      <c r="AD199" s="35"/>
      <c r="AE199" s="35">
        <f>4971740-166304</f>
        <v>4805436</v>
      </c>
      <c r="AF199" s="35"/>
      <c r="AG199" s="35">
        <v>166304</v>
      </c>
      <c r="AH199" s="35"/>
      <c r="AI199" s="45">
        <f t="shared" si="27"/>
        <v>-211836</v>
      </c>
      <c r="AJ199" s="45"/>
      <c r="AK199" s="35">
        <v>-229643</v>
      </c>
      <c r="AL199" s="35"/>
      <c r="AM199" s="35">
        <v>0</v>
      </c>
      <c r="AN199" s="35"/>
      <c r="AO199" s="35">
        <v>162100</v>
      </c>
      <c r="AP199" s="35"/>
      <c r="AQ199" s="35">
        <v>0</v>
      </c>
      <c r="AR199" s="35"/>
      <c r="AS199" s="45">
        <f t="shared" si="28"/>
        <v>-603579</v>
      </c>
      <c r="AT199" s="45"/>
      <c r="AU199" s="35">
        <v>0</v>
      </c>
      <c r="AV199" s="35"/>
      <c r="AW199" s="35">
        <v>0</v>
      </c>
      <c r="AX199" s="35"/>
      <c r="AY199" s="35">
        <f t="shared" si="32"/>
        <v>2916854</v>
      </c>
      <c r="AZ199" s="35"/>
      <c r="BA199" s="35" t="s">
        <v>237</v>
      </c>
      <c r="BB199" s="55"/>
      <c r="BC199" s="35" t="s">
        <v>33</v>
      </c>
      <c r="BD199" s="35"/>
      <c r="BE199" s="35">
        <f>5590040+140000</f>
        <v>5730040</v>
      </c>
      <c r="BF199" s="35"/>
      <c r="BG199" s="35"/>
      <c r="BH199" s="35"/>
      <c r="BI199" s="35">
        <v>0</v>
      </c>
      <c r="BJ199" s="35"/>
      <c r="BK199" s="35">
        <f>20211+2650</f>
        <v>22861</v>
      </c>
      <c r="BL199" s="35"/>
      <c r="BM199" s="35">
        <f t="shared" si="33"/>
        <v>5752901</v>
      </c>
      <c r="BN199" s="54" t="s">
        <v>347</v>
      </c>
    </row>
    <row r="200" spans="1:74" ht="12.75" customHeight="1">
      <c r="A200" s="64" t="s">
        <v>238</v>
      </c>
      <c r="B200" s="90"/>
      <c r="C200" s="64" t="s">
        <v>239</v>
      </c>
      <c r="D200" s="64"/>
      <c r="E200" s="35">
        <f t="shared" si="29"/>
        <v>10411639</v>
      </c>
      <c r="F200" s="35"/>
      <c r="G200" s="35">
        <v>6368344</v>
      </c>
      <c r="H200" s="35"/>
      <c r="I200" s="35">
        <v>16779983</v>
      </c>
      <c r="J200" s="35"/>
      <c r="K200" s="35">
        <f t="shared" si="30"/>
        <v>1750209</v>
      </c>
      <c r="L200" s="35"/>
      <c r="M200" s="35">
        <f>152595+1090535</f>
        <v>1243130</v>
      </c>
      <c r="N200" s="35"/>
      <c r="O200" s="35">
        <v>2993339</v>
      </c>
      <c r="P200" s="35"/>
      <c r="Q200" s="35">
        <v>5184171</v>
      </c>
      <c r="R200" s="35"/>
      <c r="S200" s="35">
        <v>0</v>
      </c>
      <c r="T200" s="35"/>
      <c r="U200" s="35">
        <v>8602473</v>
      </c>
      <c r="V200" s="35"/>
      <c r="W200" s="35">
        <f t="shared" si="31"/>
        <v>13786644</v>
      </c>
      <c r="X200" s="64"/>
      <c r="Y200" s="64" t="s">
        <v>238</v>
      </c>
      <c r="Z200" s="90"/>
      <c r="AA200" s="64" t="s">
        <v>239</v>
      </c>
      <c r="AB200" s="64"/>
      <c r="AC200" s="35">
        <v>15765032</v>
      </c>
      <c r="AD200" s="35"/>
      <c r="AE200" s="35">
        <f>16016888-589361</f>
        <v>15427527</v>
      </c>
      <c r="AF200" s="35"/>
      <c r="AG200" s="35">
        <v>589361</v>
      </c>
      <c r="AH200" s="35"/>
      <c r="AI200" s="45">
        <f t="shared" si="27"/>
        <v>-251856</v>
      </c>
      <c r="AJ200" s="45"/>
      <c r="AK200" s="35">
        <v>-101001</v>
      </c>
      <c r="AL200" s="35"/>
      <c r="AM200" s="35">
        <v>832390</v>
      </c>
      <c r="AN200" s="35"/>
      <c r="AO200" s="35">
        <v>0</v>
      </c>
      <c r="AP200" s="35"/>
      <c r="AQ200" s="35">
        <v>0</v>
      </c>
      <c r="AR200" s="35"/>
      <c r="AS200" s="45">
        <f t="shared" si="28"/>
        <v>479533</v>
      </c>
      <c r="AT200" s="45"/>
      <c r="AU200" s="35">
        <v>0</v>
      </c>
      <c r="AV200" s="35"/>
      <c r="AW200" s="35">
        <v>0</v>
      </c>
      <c r="AX200" s="35"/>
      <c r="AY200" s="35">
        <f t="shared" si="32"/>
        <v>8661430</v>
      </c>
      <c r="AZ200" s="35"/>
      <c r="BA200" s="64" t="s">
        <v>238</v>
      </c>
      <c r="BB200" s="90"/>
      <c r="BC200" s="64" t="s">
        <v>239</v>
      </c>
      <c r="BD200" s="64"/>
      <c r="BE200" s="35">
        <f>1090535+93638</f>
        <v>1184173</v>
      </c>
      <c r="BF200" s="35"/>
      <c r="BG200" s="35"/>
      <c r="BH200" s="35"/>
      <c r="BI200" s="35">
        <v>0</v>
      </c>
      <c r="BJ200" s="35"/>
      <c r="BK200" s="35">
        <f>153595+48929</f>
        <v>202524</v>
      </c>
      <c r="BL200" s="35"/>
      <c r="BM200" s="35">
        <f t="shared" si="33"/>
        <v>1386697</v>
      </c>
      <c r="BN200" s="54" t="s">
        <v>347</v>
      </c>
    </row>
    <row r="201" spans="1:74" ht="12.75" hidden="1" customHeight="1">
      <c r="A201" s="35" t="s">
        <v>486</v>
      </c>
      <c r="B201" s="55"/>
      <c r="C201" s="35" t="s">
        <v>249</v>
      </c>
      <c r="D201" s="35"/>
      <c r="E201" s="35">
        <f t="shared" si="29"/>
        <v>0</v>
      </c>
      <c r="F201" s="35"/>
      <c r="G201" s="35">
        <v>0</v>
      </c>
      <c r="H201" s="35"/>
      <c r="I201" s="35">
        <v>0</v>
      </c>
      <c r="J201" s="35"/>
      <c r="K201" s="35">
        <f t="shared" si="30"/>
        <v>0</v>
      </c>
      <c r="L201" s="35"/>
      <c r="M201" s="35">
        <v>0</v>
      </c>
      <c r="N201" s="35"/>
      <c r="O201" s="35">
        <v>0</v>
      </c>
      <c r="P201" s="35"/>
      <c r="Q201" s="35">
        <v>0</v>
      </c>
      <c r="R201" s="35"/>
      <c r="S201" s="35">
        <v>0</v>
      </c>
      <c r="T201" s="35"/>
      <c r="U201" s="35">
        <v>0</v>
      </c>
      <c r="V201" s="35"/>
      <c r="W201" s="35">
        <f t="shared" si="31"/>
        <v>0</v>
      </c>
      <c r="X201" s="35"/>
      <c r="Y201" s="35" t="s">
        <v>486</v>
      </c>
      <c r="Z201" s="55"/>
      <c r="AA201" s="35" t="s">
        <v>249</v>
      </c>
      <c r="AB201" s="35"/>
      <c r="AC201" s="35">
        <v>0</v>
      </c>
      <c r="AD201" s="35"/>
      <c r="AE201" s="35">
        <v>0</v>
      </c>
      <c r="AF201" s="35"/>
      <c r="AG201" s="35">
        <v>0</v>
      </c>
      <c r="AH201" s="35"/>
      <c r="AI201" s="45">
        <f t="shared" si="27"/>
        <v>0</v>
      </c>
      <c r="AJ201" s="45"/>
      <c r="AK201" s="35">
        <v>0</v>
      </c>
      <c r="AL201" s="35"/>
      <c r="AM201" s="35">
        <v>0</v>
      </c>
      <c r="AN201" s="35"/>
      <c r="AO201" s="35">
        <v>0</v>
      </c>
      <c r="AP201" s="35"/>
      <c r="AQ201" s="35">
        <v>0</v>
      </c>
      <c r="AR201" s="35"/>
      <c r="AS201" s="45">
        <f t="shared" si="28"/>
        <v>0</v>
      </c>
      <c r="AT201" s="45"/>
      <c r="AU201" s="35">
        <v>0</v>
      </c>
      <c r="AV201" s="35"/>
      <c r="AW201" s="35">
        <v>0</v>
      </c>
      <c r="AX201" s="35"/>
      <c r="AY201" s="35">
        <f t="shared" si="32"/>
        <v>0</v>
      </c>
      <c r="AZ201" s="35"/>
      <c r="BA201" s="35" t="s">
        <v>486</v>
      </c>
      <c r="BB201" s="55"/>
      <c r="BC201" s="35" t="s">
        <v>249</v>
      </c>
      <c r="BD201" s="35"/>
      <c r="BE201" s="35">
        <v>0</v>
      </c>
      <c r="BF201" s="35"/>
      <c r="BG201" s="35"/>
      <c r="BH201" s="35"/>
      <c r="BI201" s="35">
        <v>0</v>
      </c>
      <c r="BJ201" s="35"/>
      <c r="BK201" s="35">
        <v>0</v>
      </c>
      <c r="BL201" s="35"/>
      <c r="BM201" s="35">
        <f t="shared" si="33"/>
        <v>0</v>
      </c>
      <c r="BN201" s="54"/>
    </row>
    <row r="202" spans="1:74" ht="12.75" hidden="1" customHeight="1">
      <c r="A202" s="35" t="s">
        <v>240</v>
      </c>
      <c r="C202" s="35" t="s">
        <v>13</v>
      </c>
      <c r="D202" s="35"/>
      <c r="E202" s="35">
        <f t="shared" si="29"/>
        <v>0</v>
      </c>
      <c r="F202" s="35"/>
      <c r="G202" s="35">
        <v>0</v>
      </c>
      <c r="H202" s="35"/>
      <c r="I202" s="35">
        <v>0</v>
      </c>
      <c r="J202" s="35"/>
      <c r="K202" s="35">
        <f t="shared" si="30"/>
        <v>0</v>
      </c>
      <c r="L202" s="35"/>
      <c r="M202" s="35">
        <v>0</v>
      </c>
      <c r="N202" s="35"/>
      <c r="O202" s="35">
        <v>0</v>
      </c>
      <c r="P202" s="35"/>
      <c r="Q202" s="35">
        <v>0</v>
      </c>
      <c r="R202" s="35"/>
      <c r="S202" s="35">
        <v>0</v>
      </c>
      <c r="T202" s="35"/>
      <c r="U202" s="35">
        <v>0</v>
      </c>
      <c r="V202" s="35"/>
      <c r="W202" s="35">
        <f t="shared" si="31"/>
        <v>0</v>
      </c>
      <c r="X202" s="35"/>
      <c r="Y202" s="35" t="s">
        <v>240</v>
      </c>
      <c r="Z202" s="55"/>
      <c r="AA202" s="35" t="s">
        <v>13</v>
      </c>
      <c r="AB202" s="35"/>
      <c r="AC202" s="35">
        <v>0</v>
      </c>
      <c r="AD202" s="35"/>
      <c r="AE202" s="35">
        <v>0</v>
      </c>
      <c r="AF202" s="35"/>
      <c r="AG202" s="35">
        <v>0</v>
      </c>
      <c r="AH202" s="35"/>
      <c r="AI202" s="45">
        <f t="shared" si="27"/>
        <v>0</v>
      </c>
      <c r="AJ202" s="45"/>
      <c r="AK202" s="35">
        <v>0</v>
      </c>
      <c r="AL202" s="35"/>
      <c r="AM202" s="35">
        <v>0</v>
      </c>
      <c r="AN202" s="35"/>
      <c r="AO202" s="35">
        <v>0</v>
      </c>
      <c r="AP202" s="35"/>
      <c r="AQ202" s="35">
        <v>0</v>
      </c>
      <c r="AR202" s="35"/>
      <c r="AS202" s="45">
        <f t="shared" si="28"/>
        <v>0</v>
      </c>
      <c r="AT202" s="45"/>
      <c r="AU202" s="35">
        <v>0</v>
      </c>
      <c r="AV202" s="35"/>
      <c r="AW202" s="35">
        <v>0</v>
      </c>
      <c r="AX202" s="35"/>
      <c r="AY202" s="35">
        <f t="shared" si="32"/>
        <v>0</v>
      </c>
      <c r="AZ202" s="35"/>
      <c r="BA202" s="35" t="s">
        <v>240</v>
      </c>
      <c r="BB202" s="55"/>
      <c r="BC202" s="35" t="s">
        <v>13</v>
      </c>
      <c r="BD202" s="35"/>
      <c r="BE202" s="35">
        <v>0</v>
      </c>
      <c r="BF202" s="35"/>
      <c r="BG202" s="35"/>
      <c r="BH202" s="35"/>
      <c r="BI202" s="35">
        <v>0</v>
      </c>
      <c r="BJ202" s="35"/>
      <c r="BK202" s="35">
        <v>0</v>
      </c>
      <c r="BL202" s="35"/>
      <c r="BM202" s="35">
        <f t="shared" si="33"/>
        <v>0</v>
      </c>
      <c r="BN202" s="54" t="s">
        <v>347</v>
      </c>
      <c r="BO202" s="35" t="s">
        <v>371</v>
      </c>
      <c r="BP202" s="35"/>
    </row>
    <row r="203" spans="1:74" ht="12.75" hidden="1" customHeight="1">
      <c r="A203" s="35" t="s">
        <v>241</v>
      </c>
      <c r="C203" s="35" t="s">
        <v>22</v>
      </c>
      <c r="D203" s="35"/>
      <c r="E203" s="35">
        <f t="shared" si="29"/>
        <v>0</v>
      </c>
      <c r="F203" s="35"/>
      <c r="G203" s="35">
        <v>0</v>
      </c>
      <c r="H203" s="35"/>
      <c r="I203" s="35">
        <v>0</v>
      </c>
      <c r="J203" s="35"/>
      <c r="K203" s="35">
        <f t="shared" si="30"/>
        <v>0</v>
      </c>
      <c r="L203" s="35"/>
      <c r="M203" s="35">
        <v>0</v>
      </c>
      <c r="N203" s="35"/>
      <c r="O203" s="35">
        <v>0</v>
      </c>
      <c r="P203" s="35"/>
      <c r="Q203" s="35">
        <v>0</v>
      </c>
      <c r="R203" s="35"/>
      <c r="S203" s="35">
        <v>0</v>
      </c>
      <c r="T203" s="35"/>
      <c r="U203" s="35">
        <v>0</v>
      </c>
      <c r="V203" s="35"/>
      <c r="W203" s="35">
        <f t="shared" si="31"/>
        <v>0</v>
      </c>
      <c r="X203" s="35"/>
      <c r="Y203" s="35" t="s">
        <v>241</v>
      </c>
      <c r="Z203" s="55"/>
      <c r="AA203" s="35" t="s">
        <v>22</v>
      </c>
      <c r="AB203" s="35"/>
      <c r="AC203" s="35">
        <v>0</v>
      </c>
      <c r="AD203" s="35"/>
      <c r="AE203" s="35">
        <v>0</v>
      </c>
      <c r="AF203" s="35"/>
      <c r="AG203" s="35">
        <v>0</v>
      </c>
      <c r="AH203" s="35"/>
      <c r="AI203" s="45">
        <f t="shared" si="27"/>
        <v>0</v>
      </c>
      <c r="AJ203" s="45"/>
      <c r="AK203" s="35">
        <v>0</v>
      </c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28"/>
        <v>0</v>
      </c>
      <c r="AT203" s="45"/>
      <c r="AU203" s="35">
        <v>0</v>
      </c>
      <c r="AV203" s="35"/>
      <c r="AW203" s="35">
        <v>0</v>
      </c>
      <c r="AX203" s="35"/>
      <c r="AY203" s="35">
        <f t="shared" si="32"/>
        <v>0</v>
      </c>
      <c r="AZ203" s="35"/>
      <c r="BA203" s="35" t="s">
        <v>241</v>
      </c>
      <c r="BB203" s="55"/>
      <c r="BC203" s="35" t="s">
        <v>22</v>
      </c>
      <c r="BD203" s="35"/>
      <c r="BE203" s="35">
        <v>0</v>
      </c>
      <c r="BF203" s="35"/>
      <c r="BG203" s="35"/>
      <c r="BH203" s="35"/>
      <c r="BI203" s="35">
        <v>0</v>
      </c>
      <c r="BJ203" s="35"/>
      <c r="BK203" s="35">
        <v>0</v>
      </c>
      <c r="BL203" s="35"/>
      <c r="BM203" s="35">
        <f t="shared" si="33"/>
        <v>0</v>
      </c>
      <c r="BN203" s="54" t="s">
        <v>347</v>
      </c>
    </row>
    <row r="204" spans="1:74" ht="12.75" hidden="1" customHeight="1">
      <c r="A204" s="35" t="s">
        <v>242</v>
      </c>
      <c r="C204" s="35" t="s">
        <v>27</v>
      </c>
      <c r="D204" s="35"/>
      <c r="E204" s="35">
        <f t="shared" si="29"/>
        <v>0</v>
      </c>
      <c r="F204" s="35"/>
      <c r="G204" s="35">
        <v>0</v>
      </c>
      <c r="H204" s="35"/>
      <c r="I204" s="35">
        <v>0</v>
      </c>
      <c r="J204" s="35"/>
      <c r="K204" s="35">
        <f t="shared" si="30"/>
        <v>0</v>
      </c>
      <c r="L204" s="35"/>
      <c r="M204" s="35">
        <v>0</v>
      </c>
      <c r="N204" s="35"/>
      <c r="O204" s="35">
        <v>0</v>
      </c>
      <c r="P204" s="35"/>
      <c r="Q204" s="35">
        <v>0</v>
      </c>
      <c r="R204" s="35"/>
      <c r="S204" s="35">
        <v>0</v>
      </c>
      <c r="T204" s="35"/>
      <c r="U204" s="35">
        <v>0</v>
      </c>
      <c r="V204" s="35"/>
      <c r="W204" s="35">
        <f t="shared" si="31"/>
        <v>0</v>
      </c>
      <c r="X204" s="35"/>
      <c r="Y204" s="35" t="s">
        <v>242</v>
      </c>
      <c r="Z204" s="55"/>
      <c r="AA204" s="35" t="s">
        <v>27</v>
      </c>
      <c r="AB204" s="35"/>
      <c r="AC204" s="35">
        <v>0</v>
      </c>
      <c r="AD204" s="35"/>
      <c r="AE204" s="35">
        <v>0</v>
      </c>
      <c r="AF204" s="35"/>
      <c r="AG204" s="35">
        <v>0</v>
      </c>
      <c r="AH204" s="35"/>
      <c r="AI204" s="45">
        <f t="shared" si="27"/>
        <v>0</v>
      </c>
      <c r="AJ204" s="45"/>
      <c r="AK204" s="35">
        <v>0</v>
      </c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28"/>
        <v>0</v>
      </c>
      <c r="AT204" s="45"/>
      <c r="AU204" s="35">
        <v>0</v>
      </c>
      <c r="AV204" s="35"/>
      <c r="AW204" s="35">
        <v>0</v>
      </c>
      <c r="AX204" s="35"/>
      <c r="AY204" s="35">
        <f t="shared" si="32"/>
        <v>0</v>
      </c>
      <c r="AZ204" s="35"/>
      <c r="BA204" s="35" t="s">
        <v>242</v>
      </c>
      <c r="BB204" s="55"/>
      <c r="BC204" s="35" t="s">
        <v>27</v>
      </c>
      <c r="BD204" s="35"/>
      <c r="BE204" s="35">
        <v>0</v>
      </c>
      <c r="BF204" s="35"/>
      <c r="BG204" s="35"/>
      <c r="BH204" s="35"/>
      <c r="BI204" s="35">
        <v>0</v>
      </c>
      <c r="BJ204" s="35"/>
      <c r="BK204" s="35">
        <v>0</v>
      </c>
      <c r="BL204" s="35"/>
      <c r="BM204" s="35">
        <f t="shared" si="33"/>
        <v>0</v>
      </c>
      <c r="BN204" s="54" t="s">
        <v>347</v>
      </c>
    </row>
    <row r="205" spans="1:74" ht="12.75" hidden="1" customHeight="1">
      <c r="A205" s="35" t="s">
        <v>243</v>
      </c>
      <c r="C205" s="35" t="s">
        <v>163</v>
      </c>
      <c r="D205" s="35"/>
      <c r="E205" s="35">
        <f t="shared" si="29"/>
        <v>0</v>
      </c>
      <c r="F205" s="35"/>
      <c r="G205" s="35">
        <v>0</v>
      </c>
      <c r="H205" s="35"/>
      <c r="I205" s="35">
        <v>0</v>
      </c>
      <c r="J205" s="35"/>
      <c r="K205" s="35">
        <f t="shared" si="30"/>
        <v>0</v>
      </c>
      <c r="L205" s="35"/>
      <c r="M205" s="35">
        <v>0</v>
      </c>
      <c r="N205" s="35"/>
      <c r="O205" s="35">
        <v>0</v>
      </c>
      <c r="P205" s="35"/>
      <c r="Q205" s="35">
        <v>0</v>
      </c>
      <c r="R205" s="35"/>
      <c r="S205" s="35">
        <v>0</v>
      </c>
      <c r="T205" s="35"/>
      <c r="U205" s="35">
        <v>0</v>
      </c>
      <c r="V205" s="35"/>
      <c r="W205" s="35">
        <f t="shared" si="31"/>
        <v>0</v>
      </c>
      <c r="X205" s="35"/>
      <c r="Y205" s="35" t="s">
        <v>243</v>
      </c>
      <c r="Z205" s="55"/>
      <c r="AA205" s="35" t="s">
        <v>163</v>
      </c>
      <c r="AB205" s="35"/>
      <c r="AC205" s="35">
        <v>0</v>
      </c>
      <c r="AD205" s="35"/>
      <c r="AE205" s="35">
        <v>0</v>
      </c>
      <c r="AF205" s="35"/>
      <c r="AG205" s="35">
        <v>0</v>
      </c>
      <c r="AH205" s="35"/>
      <c r="AI205" s="45">
        <f t="shared" si="27"/>
        <v>0</v>
      </c>
      <c r="AJ205" s="45"/>
      <c r="AK205" s="35">
        <v>0</v>
      </c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28"/>
        <v>0</v>
      </c>
      <c r="AT205" s="45"/>
      <c r="AU205" s="35">
        <v>0</v>
      </c>
      <c r="AV205" s="35"/>
      <c r="AW205" s="35">
        <v>0</v>
      </c>
      <c r="AX205" s="35"/>
      <c r="AY205" s="35">
        <f t="shared" si="32"/>
        <v>0</v>
      </c>
      <c r="AZ205" s="35"/>
      <c r="BA205" s="35" t="s">
        <v>243</v>
      </c>
      <c r="BB205" s="55"/>
      <c r="BC205" s="35" t="s">
        <v>163</v>
      </c>
      <c r="BD205" s="35"/>
      <c r="BE205" s="35">
        <v>0</v>
      </c>
      <c r="BF205" s="35"/>
      <c r="BG205" s="35"/>
      <c r="BH205" s="35"/>
      <c r="BI205" s="35">
        <v>0</v>
      </c>
      <c r="BJ205" s="35"/>
      <c r="BK205" s="35">
        <v>0</v>
      </c>
      <c r="BL205" s="35"/>
      <c r="BM205" s="35">
        <f t="shared" si="33"/>
        <v>0</v>
      </c>
      <c r="BN205" s="89" t="s">
        <v>347</v>
      </c>
    </row>
    <row r="206" spans="1:74" ht="12.75" hidden="1" customHeight="1">
      <c r="A206" s="35" t="s">
        <v>244</v>
      </c>
      <c r="C206" s="35" t="s">
        <v>13</v>
      </c>
      <c r="D206" s="35"/>
      <c r="E206" s="35">
        <f t="shared" si="29"/>
        <v>0</v>
      </c>
      <c r="F206" s="35"/>
      <c r="G206" s="35">
        <v>0</v>
      </c>
      <c r="H206" s="35"/>
      <c r="I206" s="35">
        <v>0</v>
      </c>
      <c r="J206" s="35"/>
      <c r="K206" s="35">
        <f t="shared" si="30"/>
        <v>0</v>
      </c>
      <c r="L206" s="35"/>
      <c r="M206" s="35">
        <v>0</v>
      </c>
      <c r="N206" s="35"/>
      <c r="O206" s="35">
        <v>0</v>
      </c>
      <c r="P206" s="35"/>
      <c r="Q206" s="35">
        <v>0</v>
      </c>
      <c r="R206" s="35"/>
      <c r="S206" s="35">
        <v>0</v>
      </c>
      <c r="T206" s="35"/>
      <c r="U206" s="35">
        <v>0</v>
      </c>
      <c r="V206" s="35"/>
      <c r="W206" s="35">
        <f t="shared" si="31"/>
        <v>0</v>
      </c>
      <c r="X206" s="35"/>
      <c r="Y206" s="35" t="s">
        <v>244</v>
      </c>
      <c r="Z206" s="55"/>
      <c r="AA206" s="35" t="s">
        <v>13</v>
      </c>
      <c r="AB206" s="35"/>
      <c r="AC206" s="35">
        <v>0</v>
      </c>
      <c r="AD206" s="35"/>
      <c r="AE206" s="35">
        <v>0</v>
      </c>
      <c r="AF206" s="35"/>
      <c r="AG206" s="35">
        <v>0</v>
      </c>
      <c r="AH206" s="35"/>
      <c r="AI206" s="45">
        <f t="shared" si="27"/>
        <v>0</v>
      </c>
      <c r="AJ206" s="45"/>
      <c r="AK206" s="35">
        <v>0</v>
      </c>
      <c r="AL206" s="35"/>
      <c r="AM206" s="35">
        <v>0</v>
      </c>
      <c r="AN206" s="35"/>
      <c r="AO206" s="35">
        <v>0</v>
      </c>
      <c r="AP206" s="35"/>
      <c r="AQ206" s="35">
        <v>0</v>
      </c>
      <c r="AR206" s="35"/>
      <c r="AS206" s="45">
        <f t="shared" si="28"/>
        <v>0</v>
      </c>
      <c r="AT206" s="45"/>
      <c r="AU206" s="35">
        <v>0</v>
      </c>
      <c r="AV206" s="35"/>
      <c r="AW206" s="35">
        <v>0</v>
      </c>
      <c r="AX206" s="35"/>
      <c r="AY206" s="35">
        <f t="shared" si="32"/>
        <v>0</v>
      </c>
      <c r="AZ206" s="35"/>
      <c r="BA206" s="35" t="s">
        <v>244</v>
      </c>
      <c r="BB206" s="55"/>
      <c r="BC206" s="35" t="s">
        <v>13</v>
      </c>
      <c r="BD206" s="35"/>
      <c r="BE206" s="35">
        <v>0</v>
      </c>
      <c r="BF206" s="35"/>
      <c r="BG206" s="35"/>
      <c r="BH206" s="35"/>
      <c r="BI206" s="35">
        <v>0</v>
      </c>
      <c r="BJ206" s="35"/>
      <c r="BK206" s="35">
        <v>0</v>
      </c>
      <c r="BL206" s="35"/>
      <c r="BM206" s="35">
        <f t="shared" si="33"/>
        <v>0</v>
      </c>
      <c r="BN206" s="54" t="s">
        <v>347</v>
      </c>
    </row>
    <row r="207" spans="1:74" ht="12.75" hidden="1" customHeight="1">
      <c r="A207" s="35" t="s">
        <v>245</v>
      </c>
      <c r="C207" s="35" t="s">
        <v>110</v>
      </c>
      <c r="D207" s="35"/>
      <c r="E207" s="35">
        <f t="shared" si="29"/>
        <v>0</v>
      </c>
      <c r="F207" s="35"/>
      <c r="G207" s="35">
        <v>0</v>
      </c>
      <c r="H207" s="35"/>
      <c r="I207" s="35">
        <v>0</v>
      </c>
      <c r="J207" s="35"/>
      <c r="K207" s="35">
        <f t="shared" si="30"/>
        <v>0</v>
      </c>
      <c r="L207" s="35"/>
      <c r="M207" s="35">
        <v>0</v>
      </c>
      <c r="N207" s="35"/>
      <c r="O207" s="35">
        <v>0</v>
      </c>
      <c r="P207" s="35"/>
      <c r="Q207" s="35">
        <v>0</v>
      </c>
      <c r="R207" s="35"/>
      <c r="S207" s="35">
        <v>0</v>
      </c>
      <c r="T207" s="35"/>
      <c r="U207" s="35">
        <v>0</v>
      </c>
      <c r="V207" s="35"/>
      <c r="W207" s="35">
        <f t="shared" si="31"/>
        <v>0</v>
      </c>
      <c r="X207" s="35"/>
      <c r="Y207" s="35" t="s">
        <v>245</v>
      </c>
      <c r="Z207" s="55"/>
      <c r="AA207" s="35" t="s">
        <v>110</v>
      </c>
      <c r="AB207" s="35"/>
      <c r="AC207" s="35">
        <v>0</v>
      </c>
      <c r="AD207" s="35"/>
      <c r="AE207" s="35">
        <v>0</v>
      </c>
      <c r="AF207" s="35"/>
      <c r="AG207" s="35">
        <v>0</v>
      </c>
      <c r="AH207" s="35"/>
      <c r="AI207" s="45">
        <f t="shared" si="27"/>
        <v>0</v>
      </c>
      <c r="AJ207" s="45"/>
      <c r="AK207" s="35">
        <v>0</v>
      </c>
      <c r="AL207" s="35"/>
      <c r="AM207" s="35">
        <v>0</v>
      </c>
      <c r="AN207" s="35"/>
      <c r="AO207" s="35">
        <v>0</v>
      </c>
      <c r="AP207" s="35"/>
      <c r="AQ207" s="35">
        <v>0</v>
      </c>
      <c r="AR207" s="35"/>
      <c r="AS207" s="45">
        <f t="shared" si="28"/>
        <v>0</v>
      </c>
      <c r="AT207" s="45"/>
      <c r="AU207" s="35">
        <v>0</v>
      </c>
      <c r="AV207" s="35"/>
      <c r="AW207" s="35">
        <v>0</v>
      </c>
      <c r="AX207" s="35"/>
      <c r="AY207" s="35">
        <f t="shared" si="32"/>
        <v>0</v>
      </c>
      <c r="AZ207" s="35"/>
      <c r="BA207" s="35" t="s">
        <v>245</v>
      </c>
      <c r="BB207" s="55"/>
      <c r="BC207" s="35" t="s">
        <v>110</v>
      </c>
      <c r="BD207" s="35"/>
      <c r="BE207" s="35">
        <v>0</v>
      </c>
      <c r="BF207" s="35"/>
      <c r="BG207" s="35"/>
      <c r="BH207" s="35"/>
      <c r="BI207" s="35">
        <v>0</v>
      </c>
      <c r="BJ207" s="35"/>
      <c r="BK207" s="35">
        <v>0</v>
      </c>
      <c r="BL207" s="35"/>
      <c r="BM207" s="35">
        <f t="shared" si="33"/>
        <v>0</v>
      </c>
      <c r="BN207" s="54" t="s">
        <v>347</v>
      </c>
    </row>
    <row r="208" spans="1:74" ht="12.75" customHeight="1">
      <c r="A208" s="35" t="s">
        <v>246</v>
      </c>
      <c r="C208" s="35" t="s">
        <v>209</v>
      </c>
      <c r="D208" s="35"/>
      <c r="E208" s="35">
        <f t="shared" si="29"/>
        <v>8855696</v>
      </c>
      <c r="F208" s="35"/>
      <c r="G208" s="35">
        <v>8187548</v>
      </c>
      <c r="H208" s="35"/>
      <c r="I208" s="35">
        <v>17043244</v>
      </c>
      <c r="J208" s="35"/>
      <c r="K208" s="35">
        <f t="shared" si="30"/>
        <v>4132510</v>
      </c>
      <c r="L208" s="35"/>
      <c r="M208" s="35">
        <v>405265</v>
      </c>
      <c r="N208" s="35"/>
      <c r="O208" s="35">
        <v>4537775</v>
      </c>
      <c r="P208" s="35"/>
      <c r="Q208" s="35">
        <v>6618301</v>
      </c>
      <c r="R208" s="35"/>
      <c r="S208" s="35">
        <v>0</v>
      </c>
      <c r="T208" s="35"/>
      <c r="U208" s="35">
        <v>5887168</v>
      </c>
      <c r="V208" s="35"/>
      <c r="W208" s="35">
        <f t="shared" si="31"/>
        <v>12505469</v>
      </c>
      <c r="X208" s="35"/>
      <c r="Y208" s="35" t="s">
        <v>246</v>
      </c>
      <c r="Z208" s="55"/>
      <c r="AA208" s="35" t="s">
        <v>209</v>
      </c>
      <c r="AB208" s="35"/>
      <c r="AC208" s="35">
        <v>11872535</v>
      </c>
      <c r="AD208" s="35"/>
      <c r="AE208" s="35">
        <f>11273226-427316</f>
        <v>10845910</v>
      </c>
      <c r="AF208" s="35"/>
      <c r="AG208" s="35">
        <v>427316</v>
      </c>
      <c r="AH208" s="35"/>
      <c r="AI208" s="45">
        <f t="shared" si="27"/>
        <v>599309</v>
      </c>
      <c r="AJ208" s="45"/>
      <c r="AK208" s="35">
        <v>-16399</v>
      </c>
      <c r="AL208" s="35"/>
      <c r="AM208" s="35">
        <v>0</v>
      </c>
      <c r="AN208" s="35"/>
      <c r="AO208" s="35">
        <v>19637</v>
      </c>
      <c r="AP208" s="35"/>
      <c r="AQ208" s="35">
        <v>0</v>
      </c>
      <c r="AR208" s="35"/>
      <c r="AS208" s="45">
        <f t="shared" si="28"/>
        <v>563273</v>
      </c>
      <c r="AT208" s="45"/>
      <c r="AU208" s="35">
        <v>0</v>
      </c>
      <c r="AV208" s="35"/>
      <c r="AW208" s="35">
        <v>0</v>
      </c>
      <c r="AX208" s="35"/>
      <c r="AY208" s="35">
        <f t="shared" si="32"/>
        <v>4723186</v>
      </c>
      <c r="AZ208" s="35"/>
      <c r="BA208" s="35" t="s">
        <v>246</v>
      </c>
      <c r="BB208" s="55"/>
      <c r="BC208" s="35" t="s">
        <v>209</v>
      </c>
      <c r="BD208" s="35"/>
      <c r="BE208" s="35">
        <f>245000+50000</f>
        <v>295000</v>
      </c>
      <c r="BF208" s="35"/>
      <c r="BG208" s="35"/>
      <c r="BH208" s="35"/>
      <c r="BI208" s="35">
        <v>0</v>
      </c>
      <c r="BJ208" s="35"/>
      <c r="BK208" s="35">
        <f>28479+160265</f>
        <v>188744</v>
      </c>
      <c r="BL208" s="35"/>
      <c r="BM208" s="35">
        <f t="shared" si="33"/>
        <v>483744</v>
      </c>
      <c r="BN208" s="54" t="s">
        <v>347</v>
      </c>
      <c r="BO208" s="55" t="s">
        <v>315</v>
      </c>
    </row>
    <row r="209" spans="1:66" ht="12.75" hidden="1" customHeight="1">
      <c r="A209" s="35" t="s">
        <v>247</v>
      </c>
      <c r="B209" s="55"/>
      <c r="C209" s="35" t="s">
        <v>163</v>
      </c>
      <c r="D209" s="35"/>
      <c r="E209" s="35">
        <f t="shared" si="29"/>
        <v>0</v>
      </c>
      <c r="F209" s="35"/>
      <c r="G209" s="35">
        <v>0</v>
      </c>
      <c r="H209" s="35"/>
      <c r="I209" s="35">
        <v>0</v>
      </c>
      <c r="J209" s="35"/>
      <c r="K209" s="35">
        <f t="shared" si="30"/>
        <v>0</v>
      </c>
      <c r="L209" s="35"/>
      <c r="M209" s="35">
        <v>0</v>
      </c>
      <c r="N209" s="35"/>
      <c r="O209" s="35">
        <v>0</v>
      </c>
      <c r="P209" s="35"/>
      <c r="Q209" s="35">
        <v>0</v>
      </c>
      <c r="R209" s="35"/>
      <c r="S209" s="35">
        <v>0</v>
      </c>
      <c r="T209" s="35"/>
      <c r="U209" s="35">
        <v>0</v>
      </c>
      <c r="V209" s="35"/>
      <c r="W209" s="35">
        <f t="shared" si="31"/>
        <v>0</v>
      </c>
      <c r="X209" s="35"/>
      <c r="Y209" s="35" t="s">
        <v>247</v>
      </c>
      <c r="Z209" s="55"/>
      <c r="AA209" s="35" t="s">
        <v>163</v>
      </c>
      <c r="AB209" s="35"/>
      <c r="AC209" s="35">
        <v>0</v>
      </c>
      <c r="AD209" s="35"/>
      <c r="AE209" s="35">
        <v>0</v>
      </c>
      <c r="AF209" s="35"/>
      <c r="AG209" s="35">
        <v>0</v>
      </c>
      <c r="AH209" s="35"/>
      <c r="AI209" s="45">
        <f t="shared" si="27"/>
        <v>0</v>
      </c>
      <c r="AJ209" s="45"/>
      <c r="AK209" s="35">
        <v>0</v>
      </c>
      <c r="AL209" s="35"/>
      <c r="AM209" s="35">
        <v>0</v>
      </c>
      <c r="AN209" s="35"/>
      <c r="AO209" s="35">
        <v>0</v>
      </c>
      <c r="AP209" s="35"/>
      <c r="AQ209" s="35">
        <v>0</v>
      </c>
      <c r="AR209" s="35"/>
      <c r="AS209" s="45">
        <f t="shared" si="28"/>
        <v>0</v>
      </c>
      <c r="AT209" s="45"/>
      <c r="AU209" s="35">
        <v>0</v>
      </c>
      <c r="AV209" s="35"/>
      <c r="AW209" s="35">
        <v>0</v>
      </c>
      <c r="AX209" s="35"/>
      <c r="AY209" s="35">
        <f t="shared" si="32"/>
        <v>0</v>
      </c>
      <c r="AZ209" s="35"/>
      <c r="BA209" s="35" t="s">
        <v>247</v>
      </c>
      <c r="BB209" s="55"/>
      <c r="BC209" s="35" t="s">
        <v>163</v>
      </c>
      <c r="BD209" s="35"/>
      <c r="BE209" s="35">
        <v>0</v>
      </c>
      <c r="BF209" s="35"/>
      <c r="BG209" s="35"/>
      <c r="BH209" s="35"/>
      <c r="BI209" s="35">
        <v>0</v>
      </c>
      <c r="BJ209" s="35"/>
      <c r="BK209" s="35">
        <v>0</v>
      </c>
      <c r="BL209" s="35"/>
      <c r="BM209" s="35">
        <f t="shared" ref="BM209:BM229" si="34">SUM(BE209:BK209)</f>
        <v>0</v>
      </c>
      <c r="BN209" s="54" t="s">
        <v>347</v>
      </c>
    </row>
    <row r="210" spans="1:66" ht="12.75" hidden="1" customHeight="1">
      <c r="A210" s="35" t="s">
        <v>248</v>
      </c>
      <c r="B210" s="55"/>
      <c r="C210" s="35" t="s">
        <v>249</v>
      </c>
      <c r="D210" s="35"/>
      <c r="E210" s="35">
        <f t="shared" si="29"/>
        <v>0</v>
      </c>
      <c r="F210" s="35"/>
      <c r="G210" s="35">
        <v>0</v>
      </c>
      <c r="H210" s="35"/>
      <c r="I210" s="35">
        <v>0</v>
      </c>
      <c r="J210" s="35"/>
      <c r="K210" s="35">
        <f t="shared" si="30"/>
        <v>0</v>
      </c>
      <c r="L210" s="35"/>
      <c r="M210" s="35">
        <v>0</v>
      </c>
      <c r="N210" s="35"/>
      <c r="O210" s="35">
        <v>0</v>
      </c>
      <c r="P210" s="35"/>
      <c r="Q210" s="35">
        <v>0</v>
      </c>
      <c r="R210" s="35"/>
      <c r="S210" s="35">
        <v>0</v>
      </c>
      <c r="T210" s="35"/>
      <c r="U210" s="35">
        <v>0</v>
      </c>
      <c r="V210" s="35"/>
      <c r="W210" s="35">
        <f t="shared" si="31"/>
        <v>0</v>
      </c>
      <c r="X210" s="35"/>
      <c r="Y210" s="35" t="s">
        <v>248</v>
      </c>
      <c r="Z210" s="55"/>
      <c r="AA210" s="35" t="s">
        <v>249</v>
      </c>
      <c r="AB210" s="35"/>
      <c r="AC210" s="35">
        <v>0</v>
      </c>
      <c r="AD210" s="35"/>
      <c r="AE210" s="35">
        <v>0</v>
      </c>
      <c r="AF210" s="35"/>
      <c r="AG210" s="35">
        <v>0</v>
      </c>
      <c r="AH210" s="35"/>
      <c r="AI210" s="45">
        <f t="shared" si="27"/>
        <v>0</v>
      </c>
      <c r="AJ210" s="45"/>
      <c r="AK210" s="35">
        <v>0</v>
      </c>
      <c r="AL210" s="35"/>
      <c r="AM210" s="35">
        <v>0</v>
      </c>
      <c r="AN210" s="35"/>
      <c r="AO210" s="35">
        <v>0</v>
      </c>
      <c r="AP210" s="35"/>
      <c r="AQ210" s="35">
        <v>0</v>
      </c>
      <c r="AR210" s="35"/>
      <c r="AS210" s="45">
        <f t="shared" si="28"/>
        <v>0</v>
      </c>
      <c r="AT210" s="45"/>
      <c r="AU210" s="35">
        <v>0</v>
      </c>
      <c r="AV210" s="35"/>
      <c r="AW210" s="35">
        <v>0</v>
      </c>
      <c r="AX210" s="35"/>
      <c r="AY210" s="35">
        <f t="shared" si="32"/>
        <v>0</v>
      </c>
      <c r="AZ210" s="35"/>
      <c r="BA210" s="35" t="s">
        <v>248</v>
      </c>
      <c r="BB210" s="55"/>
      <c r="BC210" s="35" t="s">
        <v>249</v>
      </c>
      <c r="BD210" s="35"/>
      <c r="BE210" s="35">
        <v>0</v>
      </c>
      <c r="BF210" s="35"/>
      <c r="BG210" s="35"/>
      <c r="BH210" s="35"/>
      <c r="BI210" s="35">
        <v>0</v>
      </c>
      <c r="BJ210" s="35"/>
      <c r="BK210" s="35">
        <v>0</v>
      </c>
      <c r="BL210" s="35"/>
      <c r="BM210" s="35">
        <f t="shared" si="34"/>
        <v>0</v>
      </c>
      <c r="BN210" s="54"/>
    </row>
    <row r="211" spans="1:66" ht="12.75" hidden="1" customHeight="1">
      <c r="A211" s="35" t="s">
        <v>250</v>
      </c>
      <c r="C211" s="35" t="s">
        <v>103</v>
      </c>
      <c r="D211" s="35"/>
      <c r="E211" s="35">
        <f t="shared" si="29"/>
        <v>0</v>
      </c>
      <c r="F211" s="35"/>
      <c r="G211" s="35">
        <v>0</v>
      </c>
      <c r="H211" s="35"/>
      <c r="I211" s="35">
        <v>0</v>
      </c>
      <c r="J211" s="35"/>
      <c r="K211" s="35">
        <f t="shared" si="30"/>
        <v>0</v>
      </c>
      <c r="L211" s="35"/>
      <c r="M211" s="35">
        <v>0</v>
      </c>
      <c r="N211" s="35"/>
      <c r="O211" s="35">
        <v>0</v>
      </c>
      <c r="P211" s="35"/>
      <c r="Q211" s="35">
        <v>0</v>
      </c>
      <c r="R211" s="35"/>
      <c r="S211" s="35">
        <v>0</v>
      </c>
      <c r="T211" s="35"/>
      <c r="U211" s="35">
        <v>0</v>
      </c>
      <c r="V211" s="35"/>
      <c r="W211" s="35">
        <f t="shared" si="31"/>
        <v>0</v>
      </c>
      <c r="X211" s="35"/>
      <c r="Y211" s="35" t="s">
        <v>250</v>
      </c>
      <c r="Z211" s="55"/>
      <c r="AA211" s="35" t="s">
        <v>103</v>
      </c>
      <c r="AB211" s="35"/>
      <c r="AC211" s="35">
        <v>0</v>
      </c>
      <c r="AD211" s="35"/>
      <c r="AE211" s="35">
        <v>0</v>
      </c>
      <c r="AF211" s="35"/>
      <c r="AG211" s="35">
        <v>0</v>
      </c>
      <c r="AH211" s="35"/>
      <c r="AI211" s="45">
        <f t="shared" si="27"/>
        <v>0</v>
      </c>
      <c r="AJ211" s="45"/>
      <c r="AK211" s="35">
        <v>0</v>
      </c>
      <c r="AL211" s="35"/>
      <c r="AM211" s="35">
        <v>0</v>
      </c>
      <c r="AN211" s="35"/>
      <c r="AO211" s="35">
        <v>0</v>
      </c>
      <c r="AP211" s="35"/>
      <c r="AQ211" s="35">
        <v>0</v>
      </c>
      <c r="AR211" s="35"/>
      <c r="AS211" s="45">
        <f t="shared" si="28"/>
        <v>0</v>
      </c>
      <c r="AT211" s="45"/>
      <c r="AU211" s="35">
        <v>0</v>
      </c>
      <c r="AV211" s="35"/>
      <c r="AW211" s="35">
        <v>0</v>
      </c>
      <c r="AX211" s="35"/>
      <c r="AY211" s="35">
        <f t="shared" si="32"/>
        <v>0</v>
      </c>
      <c r="AZ211" s="35"/>
      <c r="BA211" s="35" t="s">
        <v>250</v>
      </c>
      <c r="BB211" s="55"/>
      <c r="BC211" s="35" t="s">
        <v>103</v>
      </c>
      <c r="BD211" s="35"/>
      <c r="BE211" s="35">
        <v>0</v>
      </c>
      <c r="BF211" s="35"/>
      <c r="BG211" s="35"/>
      <c r="BH211" s="35"/>
      <c r="BI211" s="35">
        <v>0</v>
      </c>
      <c r="BJ211" s="35"/>
      <c r="BK211" s="35">
        <v>0</v>
      </c>
      <c r="BL211" s="35"/>
      <c r="BM211" s="35">
        <f t="shared" si="34"/>
        <v>0</v>
      </c>
      <c r="BN211" s="54" t="s">
        <v>347</v>
      </c>
    </row>
    <row r="212" spans="1:66" ht="12.75" hidden="1" customHeight="1">
      <c r="A212" s="35" t="s">
        <v>251</v>
      </c>
      <c r="C212" s="35" t="s">
        <v>66</v>
      </c>
      <c r="D212" s="35"/>
      <c r="E212" s="35">
        <f t="shared" si="29"/>
        <v>0</v>
      </c>
      <c r="F212" s="35"/>
      <c r="G212" s="35">
        <v>0</v>
      </c>
      <c r="H212" s="35"/>
      <c r="I212" s="35">
        <v>0</v>
      </c>
      <c r="J212" s="35"/>
      <c r="K212" s="35">
        <f t="shared" si="30"/>
        <v>0</v>
      </c>
      <c r="L212" s="35"/>
      <c r="M212" s="35">
        <v>0</v>
      </c>
      <c r="N212" s="35"/>
      <c r="O212" s="35">
        <v>0</v>
      </c>
      <c r="P212" s="35"/>
      <c r="Q212" s="35">
        <v>0</v>
      </c>
      <c r="R212" s="35"/>
      <c r="S212" s="35">
        <v>0</v>
      </c>
      <c r="T212" s="35"/>
      <c r="U212" s="35">
        <v>0</v>
      </c>
      <c r="V212" s="35"/>
      <c r="W212" s="35">
        <f t="shared" si="31"/>
        <v>0</v>
      </c>
      <c r="X212" s="35"/>
      <c r="Y212" s="35" t="s">
        <v>251</v>
      </c>
      <c r="Z212" s="55"/>
      <c r="AA212" s="35" t="s">
        <v>66</v>
      </c>
      <c r="AB212" s="35"/>
      <c r="AC212" s="35">
        <v>0</v>
      </c>
      <c r="AD212" s="35"/>
      <c r="AE212" s="35">
        <v>0</v>
      </c>
      <c r="AF212" s="35"/>
      <c r="AG212" s="35">
        <v>0</v>
      </c>
      <c r="AH212" s="35"/>
      <c r="AI212" s="45">
        <f t="shared" si="27"/>
        <v>0</v>
      </c>
      <c r="AJ212" s="45"/>
      <c r="AK212" s="35">
        <v>0</v>
      </c>
      <c r="AL212" s="35"/>
      <c r="AM212" s="35">
        <v>0</v>
      </c>
      <c r="AN212" s="35"/>
      <c r="AO212" s="35">
        <v>0</v>
      </c>
      <c r="AP212" s="35"/>
      <c r="AQ212" s="35">
        <v>0</v>
      </c>
      <c r="AR212" s="35"/>
      <c r="AS212" s="45">
        <f t="shared" si="28"/>
        <v>0</v>
      </c>
      <c r="AT212" s="45"/>
      <c r="AU212" s="35">
        <v>0</v>
      </c>
      <c r="AV212" s="35"/>
      <c r="AW212" s="35">
        <v>0</v>
      </c>
      <c r="AX212" s="35"/>
      <c r="AY212" s="35">
        <f t="shared" si="32"/>
        <v>0</v>
      </c>
      <c r="AZ212" s="35"/>
      <c r="BA212" s="35" t="s">
        <v>251</v>
      </c>
      <c r="BB212" s="55"/>
      <c r="BC212" s="35" t="s">
        <v>66</v>
      </c>
      <c r="BD212" s="35"/>
      <c r="BE212" s="35">
        <v>0</v>
      </c>
      <c r="BF212" s="35"/>
      <c r="BG212" s="35"/>
      <c r="BH212" s="35"/>
      <c r="BI212" s="35">
        <v>0</v>
      </c>
      <c r="BJ212" s="35"/>
      <c r="BK212" s="35">
        <v>0</v>
      </c>
      <c r="BL212" s="35"/>
      <c r="BM212" s="35">
        <f t="shared" si="34"/>
        <v>0</v>
      </c>
      <c r="BN212" s="54" t="s">
        <v>347</v>
      </c>
    </row>
    <row r="213" spans="1:66" ht="12.75" hidden="1" customHeight="1">
      <c r="A213" s="35" t="s">
        <v>252</v>
      </c>
      <c r="C213" s="35" t="s">
        <v>209</v>
      </c>
      <c r="D213" s="35"/>
      <c r="E213" s="35">
        <f t="shared" si="29"/>
        <v>0</v>
      </c>
      <c r="F213" s="35"/>
      <c r="G213" s="35">
        <v>0</v>
      </c>
      <c r="H213" s="35"/>
      <c r="I213" s="35">
        <v>0</v>
      </c>
      <c r="J213" s="35"/>
      <c r="K213" s="35">
        <f t="shared" si="30"/>
        <v>0</v>
      </c>
      <c r="L213" s="35"/>
      <c r="M213" s="35">
        <v>0</v>
      </c>
      <c r="N213" s="35"/>
      <c r="O213" s="35">
        <v>0</v>
      </c>
      <c r="P213" s="35"/>
      <c r="Q213" s="35">
        <v>0</v>
      </c>
      <c r="R213" s="35"/>
      <c r="S213" s="35">
        <v>0</v>
      </c>
      <c r="T213" s="35"/>
      <c r="U213" s="35">
        <v>0</v>
      </c>
      <c r="V213" s="35"/>
      <c r="W213" s="35">
        <f t="shared" si="31"/>
        <v>0</v>
      </c>
      <c r="X213" s="35"/>
      <c r="Y213" s="35" t="s">
        <v>252</v>
      </c>
      <c r="Z213" s="55"/>
      <c r="AA213" s="35" t="s">
        <v>209</v>
      </c>
      <c r="AB213" s="35"/>
      <c r="AC213" s="35">
        <v>0</v>
      </c>
      <c r="AD213" s="35"/>
      <c r="AE213" s="35">
        <v>0</v>
      </c>
      <c r="AF213" s="35"/>
      <c r="AG213" s="35">
        <v>0</v>
      </c>
      <c r="AH213" s="35"/>
      <c r="AI213" s="45">
        <f t="shared" si="27"/>
        <v>0</v>
      </c>
      <c r="AJ213" s="45"/>
      <c r="AK213" s="35">
        <v>0</v>
      </c>
      <c r="AL213" s="35"/>
      <c r="AM213" s="35">
        <v>0</v>
      </c>
      <c r="AN213" s="35"/>
      <c r="AO213" s="35">
        <v>0</v>
      </c>
      <c r="AP213" s="35"/>
      <c r="AQ213" s="35">
        <v>0</v>
      </c>
      <c r="AR213" s="35"/>
      <c r="AS213" s="45">
        <f t="shared" si="28"/>
        <v>0</v>
      </c>
      <c r="AT213" s="45"/>
      <c r="AU213" s="35">
        <v>0</v>
      </c>
      <c r="AV213" s="35"/>
      <c r="AW213" s="35">
        <v>0</v>
      </c>
      <c r="AX213" s="35"/>
      <c r="AY213" s="35">
        <f t="shared" si="32"/>
        <v>0</v>
      </c>
      <c r="AZ213" s="35"/>
      <c r="BA213" s="35" t="s">
        <v>252</v>
      </c>
      <c r="BB213" s="55"/>
      <c r="BC213" s="35" t="s">
        <v>209</v>
      </c>
      <c r="BD213" s="35"/>
      <c r="BE213" s="35">
        <v>0</v>
      </c>
      <c r="BF213" s="35"/>
      <c r="BG213" s="35"/>
      <c r="BH213" s="35"/>
      <c r="BI213" s="35">
        <v>0</v>
      </c>
      <c r="BJ213" s="35"/>
      <c r="BK213" s="35">
        <v>0</v>
      </c>
      <c r="BL213" s="35"/>
      <c r="BM213" s="35">
        <f t="shared" si="34"/>
        <v>0</v>
      </c>
      <c r="BN213" s="54" t="s">
        <v>347</v>
      </c>
    </row>
    <row r="214" spans="1:66" ht="12.75" hidden="1" customHeight="1">
      <c r="A214" s="35" t="s">
        <v>253</v>
      </c>
      <c r="C214" s="35" t="s">
        <v>13</v>
      </c>
      <c r="D214" s="35"/>
      <c r="E214" s="35">
        <f t="shared" si="29"/>
        <v>0</v>
      </c>
      <c r="F214" s="35"/>
      <c r="G214" s="35">
        <v>0</v>
      </c>
      <c r="H214" s="35"/>
      <c r="I214" s="35">
        <v>0</v>
      </c>
      <c r="J214" s="35"/>
      <c r="K214" s="35">
        <f t="shared" si="30"/>
        <v>0</v>
      </c>
      <c r="L214" s="35"/>
      <c r="M214" s="35">
        <v>0</v>
      </c>
      <c r="N214" s="35"/>
      <c r="O214" s="35">
        <v>0</v>
      </c>
      <c r="P214" s="35"/>
      <c r="Q214" s="35">
        <v>0</v>
      </c>
      <c r="R214" s="35"/>
      <c r="S214" s="35">
        <v>0</v>
      </c>
      <c r="T214" s="35"/>
      <c r="U214" s="35">
        <v>0</v>
      </c>
      <c r="V214" s="35"/>
      <c r="W214" s="35">
        <f t="shared" si="31"/>
        <v>0</v>
      </c>
      <c r="X214" s="35"/>
      <c r="Y214" s="35" t="s">
        <v>253</v>
      </c>
      <c r="Z214" s="55"/>
      <c r="AA214" s="35" t="s">
        <v>13</v>
      </c>
      <c r="AB214" s="35"/>
      <c r="AC214" s="35">
        <v>0</v>
      </c>
      <c r="AD214" s="35"/>
      <c r="AE214" s="35">
        <v>0</v>
      </c>
      <c r="AF214" s="35"/>
      <c r="AG214" s="35">
        <v>0</v>
      </c>
      <c r="AH214" s="35"/>
      <c r="AI214" s="45">
        <f t="shared" si="27"/>
        <v>0</v>
      </c>
      <c r="AJ214" s="45"/>
      <c r="AK214" s="35">
        <v>0</v>
      </c>
      <c r="AL214" s="35"/>
      <c r="AM214" s="35">
        <v>0</v>
      </c>
      <c r="AN214" s="35"/>
      <c r="AO214" s="35">
        <v>0</v>
      </c>
      <c r="AP214" s="35"/>
      <c r="AQ214" s="35">
        <v>0</v>
      </c>
      <c r="AR214" s="35"/>
      <c r="AS214" s="45">
        <f t="shared" si="28"/>
        <v>0</v>
      </c>
      <c r="AT214" s="45"/>
      <c r="AU214" s="35">
        <v>0</v>
      </c>
      <c r="AV214" s="35"/>
      <c r="AW214" s="35">
        <v>0</v>
      </c>
      <c r="AX214" s="35"/>
      <c r="AY214" s="35">
        <f t="shared" si="32"/>
        <v>0</v>
      </c>
      <c r="AZ214" s="35"/>
      <c r="BA214" s="35" t="s">
        <v>253</v>
      </c>
      <c r="BB214" s="55"/>
      <c r="BC214" s="35" t="s">
        <v>13</v>
      </c>
      <c r="BD214" s="35"/>
      <c r="BE214" s="35">
        <v>0</v>
      </c>
      <c r="BF214" s="35"/>
      <c r="BG214" s="35"/>
      <c r="BH214" s="35"/>
      <c r="BI214" s="35">
        <v>0</v>
      </c>
      <c r="BJ214" s="35"/>
      <c r="BK214" s="35">
        <v>0</v>
      </c>
      <c r="BL214" s="35"/>
      <c r="BM214" s="35">
        <f t="shared" si="34"/>
        <v>0</v>
      </c>
      <c r="BN214" s="54" t="s">
        <v>347</v>
      </c>
    </row>
    <row r="215" spans="1:66" ht="12.75" hidden="1" customHeight="1">
      <c r="A215" s="35" t="s">
        <v>254</v>
      </c>
      <c r="C215" s="35" t="s">
        <v>89</v>
      </c>
      <c r="D215" s="35"/>
      <c r="E215" s="35">
        <f t="shared" si="29"/>
        <v>0</v>
      </c>
      <c r="F215" s="35"/>
      <c r="G215" s="35">
        <v>0</v>
      </c>
      <c r="H215" s="35"/>
      <c r="I215" s="35">
        <v>0</v>
      </c>
      <c r="J215" s="35"/>
      <c r="K215" s="35">
        <f t="shared" si="30"/>
        <v>0</v>
      </c>
      <c r="L215" s="35"/>
      <c r="M215" s="35">
        <v>0</v>
      </c>
      <c r="N215" s="35"/>
      <c r="O215" s="35">
        <v>0</v>
      </c>
      <c r="P215" s="35"/>
      <c r="Q215" s="35">
        <v>0</v>
      </c>
      <c r="R215" s="35"/>
      <c r="S215" s="35">
        <v>0</v>
      </c>
      <c r="T215" s="35"/>
      <c r="U215" s="35">
        <v>0</v>
      </c>
      <c r="V215" s="35"/>
      <c r="W215" s="35">
        <f t="shared" si="31"/>
        <v>0</v>
      </c>
      <c r="X215" s="35"/>
      <c r="Y215" s="35" t="s">
        <v>254</v>
      </c>
      <c r="Z215" s="55"/>
      <c r="AA215" s="35" t="s">
        <v>89</v>
      </c>
      <c r="AB215" s="35"/>
      <c r="AC215" s="35">
        <v>0</v>
      </c>
      <c r="AD215" s="35"/>
      <c r="AE215" s="35">
        <v>0</v>
      </c>
      <c r="AF215" s="35"/>
      <c r="AG215" s="35">
        <v>0</v>
      </c>
      <c r="AH215" s="35"/>
      <c r="AI215" s="45">
        <f t="shared" si="27"/>
        <v>0</v>
      </c>
      <c r="AJ215" s="45"/>
      <c r="AK215" s="35">
        <v>0</v>
      </c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28"/>
        <v>0</v>
      </c>
      <c r="AT215" s="45"/>
      <c r="AU215" s="35">
        <v>0</v>
      </c>
      <c r="AV215" s="35"/>
      <c r="AW215" s="35">
        <v>0</v>
      </c>
      <c r="AX215" s="35"/>
      <c r="AY215" s="35">
        <f t="shared" si="32"/>
        <v>0</v>
      </c>
      <c r="AZ215" s="35"/>
      <c r="BA215" s="35" t="s">
        <v>254</v>
      </c>
      <c r="BB215" s="55"/>
      <c r="BC215" s="35" t="s">
        <v>89</v>
      </c>
      <c r="BD215" s="35"/>
      <c r="BE215" s="35">
        <v>0</v>
      </c>
      <c r="BF215" s="35"/>
      <c r="BG215" s="35"/>
      <c r="BH215" s="35"/>
      <c r="BI215" s="35">
        <v>0</v>
      </c>
      <c r="BJ215" s="35"/>
      <c r="BK215" s="35">
        <v>0</v>
      </c>
      <c r="BL215" s="35"/>
      <c r="BM215" s="35">
        <f t="shared" si="34"/>
        <v>0</v>
      </c>
      <c r="BN215" s="54" t="s">
        <v>347</v>
      </c>
    </row>
    <row r="216" spans="1:66" ht="12.75" hidden="1" customHeight="1">
      <c r="A216" s="35" t="s">
        <v>159</v>
      </c>
      <c r="C216" s="35" t="s">
        <v>66</v>
      </c>
      <c r="D216" s="35"/>
      <c r="E216" s="35">
        <f t="shared" si="29"/>
        <v>0</v>
      </c>
      <c r="F216" s="35"/>
      <c r="G216" s="35">
        <v>0</v>
      </c>
      <c r="H216" s="35"/>
      <c r="I216" s="35">
        <v>0</v>
      </c>
      <c r="J216" s="35"/>
      <c r="K216" s="35">
        <f t="shared" si="30"/>
        <v>0</v>
      </c>
      <c r="L216" s="35"/>
      <c r="M216" s="35">
        <v>0</v>
      </c>
      <c r="N216" s="35"/>
      <c r="O216" s="35">
        <v>0</v>
      </c>
      <c r="P216" s="35"/>
      <c r="Q216" s="35">
        <v>0</v>
      </c>
      <c r="R216" s="35"/>
      <c r="S216" s="35">
        <v>0</v>
      </c>
      <c r="T216" s="35"/>
      <c r="U216" s="35">
        <v>0</v>
      </c>
      <c r="V216" s="35"/>
      <c r="W216" s="35">
        <f t="shared" si="31"/>
        <v>0</v>
      </c>
      <c r="X216" s="35"/>
      <c r="Y216" s="35" t="s">
        <v>159</v>
      </c>
      <c r="Z216" s="55"/>
      <c r="AA216" s="35" t="s">
        <v>66</v>
      </c>
      <c r="AB216" s="35"/>
      <c r="AC216" s="35">
        <v>0</v>
      </c>
      <c r="AD216" s="35"/>
      <c r="AE216" s="35">
        <v>0</v>
      </c>
      <c r="AF216" s="35"/>
      <c r="AG216" s="35">
        <v>0</v>
      </c>
      <c r="AH216" s="35"/>
      <c r="AI216" s="45">
        <f t="shared" si="27"/>
        <v>0</v>
      </c>
      <c r="AJ216" s="45"/>
      <c r="AK216" s="35">
        <v>0</v>
      </c>
      <c r="AL216" s="35"/>
      <c r="AM216" s="35">
        <v>0</v>
      </c>
      <c r="AN216" s="35"/>
      <c r="AO216" s="35">
        <v>0</v>
      </c>
      <c r="AP216" s="35"/>
      <c r="AQ216" s="35">
        <v>0</v>
      </c>
      <c r="AR216" s="35"/>
      <c r="AS216" s="45">
        <f t="shared" si="28"/>
        <v>0</v>
      </c>
      <c r="AT216" s="45"/>
      <c r="AU216" s="35">
        <v>0</v>
      </c>
      <c r="AV216" s="35"/>
      <c r="AW216" s="35">
        <v>0</v>
      </c>
      <c r="AX216" s="35"/>
      <c r="AY216" s="35">
        <f t="shared" si="32"/>
        <v>0</v>
      </c>
      <c r="AZ216" s="35"/>
      <c r="BA216" s="35" t="s">
        <v>159</v>
      </c>
      <c r="BB216" s="55"/>
      <c r="BC216" s="35" t="s">
        <v>66</v>
      </c>
      <c r="BD216" s="35"/>
      <c r="BE216" s="35">
        <v>0</v>
      </c>
      <c r="BF216" s="35"/>
      <c r="BG216" s="35"/>
      <c r="BH216" s="35"/>
      <c r="BI216" s="35">
        <v>0</v>
      </c>
      <c r="BJ216" s="35"/>
      <c r="BK216" s="35">
        <v>0</v>
      </c>
      <c r="BL216" s="35"/>
      <c r="BM216" s="35">
        <f t="shared" si="34"/>
        <v>0</v>
      </c>
      <c r="BN216" s="54" t="s">
        <v>347</v>
      </c>
    </row>
    <row r="217" spans="1:66" ht="12.75" hidden="1" customHeight="1">
      <c r="A217" s="35" t="s">
        <v>255</v>
      </c>
      <c r="C217" s="35" t="s">
        <v>27</v>
      </c>
      <c r="D217" s="35"/>
      <c r="E217" s="35">
        <f t="shared" si="29"/>
        <v>0</v>
      </c>
      <c r="F217" s="35"/>
      <c r="G217" s="35">
        <v>0</v>
      </c>
      <c r="H217" s="35"/>
      <c r="I217" s="35">
        <v>0</v>
      </c>
      <c r="J217" s="35"/>
      <c r="K217" s="35">
        <f t="shared" si="30"/>
        <v>0</v>
      </c>
      <c r="L217" s="35"/>
      <c r="M217" s="35">
        <v>0</v>
      </c>
      <c r="N217" s="35"/>
      <c r="O217" s="35">
        <v>0</v>
      </c>
      <c r="P217" s="35"/>
      <c r="Q217" s="35">
        <v>0</v>
      </c>
      <c r="R217" s="35"/>
      <c r="S217" s="35">
        <v>0</v>
      </c>
      <c r="T217" s="35"/>
      <c r="U217" s="35">
        <v>0</v>
      </c>
      <c r="V217" s="35"/>
      <c r="W217" s="35">
        <f t="shared" si="31"/>
        <v>0</v>
      </c>
      <c r="X217" s="35"/>
      <c r="Y217" s="35" t="s">
        <v>255</v>
      </c>
      <c r="Z217" s="55"/>
      <c r="AA217" s="35" t="s">
        <v>27</v>
      </c>
      <c r="AB217" s="35"/>
      <c r="AC217" s="35">
        <v>0</v>
      </c>
      <c r="AD217" s="35"/>
      <c r="AE217" s="35">
        <v>0</v>
      </c>
      <c r="AF217" s="35"/>
      <c r="AG217" s="35">
        <v>0</v>
      </c>
      <c r="AH217" s="35"/>
      <c r="AI217" s="45">
        <f t="shared" si="27"/>
        <v>0</v>
      </c>
      <c r="AJ217" s="45"/>
      <c r="AK217" s="35">
        <v>0</v>
      </c>
      <c r="AL217" s="35"/>
      <c r="AM217" s="35">
        <v>0</v>
      </c>
      <c r="AN217" s="35"/>
      <c r="AO217" s="35">
        <v>0</v>
      </c>
      <c r="AP217" s="35"/>
      <c r="AQ217" s="35">
        <v>0</v>
      </c>
      <c r="AR217" s="35"/>
      <c r="AS217" s="45">
        <f t="shared" si="28"/>
        <v>0</v>
      </c>
      <c r="AT217" s="45"/>
      <c r="AU217" s="35">
        <v>0</v>
      </c>
      <c r="AV217" s="35"/>
      <c r="AW217" s="35">
        <v>0</v>
      </c>
      <c r="AX217" s="35"/>
      <c r="AY217" s="35">
        <f t="shared" si="32"/>
        <v>0</v>
      </c>
      <c r="AZ217" s="35"/>
      <c r="BA217" s="35" t="s">
        <v>255</v>
      </c>
      <c r="BB217" s="55"/>
      <c r="BC217" s="35" t="s">
        <v>27</v>
      </c>
      <c r="BD217" s="35"/>
      <c r="BE217" s="35">
        <v>0</v>
      </c>
      <c r="BF217" s="35"/>
      <c r="BG217" s="35"/>
      <c r="BH217" s="35"/>
      <c r="BI217" s="35">
        <v>0</v>
      </c>
      <c r="BJ217" s="35"/>
      <c r="BK217" s="35">
        <v>0</v>
      </c>
      <c r="BL217" s="35"/>
      <c r="BM217" s="35">
        <f t="shared" si="34"/>
        <v>0</v>
      </c>
      <c r="BN217" s="54" t="s">
        <v>347</v>
      </c>
    </row>
    <row r="218" spans="1:66" ht="12.75" hidden="1" customHeight="1">
      <c r="A218" s="35" t="s">
        <v>256</v>
      </c>
      <c r="C218" s="35" t="s">
        <v>43</v>
      </c>
      <c r="D218" s="35"/>
      <c r="E218" s="35">
        <f t="shared" si="29"/>
        <v>0</v>
      </c>
      <c r="F218" s="35"/>
      <c r="G218" s="35">
        <v>0</v>
      </c>
      <c r="H218" s="35"/>
      <c r="I218" s="35">
        <v>0</v>
      </c>
      <c r="J218" s="35"/>
      <c r="K218" s="35">
        <f t="shared" si="30"/>
        <v>0</v>
      </c>
      <c r="L218" s="35"/>
      <c r="M218" s="35">
        <v>0</v>
      </c>
      <c r="N218" s="35"/>
      <c r="O218" s="35">
        <v>0</v>
      </c>
      <c r="P218" s="35"/>
      <c r="Q218" s="35">
        <v>0</v>
      </c>
      <c r="R218" s="35"/>
      <c r="S218" s="35">
        <v>0</v>
      </c>
      <c r="T218" s="35"/>
      <c r="U218" s="35">
        <v>0</v>
      </c>
      <c r="V218" s="35"/>
      <c r="W218" s="35">
        <f t="shared" si="31"/>
        <v>0</v>
      </c>
      <c r="X218" s="35"/>
      <c r="Y218" s="35" t="s">
        <v>256</v>
      </c>
      <c r="Z218" s="55"/>
      <c r="AA218" s="35" t="s">
        <v>43</v>
      </c>
      <c r="AB218" s="35"/>
      <c r="AC218" s="35">
        <v>0</v>
      </c>
      <c r="AD218" s="35"/>
      <c r="AE218" s="35">
        <v>0</v>
      </c>
      <c r="AF218" s="35"/>
      <c r="AG218" s="35">
        <v>0</v>
      </c>
      <c r="AH218" s="35"/>
      <c r="AI218" s="45">
        <f t="shared" si="27"/>
        <v>0</v>
      </c>
      <c r="AJ218" s="45"/>
      <c r="AK218" s="35">
        <v>0</v>
      </c>
      <c r="AL218" s="35"/>
      <c r="AM218" s="35">
        <v>0</v>
      </c>
      <c r="AN218" s="35"/>
      <c r="AO218" s="35">
        <v>0</v>
      </c>
      <c r="AP218" s="35"/>
      <c r="AQ218" s="35">
        <v>0</v>
      </c>
      <c r="AR218" s="35"/>
      <c r="AS218" s="45">
        <f t="shared" si="28"/>
        <v>0</v>
      </c>
      <c r="AT218" s="45"/>
      <c r="AU218" s="35">
        <v>0</v>
      </c>
      <c r="AV218" s="35"/>
      <c r="AW218" s="35">
        <v>0</v>
      </c>
      <c r="AX218" s="35"/>
      <c r="AY218" s="35">
        <f t="shared" si="32"/>
        <v>0</v>
      </c>
      <c r="AZ218" s="35"/>
      <c r="BA218" s="35" t="s">
        <v>256</v>
      </c>
      <c r="BB218" s="55"/>
      <c r="BC218" s="35" t="s">
        <v>43</v>
      </c>
      <c r="BD218" s="35"/>
      <c r="BE218" s="35">
        <v>0</v>
      </c>
      <c r="BF218" s="35"/>
      <c r="BG218" s="35"/>
      <c r="BH218" s="35"/>
      <c r="BI218" s="35">
        <v>0</v>
      </c>
      <c r="BJ218" s="35"/>
      <c r="BK218" s="35">
        <v>0</v>
      </c>
      <c r="BL218" s="35"/>
      <c r="BM218" s="35">
        <f t="shared" si="34"/>
        <v>0</v>
      </c>
      <c r="BN218" s="54" t="s">
        <v>347</v>
      </c>
    </row>
    <row r="219" spans="1:66" ht="12.75" hidden="1" customHeight="1">
      <c r="A219" s="35" t="s">
        <v>257</v>
      </c>
      <c r="C219" s="35" t="s">
        <v>258</v>
      </c>
      <c r="D219" s="35"/>
      <c r="E219" s="35">
        <f t="shared" si="29"/>
        <v>0</v>
      </c>
      <c r="F219" s="35"/>
      <c r="G219" s="35">
        <v>0</v>
      </c>
      <c r="H219" s="35"/>
      <c r="I219" s="35">
        <v>0</v>
      </c>
      <c r="J219" s="35"/>
      <c r="K219" s="35">
        <f t="shared" si="30"/>
        <v>0</v>
      </c>
      <c r="L219" s="35"/>
      <c r="M219" s="35">
        <v>0</v>
      </c>
      <c r="N219" s="35"/>
      <c r="O219" s="35">
        <v>0</v>
      </c>
      <c r="P219" s="35"/>
      <c r="Q219" s="35">
        <v>0</v>
      </c>
      <c r="R219" s="35"/>
      <c r="S219" s="35">
        <v>0</v>
      </c>
      <c r="T219" s="35"/>
      <c r="U219" s="35">
        <v>0</v>
      </c>
      <c r="V219" s="35"/>
      <c r="W219" s="35">
        <f t="shared" si="31"/>
        <v>0</v>
      </c>
      <c r="X219" s="35"/>
      <c r="Y219" s="35" t="s">
        <v>257</v>
      </c>
      <c r="Z219" s="55"/>
      <c r="AA219" s="35" t="s">
        <v>258</v>
      </c>
      <c r="AB219" s="35"/>
      <c r="AC219" s="35">
        <v>0</v>
      </c>
      <c r="AD219" s="35"/>
      <c r="AE219" s="35">
        <v>0</v>
      </c>
      <c r="AF219" s="35"/>
      <c r="AG219" s="35">
        <v>0</v>
      </c>
      <c r="AH219" s="35"/>
      <c r="AI219" s="45">
        <f t="shared" si="27"/>
        <v>0</v>
      </c>
      <c r="AJ219" s="45"/>
      <c r="AK219" s="35">
        <v>0</v>
      </c>
      <c r="AL219" s="35"/>
      <c r="AM219" s="35">
        <v>0</v>
      </c>
      <c r="AN219" s="35"/>
      <c r="AO219" s="35">
        <v>0</v>
      </c>
      <c r="AP219" s="35"/>
      <c r="AQ219" s="35">
        <v>0</v>
      </c>
      <c r="AR219" s="35"/>
      <c r="AS219" s="45">
        <f t="shared" si="28"/>
        <v>0</v>
      </c>
      <c r="AT219" s="45"/>
      <c r="AU219" s="35">
        <v>0</v>
      </c>
      <c r="AV219" s="35"/>
      <c r="AW219" s="35">
        <v>0</v>
      </c>
      <c r="AX219" s="35"/>
      <c r="AY219" s="35">
        <f t="shared" si="32"/>
        <v>0</v>
      </c>
      <c r="AZ219" s="35"/>
      <c r="BA219" s="35" t="s">
        <v>257</v>
      </c>
      <c r="BB219" s="55"/>
      <c r="BC219" s="35" t="s">
        <v>258</v>
      </c>
      <c r="BD219" s="35"/>
      <c r="BE219" s="35">
        <v>0</v>
      </c>
      <c r="BF219" s="35"/>
      <c r="BG219" s="35"/>
      <c r="BH219" s="35"/>
      <c r="BI219" s="35">
        <v>0</v>
      </c>
      <c r="BJ219" s="35"/>
      <c r="BK219" s="35">
        <v>0</v>
      </c>
      <c r="BL219" s="35"/>
      <c r="BM219" s="35">
        <f t="shared" si="34"/>
        <v>0</v>
      </c>
      <c r="BN219" s="54" t="s">
        <v>347</v>
      </c>
    </row>
    <row r="220" spans="1:66" ht="12.75" hidden="1" customHeight="1">
      <c r="A220" s="35" t="s">
        <v>259</v>
      </c>
      <c r="C220" s="35" t="s">
        <v>369</v>
      </c>
      <c r="D220" s="35"/>
      <c r="E220" s="35">
        <f t="shared" si="29"/>
        <v>0</v>
      </c>
      <c r="F220" s="35"/>
      <c r="G220" s="35">
        <v>0</v>
      </c>
      <c r="H220" s="35"/>
      <c r="I220" s="35">
        <v>0</v>
      </c>
      <c r="J220" s="35"/>
      <c r="K220" s="35">
        <f t="shared" si="30"/>
        <v>0</v>
      </c>
      <c r="L220" s="35"/>
      <c r="M220" s="35">
        <v>0</v>
      </c>
      <c r="N220" s="35"/>
      <c r="O220" s="35">
        <v>0</v>
      </c>
      <c r="P220" s="35"/>
      <c r="Q220" s="35">
        <v>0</v>
      </c>
      <c r="R220" s="35"/>
      <c r="S220" s="35">
        <v>0</v>
      </c>
      <c r="T220" s="35"/>
      <c r="U220" s="35">
        <v>0</v>
      </c>
      <c r="V220" s="35"/>
      <c r="W220" s="35">
        <f t="shared" si="31"/>
        <v>0</v>
      </c>
      <c r="X220" s="35"/>
      <c r="Y220" s="35" t="s">
        <v>259</v>
      </c>
      <c r="Z220" s="55"/>
      <c r="AA220" s="35" t="s">
        <v>369</v>
      </c>
      <c r="AB220" s="35"/>
      <c r="AC220" s="35">
        <v>0</v>
      </c>
      <c r="AD220" s="35"/>
      <c r="AE220" s="35">
        <v>0</v>
      </c>
      <c r="AF220" s="35"/>
      <c r="AG220" s="35">
        <v>0</v>
      </c>
      <c r="AH220" s="35"/>
      <c r="AI220" s="45">
        <f t="shared" si="27"/>
        <v>0</v>
      </c>
      <c r="AJ220" s="45"/>
      <c r="AK220" s="35">
        <v>0</v>
      </c>
      <c r="AL220" s="35"/>
      <c r="AM220" s="35">
        <v>0</v>
      </c>
      <c r="AN220" s="35"/>
      <c r="AO220" s="35">
        <v>0</v>
      </c>
      <c r="AP220" s="35"/>
      <c r="AQ220" s="35">
        <v>0</v>
      </c>
      <c r="AR220" s="35"/>
      <c r="AS220" s="45">
        <f t="shared" si="28"/>
        <v>0</v>
      </c>
      <c r="AT220" s="45"/>
      <c r="AU220" s="35">
        <v>0</v>
      </c>
      <c r="AV220" s="35"/>
      <c r="AW220" s="35">
        <v>0</v>
      </c>
      <c r="AX220" s="35"/>
      <c r="AY220" s="35">
        <f t="shared" si="32"/>
        <v>0</v>
      </c>
      <c r="AZ220" s="35"/>
      <c r="BA220" s="35" t="s">
        <v>259</v>
      </c>
      <c r="BB220" s="55"/>
      <c r="BC220" s="35" t="s">
        <v>369</v>
      </c>
      <c r="BD220" s="35"/>
      <c r="BE220" s="35">
        <v>0</v>
      </c>
      <c r="BF220" s="35"/>
      <c r="BG220" s="35"/>
      <c r="BH220" s="35"/>
      <c r="BI220" s="35">
        <v>0</v>
      </c>
      <c r="BJ220" s="35"/>
      <c r="BK220" s="35">
        <v>0</v>
      </c>
      <c r="BL220" s="35"/>
      <c r="BM220" s="35">
        <f t="shared" si="34"/>
        <v>0</v>
      </c>
      <c r="BN220" s="54" t="s">
        <v>347</v>
      </c>
    </row>
    <row r="221" spans="1:66" ht="12.75" hidden="1" customHeight="1">
      <c r="A221" s="35" t="s">
        <v>261</v>
      </c>
      <c r="C221" s="35" t="s">
        <v>66</v>
      </c>
      <c r="D221" s="35"/>
      <c r="E221" s="35">
        <f t="shared" si="29"/>
        <v>0</v>
      </c>
      <c r="F221" s="35"/>
      <c r="G221" s="35">
        <v>0</v>
      </c>
      <c r="H221" s="35"/>
      <c r="I221" s="35">
        <v>0</v>
      </c>
      <c r="J221" s="35"/>
      <c r="K221" s="35">
        <f t="shared" si="30"/>
        <v>0</v>
      </c>
      <c r="L221" s="35"/>
      <c r="M221" s="35">
        <v>0</v>
      </c>
      <c r="N221" s="35"/>
      <c r="O221" s="35">
        <v>0</v>
      </c>
      <c r="P221" s="35"/>
      <c r="Q221" s="35">
        <v>0</v>
      </c>
      <c r="R221" s="35"/>
      <c r="S221" s="35">
        <v>0</v>
      </c>
      <c r="T221" s="35"/>
      <c r="U221" s="35">
        <v>0</v>
      </c>
      <c r="V221" s="35"/>
      <c r="W221" s="35">
        <f t="shared" si="31"/>
        <v>0</v>
      </c>
      <c r="X221" s="35"/>
      <c r="Y221" s="35" t="s">
        <v>261</v>
      </c>
      <c r="Z221" s="55"/>
      <c r="AA221" s="35" t="s">
        <v>66</v>
      </c>
      <c r="AB221" s="35"/>
      <c r="AC221" s="35">
        <v>0</v>
      </c>
      <c r="AD221" s="35"/>
      <c r="AE221" s="35">
        <v>0</v>
      </c>
      <c r="AF221" s="35"/>
      <c r="AG221" s="35">
        <v>0</v>
      </c>
      <c r="AH221" s="35"/>
      <c r="AI221" s="45">
        <f t="shared" si="27"/>
        <v>0</v>
      </c>
      <c r="AJ221" s="45"/>
      <c r="AK221" s="35">
        <v>0</v>
      </c>
      <c r="AL221" s="35"/>
      <c r="AM221" s="35">
        <v>0</v>
      </c>
      <c r="AN221" s="35"/>
      <c r="AO221" s="35">
        <v>0</v>
      </c>
      <c r="AP221" s="35"/>
      <c r="AQ221" s="35">
        <v>0</v>
      </c>
      <c r="AR221" s="35"/>
      <c r="AS221" s="45">
        <f t="shared" si="28"/>
        <v>0</v>
      </c>
      <c r="AT221" s="45"/>
      <c r="AU221" s="35">
        <v>0</v>
      </c>
      <c r="AV221" s="35"/>
      <c r="AW221" s="35">
        <v>0</v>
      </c>
      <c r="AX221" s="35"/>
      <c r="AY221" s="35">
        <f t="shared" si="32"/>
        <v>0</v>
      </c>
      <c r="AZ221" s="35"/>
      <c r="BA221" s="35" t="s">
        <v>261</v>
      </c>
      <c r="BB221" s="55"/>
      <c r="BC221" s="35" t="s">
        <v>66</v>
      </c>
      <c r="BD221" s="35"/>
      <c r="BE221" s="35">
        <v>0</v>
      </c>
      <c r="BF221" s="35"/>
      <c r="BG221" s="35"/>
      <c r="BH221" s="35"/>
      <c r="BI221" s="35">
        <v>0</v>
      </c>
      <c r="BJ221" s="35"/>
      <c r="BK221" s="35">
        <v>0</v>
      </c>
      <c r="BL221" s="35"/>
      <c r="BM221" s="35">
        <f t="shared" si="34"/>
        <v>0</v>
      </c>
      <c r="BN221" s="54" t="s">
        <v>347</v>
      </c>
    </row>
    <row r="222" spans="1:66" ht="12.75" hidden="1" customHeight="1">
      <c r="A222" s="35" t="s">
        <v>262</v>
      </c>
      <c r="C222" s="35" t="s">
        <v>132</v>
      </c>
      <c r="D222" s="35"/>
      <c r="E222" s="35">
        <f t="shared" si="29"/>
        <v>0</v>
      </c>
      <c r="F222" s="35"/>
      <c r="G222" s="35">
        <v>0</v>
      </c>
      <c r="H222" s="35"/>
      <c r="I222" s="35">
        <v>0</v>
      </c>
      <c r="J222" s="35"/>
      <c r="K222" s="35">
        <f t="shared" si="30"/>
        <v>0</v>
      </c>
      <c r="L222" s="35"/>
      <c r="M222" s="35">
        <v>0</v>
      </c>
      <c r="N222" s="35"/>
      <c r="O222" s="35">
        <v>0</v>
      </c>
      <c r="P222" s="35"/>
      <c r="Q222" s="35">
        <v>0</v>
      </c>
      <c r="R222" s="35"/>
      <c r="S222" s="35">
        <v>0</v>
      </c>
      <c r="T222" s="35"/>
      <c r="U222" s="35">
        <v>0</v>
      </c>
      <c r="V222" s="35"/>
      <c r="W222" s="35">
        <f t="shared" si="31"/>
        <v>0</v>
      </c>
      <c r="X222" s="35"/>
      <c r="Y222" s="35" t="s">
        <v>262</v>
      </c>
      <c r="Z222" s="55"/>
      <c r="AA222" s="35" t="s">
        <v>132</v>
      </c>
      <c r="AB222" s="35"/>
      <c r="AC222" s="35">
        <v>0</v>
      </c>
      <c r="AD222" s="35"/>
      <c r="AE222" s="35">
        <v>0</v>
      </c>
      <c r="AF222" s="35"/>
      <c r="AG222" s="35">
        <v>0</v>
      </c>
      <c r="AH222" s="35"/>
      <c r="AI222" s="45">
        <f t="shared" si="27"/>
        <v>0</v>
      </c>
      <c r="AJ222" s="45"/>
      <c r="AK222" s="35">
        <v>0</v>
      </c>
      <c r="AL222" s="35"/>
      <c r="AM222" s="35">
        <v>0</v>
      </c>
      <c r="AN222" s="35"/>
      <c r="AO222" s="35">
        <v>0</v>
      </c>
      <c r="AP222" s="35"/>
      <c r="AQ222" s="35">
        <v>0</v>
      </c>
      <c r="AR222" s="35"/>
      <c r="AS222" s="45">
        <f t="shared" si="28"/>
        <v>0</v>
      </c>
      <c r="AT222" s="45"/>
      <c r="AU222" s="35">
        <v>0</v>
      </c>
      <c r="AV222" s="35"/>
      <c r="AW222" s="35">
        <v>0</v>
      </c>
      <c r="AX222" s="35"/>
      <c r="AY222" s="35">
        <f t="shared" si="32"/>
        <v>0</v>
      </c>
      <c r="AZ222" s="35"/>
      <c r="BA222" s="35" t="s">
        <v>262</v>
      </c>
      <c r="BB222" s="55"/>
      <c r="BC222" s="35" t="s">
        <v>132</v>
      </c>
      <c r="BD222" s="35"/>
      <c r="BE222" s="35">
        <v>0</v>
      </c>
      <c r="BF222" s="35"/>
      <c r="BG222" s="35"/>
      <c r="BH222" s="35"/>
      <c r="BI222" s="35">
        <v>0</v>
      </c>
      <c r="BJ222" s="35"/>
      <c r="BK222" s="35">
        <v>0</v>
      </c>
      <c r="BL222" s="35"/>
      <c r="BM222" s="35">
        <f t="shared" si="34"/>
        <v>0</v>
      </c>
      <c r="BN222" s="54" t="s">
        <v>347</v>
      </c>
    </row>
    <row r="223" spans="1:66" ht="12.75" hidden="1" customHeight="1">
      <c r="A223" s="35" t="s">
        <v>263</v>
      </c>
      <c r="C223" s="35" t="s">
        <v>53</v>
      </c>
      <c r="D223" s="35"/>
      <c r="E223" s="35">
        <f t="shared" si="29"/>
        <v>0</v>
      </c>
      <c r="F223" s="35"/>
      <c r="G223" s="35">
        <v>0</v>
      </c>
      <c r="H223" s="35"/>
      <c r="I223" s="35">
        <v>0</v>
      </c>
      <c r="J223" s="35"/>
      <c r="K223" s="35">
        <f t="shared" si="30"/>
        <v>0</v>
      </c>
      <c r="L223" s="35"/>
      <c r="M223" s="35">
        <v>0</v>
      </c>
      <c r="N223" s="35"/>
      <c r="O223" s="35">
        <v>0</v>
      </c>
      <c r="P223" s="35"/>
      <c r="Q223" s="35">
        <v>0</v>
      </c>
      <c r="R223" s="35"/>
      <c r="S223" s="35">
        <v>0</v>
      </c>
      <c r="T223" s="35"/>
      <c r="U223" s="35">
        <v>0</v>
      </c>
      <c r="V223" s="35"/>
      <c r="W223" s="35">
        <f t="shared" si="31"/>
        <v>0</v>
      </c>
      <c r="X223" s="35"/>
      <c r="Y223" s="35" t="s">
        <v>263</v>
      </c>
      <c r="Z223" s="55"/>
      <c r="AA223" s="35" t="s">
        <v>53</v>
      </c>
      <c r="AB223" s="35"/>
      <c r="AC223" s="35">
        <v>0</v>
      </c>
      <c r="AD223" s="35"/>
      <c r="AE223" s="35">
        <v>0</v>
      </c>
      <c r="AF223" s="35"/>
      <c r="AG223" s="35">
        <v>0</v>
      </c>
      <c r="AH223" s="35"/>
      <c r="AI223" s="45">
        <f t="shared" si="27"/>
        <v>0</v>
      </c>
      <c r="AJ223" s="45"/>
      <c r="AK223" s="35">
        <v>0</v>
      </c>
      <c r="AL223" s="35"/>
      <c r="AM223" s="35">
        <v>0</v>
      </c>
      <c r="AN223" s="35"/>
      <c r="AO223" s="35">
        <v>0</v>
      </c>
      <c r="AP223" s="35"/>
      <c r="AQ223" s="35">
        <v>0</v>
      </c>
      <c r="AR223" s="35"/>
      <c r="AS223" s="45">
        <f t="shared" si="28"/>
        <v>0</v>
      </c>
      <c r="AT223" s="45"/>
      <c r="AU223" s="35">
        <v>0</v>
      </c>
      <c r="AV223" s="35"/>
      <c r="AW223" s="35">
        <v>0</v>
      </c>
      <c r="AX223" s="35"/>
      <c r="AY223" s="35">
        <f t="shared" si="32"/>
        <v>0</v>
      </c>
      <c r="AZ223" s="35"/>
      <c r="BA223" s="35" t="s">
        <v>263</v>
      </c>
      <c r="BB223" s="55"/>
      <c r="BC223" s="35" t="s">
        <v>53</v>
      </c>
      <c r="BD223" s="35"/>
      <c r="BE223" s="35">
        <v>0</v>
      </c>
      <c r="BF223" s="35"/>
      <c r="BG223" s="35"/>
      <c r="BH223" s="35"/>
      <c r="BI223" s="35">
        <v>0</v>
      </c>
      <c r="BJ223" s="35"/>
      <c r="BK223" s="35">
        <v>0</v>
      </c>
      <c r="BL223" s="35"/>
      <c r="BM223" s="35">
        <f t="shared" si="34"/>
        <v>0</v>
      </c>
      <c r="BN223" s="54" t="s">
        <v>347</v>
      </c>
    </row>
    <row r="224" spans="1:66" ht="12.75" customHeight="1">
      <c r="A224" s="55" t="s">
        <v>263</v>
      </c>
      <c r="C224" s="55" t="s">
        <v>53</v>
      </c>
      <c r="E224" s="35">
        <f t="shared" si="29"/>
        <v>18508908</v>
      </c>
      <c r="F224" s="35"/>
      <c r="G224" s="35">
        <v>24062498</v>
      </c>
      <c r="H224" s="35"/>
      <c r="I224" s="35">
        <v>42571406</v>
      </c>
      <c r="J224" s="35"/>
      <c r="K224" s="35">
        <f t="shared" si="30"/>
        <v>11465201</v>
      </c>
      <c r="L224" s="35"/>
      <c r="M224" s="35">
        <v>8210641</v>
      </c>
      <c r="N224" s="35"/>
      <c r="O224" s="35">
        <v>19675842</v>
      </c>
      <c r="P224" s="35"/>
      <c r="Q224" s="35">
        <v>13074518</v>
      </c>
      <c r="R224" s="35"/>
      <c r="S224" s="35">
        <v>0</v>
      </c>
      <c r="T224" s="35"/>
      <c r="U224" s="35">
        <v>9821046</v>
      </c>
      <c r="V224" s="35"/>
      <c r="W224" s="35">
        <f t="shared" si="31"/>
        <v>22895564</v>
      </c>
      <c r="Y224" s="55" t="s">
        <v>263</v>
      </c>
      <c r="Z224" s="55"/>
      <c r="AA224" s="55" t="s">
        <v>53</v>
      </c>
      <c r="AC224" s="35">
        <v>30726685</v>
      </c>
      <c r="AD224" s="35"/>
      <c r="AE224" s="35">
        <f>27912283-1414664</f>
        <v>26497619</v>
      </c>
      <c r="AF224" s="35"/>
      <c r="AG224" s="35">
        <v>1414664</v>
      </c>
      <c r="AH224" s="35"/>
      <c r="AI224" s="45">
        <f t="shared" si="27"/>
        <v>2814402</v>
      </c>
      <c r="AJ224" s="45"/>
      <c r="AK224" s="35">
        <v>172560</v>
      </c>
      <c r="AL224" s="35"/>
      <c r="AM224" s="35">
        <v>0</v>
      </c>
      <c r="AN224" s="35"/>
      <c r="AO224" s="35">
        <v>0</v>
      </c>
      <c r="AP224" s="35"/>
      <c r="AQ224" s="35">
        <v>0</v>
      </c>
      <c r="AR224" s="35"/>
      <c r="AS224" s="45">
        <f t="shared" si="28"/>
        <v>2986962</v>
      </c>
      <c r="AT224" s="45"/>
      <c r="AU224" s="35">
        <v>0</v>
      </c>
      <c r="AV224" s="35"/>
      <c r="AW224" s="35">
        <v>0</v>
      </c>
      <c r="AX224" s="35"/>
      <c r="AY224" s="35">
        <f t="shared" si="32"/>
        <v>7043707</v>
      </c>
      <c r="AZ224" s="53"/>
      <c r="BA224" s="55" t="s">
        <v>263</v>
      </c>
      <c r="BB224" s="55"/>
      <c r="BC224" s="55" t="s">
        <v>53</v>
      </c>
      <c r="BE224" s="35">
        <f>280000+30000</f>
        <v>310000</v>
      </c>
      <c r="BF224" s="35"/>
      <c r="BG224" s="35">
        <f>7134584+535000</f>
        <v>7669584</v>
      </c>
      <c r="BH224" s="35"/>
      <c r="BI224" s="35">
        <v>0</v>
      </c>
      <c r="BJ224" s="35"/>
      <c r="BK224" s="35">
        <f>796057+122481</f>
        <v>918538</v>
      </c>
      <c r="BL224" s="35"/>
      <c r="BM224" s="35">
        <f t="shared" si="34"/>
        <v>8898122</v>
      </c>
      <c r="BN224" s="35"/>
    </row>
    <row r="225" spans="1:67" ht="12.75" customHeight="1">
      <c r="A225" s="35" t="s">
        <v>264</v>
      </c>
      <c r="B225" s="55"/>
      <c r="C225" s="35" t="s">
        <v>239</v>
      </c>
      <c r="D225" s="35"/>
      <c r="E225" s="35">
        <f t="shared" si="29"/>
        <v>12666210</v>
      </c>
      <c r="F225" s="35"/>
      <c r="G225" s="35">
        <v>13367820</v>
      </c>
      <c r="H225" s="35"/>
      <c r="I225" s="35">
        <v>26034030</v>
      </c>
      <c r="J225" s="35"/>
      <c r="K225" s="35">
        <f t="shared" si="30"/>
        <v>1843013</v>
      </c>
      <c r="L225" s="35"/>
      <c r="M225" s="35">
        <v>249994</v>
      </c>
      <c r="N225" s="35"/>
      <c r="O225" s="35">
        <v>2093007</v>
      </c>
      <c r="P225" s="35"/>
      <c r="Q225" s="35">
        <v>13223978</v>
      </c>
      <c r="R225" s="35"/>
      <c r="S225" s="35">
        <v>0</v>
      </c>
      <c r="T225" s="35"/>
      <c r="U225" s="35">
        <v>10717045</v>
      </c>
      <c r="V225" s="35"/>
      <c r="W225" s="35">
        <f t="shared" si="31"/>
        <v>23941023</v>
      </c>
      <c r="X225" s="35"/>
      <c r="Y225" s="35" t="s">
        <v>264</v>
      </c>
      <c r="Z225" s="55"/>
      <c r="AA225" s="35" t="s">
        <v>239</v>
      </c>
      <c r="AB225" s="35"/>
      <c r="AC225" s="35">
        <v>14790636</v>
      </c>
      <c r="AD225" s="35"/>
      <c r="AE225" s="35">
        <f>13905406-282584</f>
        <v>13622822</v>
      </c>
      <c r="AF225" s="35"/>
      <c r="AG225" s="35">
        <v>282584</v>
      </c>
      <c r="AH225" s="35"/>
      <c r="AI225" s="45">
        <f t="shared" si="27"/>
        <v>885230</v>
      </c>
      <c r="AJ225" s="45"/>
      <c r="AK225" s="35">
        <v>54969</v>
      </c>
      <c r="AL225" s="35"/>
      <c r="AM225" s="35">
        <v>450000</v>
      </c>
      <c r="AN225" s="35"/>
      <c r="AO225" s="35">
        <v>33132</v>
      </c>
      <c r="AP225" s="35"/>
      <c r="AQ225" s="35">
        <v>0</v>
      </c>
      <c r="AR225" s="35"/>
      <c r="AS225" s="45">
        <f t="shared" si="28"/>
        <v>1357067</v>
      </c>
      <c r="AT225" s="45"/>
      <c r="AU225" s="35">
        <v>0</v>
      </c>
      <c r="AV225" s="35"/>
      <c r="AW225" s="35">
        <v>0</v>
      </c>
      <c r="AX225" s="35"/>
      <c r="AY225" s="35">
        <f t="shared" si="32"/>
        <v>10823197</v>
      </c>
      <c r="AZ225" s="35"/>
      <c r="BA225" s="35" t="s">
        <v>264</v>
      </c>
      <c r="BB225" s="55"/>
      <c r="BC225" s="35" t="s">
        <v>239</v>
      </c>
      <c r="BD225" s="35"/>
      <c r="BE225" s="35">
        <v>0</v>
      </c>
      <c r="BF225" s="35"/>
      <c r="BG225" s="35"/>
      <c r="BH225" s="35"/>
      <c r="BI225" s="35">
        <v>0</v>
      </c>
      <c r="BJ225" s="35"/>
      <c r="BK225" s="35">
        <f>249994+28418</f>
        <v>278412</v>
      </c>
      <c r="BL225" s="35"/>
      <c r="BM225" s="35">
        <f t="shared" si="34"/>
        <v>278412</v>
      </c>
      <c r="BN225" s="54" t="s">
        <v>347</v>
      </c>
    </row>
    <row r="226" spans="1:67" ht="12.75" hidden="1" customHeight="1">
      <c r="A226" s="35" t="s">
        <v>111</v>
      </c>
      <c r="C226" s="44" t="s">
        <v>80</v>
      </c>
      <c r="D226" s="44"/>
      <c r="E226" s="35">
        <f t="shared" si="29"/>
        <v>0</v>
      </c>
      <c r="F226" s="35"/>
      <c r="G226" s="35">
        <v>0</v>
      </c>
      <c r="H226" s="35"/>
      <c r="I226" s="35">
        <v>0</v>
      </c>
      <c r="J226" s="35"/>
      <c r="K226" s="35">
        <f t="shared" si="30"/>
        <v>0</v>
      </c>
      <c r="L226" s="35"/>
      <c r="M226" s="35">
        <v>0</v>
      </c>
      <c r="N226" s="35"/>
      <c r="O226" s="35">
        <v>0</v>
      </c>
      <c r="P226" s="35"/>
      <c r="Q226" s="35">
        <v>0</v>
      </c>
      <c r="R226" s="35"/>
      <c r="S226" s="35">
        <v>0</v>
      </c>
      <c r="T226" s="35"/>
      <c r="U226" s="35">
        <v>0</v>
      </c>
      <c r="V226" s="35"/>
      <c r="W226" s="35">
        <f t="shared" si="31"/>
        <v>0</v>
      </c>
      <c r="X226" s="35"/>
      <c r="Y226" s="35" t="s">
        <v>111</v>
      </c>
      <c r="Z226" s="55"/>
      <c r="AA226" s="44" t="s">
        <v>80</v>
      </c>
      <c r="AB226" s="44"/>
      <c r="AC226" s="35">
        <v>0</v>
      </c>
      <c r="AD226" s="35"/>
      <c r="AE226" s="35">
        <v>0</v>
      </c>
      <c r="AF226" s="35"/>
      <c r="AG226" s="35">
        <v>0</v>
      </c>
      <c r="AH226" s="35"/>
      <c r="AI226" s="45">
        <f t="shared" ref="AI226:AI233" si="35">+AC226-AE226-AG226</f>
        <v>0</v>
      </c>
      <c r="AJ226" s="45"/>
      <c r="AK226" s="35">
        <v>0</v>
      </c>
      <c r="AL226" s="35"/>
      <c r="AM226" s="35">
        <v>0</v>
      </c>
      <c r="AN226" s="35"/>
      <c r="AO226" s="35">
        <v>0</v>
      </c>
      <c r="AP226" s="35"/>
      <c r="AQ226" s="35">
        <v>0</v>
      </c>
      <c r="AR226" s="35"/>
      <c r="AS226" s="45">
        <f t="shared" si="28"/>
        <v>0</v>
      </c>
      <c r="AT226" s="45"/>
      <c r="AU226" s="35">
        <v>0</v>
      </c>
      <c r="AV226" s="35"/>
      <c r="AW226" s="35">
        <v>0</v>
      </c>
      <c r="AX226" s="35"/>
      <c r="AY226" s="35">
        <f t="shared" si="32"/>
        <v>0</v>
      </c>
      <c r="AZ226" s="35"/>
      <c r="BA226" s="35" t="s">
        <v>111</v>
      </c>
      <c r="BB226" s="55"/>
      <c r="BC226" s="44" t="s">
        <v>80</v>
      </c>
      <c r="BD226" s="44"/>
      <c r="BE226" s="35">
        <v>0</v>
      </c>
      <c r="BF226" s="35"/>
      <c r="BG226" s="35"/>
      <c r="BH226" s="35"/>
      <c r="BI226" s="35">
        <v>0</v>
      </c>
      <c r="BJ226" s="35"/>
      <c r="BK226" s="35">
        <v>0</v>
      </c>
      <c r="BL226" s="35"/>
      <c r="BM226" s="35">
        <f t="shared" si="34"/>
        <v>0</v>
      </c>
      <c r="BN226" s="54" t="s">
        <v>347</v>
      </c>
    </row>
    <row r="227" spans="1:67" ht="12.75" hidden="1" customHeight="1">
      <c r="A227" s="35" t="s">
        <v>265</v>
      </c>
      <c r="C227" s="44" t="s">
        <v>27</v>
      </c>
      <c r="D227" s="44"/>
      <c r="E227" s="35">
        <f t="shared" si="29"/>
        <v>0</v>
      </c>
      <c r="F227" s="35"/>
      <c r="G227" s="35">
        <v>0</v>
      </c>
      <c r="H227" s="35"/>
      <c r="I227" s="35">
        <v>0</v>
      </c>
      <c r="J227" s="35"/>
      <c r="K227" s="35">
        <f t="shared" si="30"/>
        <v>0</v>
      </c>
      <c r="L227" s="35"/>
      <c r="M227" s="35">
        <v>0</v>
      </c>
      <c r="N227" s="35"/>
      <c r="O227" s="35">
        <v>0</v>
      </c>
      <c r="P227" s="35"/>
      <c r="Q227" s="35">
        <v>0</v>
      </c>
      <c r="R227" s="35"/>
      <c r="S227" s="35">
        <v>0</v>
      </c>
      <c r="T227" s="35"/>
      <c r="U227" s="35">
        <v>0</v>
      </c>
      <c r="V227" s="35"/>
      <c r="W227" s="35">
        <f t="shared" si="31"/>
        <v>0</v>
      </c>
      <c r="X227" s="35"/>
      <c r="Y227" s="35" t="s">
        <v>265</v>
      </c>
      <c r="Z227" s="55"/>
      <c r="AA227" s="44" t="s">
        <v>27</v>
      </c>
      <c r="AB227" s="44"/>
      <c r="AC227" s="35">
        <v>0</v>
      </c>
      <c r="AD227" s="35"/>
      <c r="AE227" s="35">
        <v>0</v>
      </c>
      <c r="AF227" s="35"/>
      <c r="AG227" s="35">
        <v>0</v>
      </c>
      <c r="AH227" s="35"/>
      <c r="AI227" s="45">
        <f t="shared" si="35"/>
        <v>0</v>
      </c>
      <c r="AJ227" s="45"/>
      <c r="AK227" s="35">
        <v>0</v>
      </c>
      <c r="AL227" s="35"/>
      <c r="AM227" s="35">
        <v>0</v>
      </c>
      <c r="AN227" s="35"/>
      <c r="AO227" s="35">
        <v>0</v>
      </c>
      <c r="AP227" s="35"/>
      <c r="AQ227" s="35">
        <v>0</v>
      </c>
      <c r="AR227" s="35"/>
      <c r="AS227" s="45">
        <f t="shared" si="28"/>
        <v>0</v>
      </c>
      <c r="AT227" s="45"/>
      <c r="AU227" s="35">
        <v>0</v>
      </c>
      <c r="AV227" s="35"/>
      <c r="AW227" s="35">
        <v>0</v>
      </c>
      <c r="AX227" s="35"/>
      <c r="AY227" s="35">
        <f t="shared" si="32"/>
        <v>0</v>
      </c>
      <c r="AZ227" s="35"/>
      <c r="BA227" s="35" t="s">
        <v>265</v>
      </c>
      <c r="BB227" s="55"/>
      <c r="BC227" s="44" t="s">
        <v>27</v>
      </c>
      <c r="BD227" s="44"/>
      <c r="BE227" s="35">
        <v>0</v>
      </c>
      <c r="BF227" s="35"/>
      <c r="BG227" s="35"/>
      <c r="BH227" s="35"/>
      <c r="BI227" s="35">
        <v>0</v>
      </c>
      <c r="BJ227" s="35"/>
      <c r="BK227" s="35">
        <v>0</v>
      </c>
      <c r="BL227" s="35"/>
      <c r="BM227" s="35">
        <f t="shared" si="34"/>
        <v>0</v>
      </c>
      <c r="BN227" s="54" t="s">
        <v>347</v>
      </c>
    </row>
    <row r="228" spans="1:67" ht="12.75" hidden="1" customHeight="1">
      <c r="A228" s="35" t="s">
        <v>40</v>
      </c>
      <c r="C228" s="47" t="s">
        <v>451</v>
      </c>
      <c r="D228" s="35"/>
      <c r="E228" s="35">
        <f t="shared" si="29"/>
        <v>0</v>
      </c>
      <c r="F228" s="35"/>
      <c r="G228" s="35">
        <v>0</v>
      </c>
      <c r="H228" s="35"/>
      <c r="I228" s="35">
        <v>0</v>
      </c>
      <c r="J228" s="35"/>
      <c r="K228" s="35">
        <f t="shared" si="30"/>
        <v>0</v>
      </c>
      <c r="L228" s="35"/>
      <c r="M228" s="35">
        <v>0</v>
      </c>
      <c r="N228" s="35"/>
      <c r="O228" s="35">
        <v>0</v>
      </c>
      <c r="P228" s="35"/>
      <c r="Q228" s="35">
        <v>0</v>
      </c>
      <c r="R228" s="35"/>
      <c r="S228" s="35">
        <v>0</v>
      </c>
      <c r="T228" s="35"/>
      <c r="U228" s="35">
        <v>0</v>
      </c>
      <c r="V228" s="35"/>
      <c r="W228" s="35">
        <f t="shared" si="31"/>
        <v>0</v>
      </c>
      <c r="X228" s="35"/>
      <c r="Y228" s="35" t="s">
        <v>40</v>
      </c>
      <c r="Z228" s="55"/>
      <c r="AA228" s="47" t="s">
        <v>451</v>
      </c>
      <c r="AB228" s="35"/>
      <c r="AC228" s="35">
        <v>0</v>
      </c>
      <c r="AD228" s="35"/>
      <c r="AE228" s="35">
        <v>0</v>
      </c>
      <c r="AF228" s="35"/>
      <c r="AG228" s="35">
        <v>0</v>
      </c>
      <c r="AH228" s="35"/>
      <c r="AI228" s="45">
        <f t="shared" si="35"/>
        <v>0</v>
      </c>
      <c r="AJ228" s="45"/>
      <c r="AK228" s="35">
        <v>0</v>
      </c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28"/>
        <v>0</v>
      </c>
      <c r="AT228" s="45"/>
      <c r="AU228" s="35">
        <v>0</v>
      </c>
      <c r="AV228" s="35"/>
      <c r="AW228" s="35">
        <v>0</v>
      </c>
      <c r="AX228" s="35"/>
      <c r="AY228" s="35">
        <f t="shared" si="32"/>
        <v>0</v>
      </c>
      <c r="AZ228" s="35"/>
      <c r="BA228" s="35" t="s">
        <v>40</v>
      </c>
      <c r="BB228" s="55"/>
      <c r="BC228" s="47" t="s">
        <v>451</v>
      </c>
      <c r="BD228" s="35"/>
      <c r="BE228" s="35">
        <v>0</v>
      </c>
      <c r="BF228" s="35"/>
      <c r="BG228" s="35"/>
      <c r="BH228" s="35"/>
      <c r="BI228" s="35">
        <v>0</v>
      </c>
      <c r="BJ228" s="35"/>
      <c r="BK228" s="35">
        <v>0</v>
      </c>
      <c r="BL228" s="35"/>
      <c r="BM228" s="35">
        <f t="shared" si="34"/>
        <v>0</v>
      </c>
      <c r="BN228" s="54" t="s">
        <v>347</v>
      </c>
    </row>
    <row r="229" spans="1:67" ht="12.75" hidden="1" customHeight="1">
      <c r="A229" s="35" t="s">
        <v>266</v>
      </c>
      <c r="C229" s="35" t="s">
        <v>267</v>
      </c>
      <c r="D229" s="35"/>
      <c r="E229" s="35">
        <f t="shared" si="29"/>
        <v>0</v>
      </c>
      <c r="F229" s="35"/>
      <c r="G229" s="35">
        <v>0</v>
      </c>
      <c r="H229" s="35"/>
      <c r="I229" s="35">
        <v>0</v>
      </c>
      <c r="J229" s="35"/>
      <c r="K229" s="35">
        <f t="shared" si="30"/>
        <v>0</v>
      </c>
      <c r="L229" s="35"/>
      <c r="M229" s="35">
        <v>0</v>
      </c>
      <c r="N229" s="35"/>
      <c r="O229" s="35">
        <v>0</v>
      </c>
      <c r="P229" s="35"/>
      <c r="Q229" s="35">
        <v>0</v>
      </c>
      <c r="R229" s="35"/>
      <c r="S229" s="35">
        <v>0</v>
      </c>
      <c r="T229" s="35"/>
      <c r="U229" s="35">
        <v>0</v>
      </c>
      <c r="V229" s="35"/>
      <c r="W229" s="35">
        <f t="shared" si="31"/>
        <v>0</v>
      </c>
      <c r="X229" s="35"/>
      <c r="Y229" s="35" t="s">
        <v>266</v>
      </c>
      <c r="Z229" s="55"/>
      <c r="AA229" s="35" t="s">
        <v>267</v>
      </c>
      <c r="AB229" s="35"/>
      <c r="AC229" s="35">
        <v>0</v>
      </c>
      <c r="AD229" s="35"/>
      <c r="AE229" s="35">
        <v>0</v>
      </c>
      <c r="AF229" s="35"/>
      <c r="AG229" s="35">
        <v>0</v>
      </c>
      <c r="AH229" s="35"/>
      <c r="AI229" s="45">
        <f t="shared" si="35"/>
        <v>0</v>
      </c>
      <c r="AJ229" s="45"/>
      <c r="AK229" s="35">
        <v>0</v>
      </c>
      <c r="AL229" s="35"/>
      <c r="AM229" s="35">
        <v>0</v>
      </c>
      <c r="AN229" s="35"/>
      <c r="AO229" s="35">
        <v>0</v>
      </c>
      <c r="AP229" s="35"/>
      <c r="AQ229" s="35">
        <v>0</v>
      </c>
      <c r="AR229" s="35"/>
      <c r="AS229" s="45">
        <f t="shared" si="28"/>
        <v>0</v>
      </c>
      <c r="AT229" s="45"/>
      <c r="AU229" s="35">
        <v>0</v>
      </c>
      <c r="AV229" s="35"/>
      <c r="AW229" s="35">
        <v>0</v>
      </c>
      <c r="AX229" s="35"/>
      <c r="AY229" s="35">
        <f t="shared" si="32"/>
        <v>0</v>
      </c>
      <c r="AZ229" s="35"/>
      <c r="BA229" s="35" t="s">
        <v>266</v>
      </c>
      <c r="BB229" s="55"/>
      <c r="BC229" s="35" t="s">
        <v>267</v>
      </c>
      <c r="BD229" s="35"/>
      <c r="BE229" s="35">
        <v>0</v>
      </c>
      <c r="BF229" s="35"/>
      <c r="BG229" s="35"/>
      <c r="BH229" s="35"/>
      <c r="BI229" s="35">
        <v>0</v>
      </c>
      <c r="BJ229" s="35"/>
      <c r="BK229" s="35">
        <v>0</v>
      </c>
      <c r="BL229" s="35"/>
      <c r="BM229" s="35">
        <f t="shared" si="34"/>
        <v>0</v>
      </c>
      <c r="BN229" s="54" t="s">
        <v>347</v>
      </c>
    </row>
    <row r="230" spans="1:67" ht="12.75" hidden="1" customHeight="1">
      <c r="A230" s="35" t="s">
        <v>268</v>
      </c>
      <c r="C230" s="35" t="s">
        <v>269</v>
      </c>
      <c r="D230" s="35"/>
      <c r="E230" s="35">
        <f t="shared" si="29"/>
        <v>0</v>
      </c>
      <c r="F230" s="35"/>
      <c r="G230" s="35">
        <v>0</v>
      </c>
      <c r="H230" s="35"/>
      <c r="I230" s="35">
        <v>0</v>
      </c>
      <c r="J230" s="35"/>
      <c r="K230" s="35">
        <f t="shared" si="30"/>
        <v>0</v>
      </c>
      <c r="L230" s="35"/>
      <c r="M230" s="35">
        <v>0</v>
      </c>
      <c r="N230" s="35"/>
      <c r="O230" s="35">
        <v>0</v>
      </c>
      <c r="P230" s="35"/>
      <c r="Q230" s="35">
        <v>0</v>
      </c>
      <c r="R230" s="35"/>
      <c r="S230" s="35">
        <v>0</v>
      </c>
      <c r="T230" s="35"/>
      <c r="U230" s="35">
        <v>0</v>
      </c>
      <c r="V230" s="35"/>
      <c r="W230" s="35">
        <f t="shared" si="31"/>
        <v>0</v>
      </c>
      <c r="X230" s="35"/>
      <c r="Y230" s="35" t="s">
        <v>268</v>
      </c>
      <c r="Z230" s="55"/>
      <c r="AA230" s="35" t="s">
        <v>269</v>
      </c>
      <c r="AB230" s="35"/>
      <c r="AC230" s="35">
        <v>0</v>
      </c>
      <c r="AD230" s="35"/>
      <c r="AE230" s="35">
        <v>0</v>
      </c>
      <c r="AF230" s="35"/>
      <c r="AG230" s="35">
        <v>0</v>
      </c>
      <c r="AH230" s="35"/>
      <c r="AI230" s="45">
        <f t="shared" si="35"/>
        <v>0</v>
      </c>
      <c r="AJ230" s="45"/>
      <c r="AK230" s="35">
        <v>0</v>
      </c>
      <c r="AL230" s="35"/>
      <c r="AM230" s="35">
        <v>0</v>
      </c>
      <c r="AN230" s="35"/>
      <c r="AO230" s="35">
        <v>0</v>
      </c>
      <c r="AP230" s="35"/>
      <c r="AQ230" s="35">
        <v>0</v>
      </c>
      <c r="AR230" s="35"/>
      <c r="AS230" s="45">
        <f t="shared" ref="AS230:AS233" si="36">+AI230+AK230+AM230-AO230+AQ230</f>
        <v>0</v>
      </c>
      <c r="AT230" s="45"/>
      <c r="AU230" s="35">
        <v>0</v>
      </c>
      <c r="AV230" s="35"/>
      <c r="AW230" s="35">
        <v>0</v>
      </c>
      <c r="AX230" s="35"/>
      <c r="AY230" s="35">
        <f t="shared" si="32"/>
        <v>0</v>
      </c>
      <c r="AZ230" s="35"/>
      <c r="BA230" s="35" t="s">
        <v>268</v>
      </c>
      <c r="BB230" s="55"/>
      <c r="BC230" s="35" t="s">
        <v>269</v>
      </c>
      <c r="BD230" s="35"/>
      <c r="BE230" s="35">
        <v>0</v>
      </c>
      <c r="BF230" s="35"/>
      <c r="BG230" s="35"/>
      <c r="BH230" s="35"/>
      <c r="BI230" s="35">
        <v>0</v>
      </c>
      <c r="BJ230" s="35"/>
      <c r="BK230" s="35">
        <v>0</v>
      </c>
      <c r="BL230" s="35"/>
      <c r="BM230" s="35">
        <v>0</v>
      </c>
      <c r="BN230" s="54" t="s">
        <v>347</v>
      </c>
    </row>
    <row r="231" spans="1:67" ht="12.75" hidden="1" customHeight="1">
      <c r="A231" s="35" t="s">
        <v>270</v>
      </c>
      <c r="C231" s="35" t="s">
        <v>136</v>
      </c>
      <c r="D231" s="35"/>
      <c r="E231" s="35">
        <f t="shared" ref="E231:E233" si="37">I231-G231</f>
        <v>0</v>
      </c>
      <c r="F231" s="35"/>
      <c r="G231" s="35">
        <v>0</v>
      </c>
      <c r="H231" s="35"/>
      <c r="I231" s="35">
        <v>0</v>
      </c>
      <c r="J231" s="35"/>
      <c r="K231" s="35">
        <f t="shared" ref="K231:K233" si="38">O231-M231</f>
        <v>0</v>
      </c>
      <c r="L231" s="35"/>
      <c r="M231" s="35">
        <v>0</v>
      </c>
      <c r="N231" s="35"/>
      <c r="O231" s="35">
        <v>0</v>
      </c>
      <c r="P231" s="35"/>
      <c r="Q231" s="35">
        <v>0</v>
      </c>
      <c r="R231" s="35"/>
      <c r="S231" s="35">
        <v>0</v>
      </c>
      <c r="T231" s="35"/>
      <c r="U231" s="35">
        <v>0</v>
      </c>
      <c r="V231" s="35"/>
      <c r="W231" s="35">
        <f t="shared" ref="W231:W233" si="39">SUM(Q231:U231)</f>
        <v>0</v>
      </c>
      <c r="X231" s="35"/>
      <c r="Y231" s="35" t="s">
        <v>270</v>
      </c>
      <c r="Z231" s="55"/>
      <c r="AA231" s="35" t="s">
        <v>136</v>
      </c>
      <c r="AB231" s="35"/>
      <c r="AC231" s="35">
        <v>0</v>
      </c>
      <c r="AD231" s="35"/>
      <c r="AE231" s="35">
        <v>0</v>
      </c>
      <c r="AF231" s="35"/>
      <c r="AG231" s="35">
        <v>0</v>
      </c>
      <c r="AH231" s="35"/>
      <c r="AI231" s="45">
        <f t="shared" si="35"/>
        <v>0</v>
      </c>
      <c r="AJ231" s="45"/>
      <c r="AK231" s="35">
        <v>0</v>
      </c>
      <c r="AL231" s="35"/>
      <c r="AM231" s="35">
        <v>0</v>
      </c>
      <c r="AN231" s="35"/>
      <c r="AO231" s="35">
        <v>0</v>
      </c>
      <c r="AP231" s="35"/>
      <c r="AQ231" s="35">
        <v>0</v>
      </c>
      <c r="AR231" s="35"/>
      <c r="AS231" s="45">
        <f t="shared" si="36"/>
        <v>0</v>
      </c>
      <c r="AT231" s="45"/>
      <c r="AU231" s="35">
        <v>0</v>
      </c>
      <c r="AV231" s="35"/>
      <c r="AW231" s="35">
        <v>0</v>
      </c>
      <c r="AX231" s="35"/>
      <c r="AY231" s="35">
        <f t="shared" ref="AY231:AY233" si="40">+E231-K231</f>
        <v>0</v>
      </c>
      <c r="AZ231" s="35"/>
      <c r="BA231" s="35" t="s">
        <v>270</v>
      </c>
      <c r="BB231" s="55"/>
      <c r="BC231" s="35" t="s">
        <v>136</v>
      </c>
      <c r="BD231" s="35"/>
      <c r="BE231" s="35">
        <v>0</v>
      </c>
      <c r="BF231" s="35"/>
      <c r="BG231" s="35"/>
      <c r="BH231" s="35"/>
      <c r="BI231" s="35">
        <v>0</v>
      </c>
      <c r="BJ231" s="35"/>
      <c r="BK231" s="35">
        <v>0</v>
      </c>
      <c r="BL231" s="35"/>
      <c r="BM231" s="35">
        <f t="shared" ref="BM231:BM247" si="41">SUM(BE231:BK231)</f>
        <v>0</v>
      </c>
      <c r="BN231" s="54" t="s">
        <v>347</v>
      </c>
    </row>
    <row r="232" spans="1:67" ht="12.75" hidden="1" customHeight="1">
      <c r="A232" s="35" t="s">
        <v>271</v>
      </c>
      <c r="C232" s="35" t="s">
        <v>66</v>
      </c>
      <c r="D232" s="35"/>
      <c r="E232" s="35">
        <f t="shared" si="37"/>
        <v>0</v>
      </c>
      <c r="F232" s="35"/>
      <c r="G232" s="35">
        <v>0</v>
      </c>
      <c r="H232" s="35"/>
      <c r="I232" s="35">
        <v>0</v>
      </c>
      <c r="J232" s="35"/>
      <c r="K232" s="35">
        <f t="shared" si="38"/>
        <v>0</v>
      </c>
      <c r="L232" s="35"/>
      <c r="M232" s="35">
        <v>0</v>
      </c>
      <c r="N232" s="35"/>
      <c r="O232" s="35">
        <v>0</v>
      </c>
      <c r="P232" s="35"/>
      <c r="Q232" s="35">
        <v>0</v>
      </c>
      <c r="R232" s="35"/>
      <c r="S232" s="35">
        <v>0</v>
      </c>
      <c r="T232" s="35"/>
      <c r="U232" s="35">
        <v>0</v>
      </c>
      <c r="V232" s="35"/>
      <c r="W232" s="35">
        <f t="shared" si="39"/>
        <v>0</v>
      </c>
      <c r="X232" s="35"/>
      <c r="Y232" s="35" t="s">
        <v>271</v>
      </c>
      <c r="Z232" s="55"/>
      <c r="AA232" s="35" t="s">
        <v>66</v>
      </c>
      <c r="AB232" s="35"/>
      <c r="AC232" s="35">
        <v>0</v>
      </c>
      <c r="AD232" s="35"/>
      <c r="AE232" s="35">
        <v>0</v>
      </c>
      <c r="AF232" s="35"/>
      <c r="AG232" s="35">
        <v>0</v>
      </c>
      <c r="AH232" s="35"/>
      <c r="AI232" s="45">
        <f t="shared" si="35"/>
        <v>0</v>
      </c>
      <c r="AJ232" s="45"/>
      <c r="AK232" s="35">
        <v>0</v>
      </c>
      <c r="AL232" s="35"/>
      <c r="AM232" s="35">
        <v>0</v>
      </c>
      <c r="AN232" s="35"/>
      <c r="AO232" s="35">
        <v>0</v>
      </c>
      <c r="AP232" s="35"/>
      <c r="AQ232" s="35">
        <v>0</v>
      </c>
      <c r="AR232" s="35"/>
      <c r="AS232" s="45">
        <f t="shared" si="36"/>
        <v>0</v>
      </c>
      <c r="AT232" s="45"/>
      <c r="AU232" s="35">
        <v>0</v>
      </c>
      <c r="AV232" s="35"/>
      <c r="AW232" s="35">
        <v>0</v>
      </c>
      <c r="AX232" s="35"/>
      <c r="AY232" s="35">
        <f t="shared" si="40"/>
        <v>0</v>
      </c>
      <c r="AZ232" s="35"/>
      <c r="BA232" s="35" t="s">
        <v>271</v>
      </c>
      <c r="BB232" s="55"/>
      <c r="BC232" s="35" t="s">
        <v>66</v>
      </c>
      <c r="BD232" s="35"/>
      <c r="BE232" s="35">
        <v>0</v>
      </c>
      <c r="BF232" s="35"/>
      <c r="BG232" s="35"/>
      <c r="BH232" s="35"/>
      <c r="BI232" s="35">
        <v>0</v>
      </c>
      <c r="BJ232" s="35"/>
      <c r="BK232" s="35">
        <v>0</v>
      </c>
      <c r="BL232" s="35"/>
      <c r="BM232" s="35">
        <f t="shared" si="41"/>
        <v>0</v>
      </c>
      <c r="BN232" s="54" t="s">
        <v>347</v>
      </c>
    </row>
    <row r="233" spans="1:67" ht="12.75" customHeight="1">
      <c r="A233" s="35" t="s">
        <v>272</v>
      </c>
      <c r="C233" s="35" t="s">
        <v>43</v>
      </c>
      <c r="D233" s="35"/>
      <c r="E233" s="35">
        <f t="shared" si="37"/>
        <v>23301874</v>
      </c>
      <c r="F233" s="35"/>
      <c r="G233" s="35">
        <v>58360492</v>
      </c>
      <c r="H233" s="35"/>
      <c r="I233" s="35">
        <v>81662366</v>
      </c>
      <c r="J233" s="35"/>
      <c r="K233" s="35">
        <f t="shared" si="38"/>
        <v>5425121</v>
      </c>
      <c r="L233" s="35"/>
      <c r="M233" s="35">
        <v>22462232</v>
      </c>
      <c r="N233" s="35"/>
      <c r="O233" s="35">
        <v>27887353</v>
      </c>
      <c r="P233" s="35"/>
      <c r="Q233" s="35">
        <v>34647450</v>
      </c>
      <c r="R233" s="35"/>
      <c r="S233" s="35">
        <v>0</v>
      </c>
      <c r="T233" s="35"/>
      <c r="U233" s="35">
        <v>19087563</v>
      </c>
      <c r="V233" s="35"/>
      <c r="W233" s="35">
        <f t="shared" si="39"/>
        <v>53735013</v>
      </c>
      <c r="X233" s="35"/>
      <c r="Y233" s="35" t="s">
        <v>272</v>
      </c>
      <c r="Z233" s="55"/>
      <c r="AA233" s="35" t="s">
        <v>43</v>
      </c>
      <c r="AB233" s="35"/>
      <c r="AC233" s="35">
        <v>45248433</v>
      </c>
      <c r="AD233" s="35"/>
      <c r="AE233" s="35">
        <f>38770447-2301457</f>
        <v>36468990</v>
      </c>
      <c r="AF233" s="35"/>
      <c r="AG233" s="35">
        <v>2301457</v>
      </c>
      <c r="AH233" s="35"/>
      <c r="AI233" s="45">
        <f t="shared" si="35"/>
        <v>6477986</v>
      </c>
      <c r="AJ233" s="45"/>
      <c r="AK233" s="35">
        <f>-1282434+3000</f>
        <v>-1279434</v>
      </c>
      <c r="AL233" s="35"/>
      <c r="AM233" s="35">
        <v>0</v>
      </c>
      <c r="AN233" s="35"/>
      <c r="AO233" s="35">
        <v>0</v>
      </c>
      <c r="AP233" s="35"/>
      <c r="AQ233" s="35">
        <v>0</v>
      </c>
      <c r="AR233" s="35"/>
      <c r="AS233" s="45">
        <f t="shared" si="36"/>
        <v>5198552</v>
      </c>
      <c r="AT233" s="45"/>
      <c r="AU233" s="35">
        <v>0</v>
      </c>
      <c r="AV233" s="35"/>
      <c r="AW233" s="35">
        <v>0</v>
      </c>
      <c r="AX233" s="35"/>
      <c r="AY233" s="35">
        <f t="shared" si="40"/>
        <v>17876753</v>
      </c>
      <c r="AZ233" s="35"/>
      <c r="BA233" s="35" t="s">
        <v>272</v>
      </c>
      <c r="BB233" s="55"/>
      <c r="BC233" s="35" t="s">
        <v>43</v>
      </c>
      <c r="BD233" s="35"/>
      <c r="BE233" s="35">
        <f>22298256+1054925</f>
        <v>23353181</v>
      </c>
      <c r="BF233" s="35"/>
      <c r="BG233" s="35"/>
      <c r="BH233" s="35"/>
      <c r="BI233" s="35">
        <v>0</v>
      </c>
      <c r="BJ233" s="35"/>
      <c r="BK233" s="35">
        <f>163976+270525</f>
        <v>434501</v>
      </c>
      <c r="BL233" s="35"/>
      <c r="BM233" s="35">
        <f t="shared" si="41"/>
        <v>23787682</v>
      </c>
      <c r="BN233" s="54" t="s">
        <v>347</v>
      </c>
    </row>
    <row r="234" spans="1:67" ht="12.75" hidden="1" customHeight="1">
      <c r="A234" s="35" t="s">
        <v>273</v>
      </c>
      <c r="C234" s="35" t="s">
        <v>27</v>
      </c>
      <c r="D234" s="35"/>
      <c r="E234" s="35">
        <f t="shared" ref="E234:E247" si="42">I234-G234</f>
        <v>0</v>
      </c>
      <c r="F234" s="35"/>
      <c r="G234" s="35">
        <v>0</v>
      </c>
      <c r="H234" s="35"/>
      <c r="I234" s="35">
        <v>0</v>
      </c>
      <c r="J234" s="35"/>
      <c r="K234" s="35">
        <f t="shared" ref="K234:K247" si="43">O234-M234</f>
        <v>0</v>
      </c>
      <c r="L234" s="35"/>
      <c r="M234" s="35">
        <v>0</v>
      </c>
      <c r="N234" s="35"/>
      <c r="O234" s="35">
        <v>0</v>
      </c>
      <c r="P234" s="35"/>
      <c r="Q234" s="35">
        <v>0</v>
      </c>
      <c r="R234" s="35"/>
      <c r="S234" s="35">
        <v>0</v>
      </c>
      <c r="T234" s="35"/>
      <c r="U234" s="35">
        <v>0</v>
      </c>
      <c r="V234" s="35"/>
      <c r="W234" s="35">
        <f t="shared" ref="W234:W247" si="44">SUM(Q234:U234)</f>
        <v>0</v>
      </c>
      <c r="X234" s="35"/>
      <c r="Y234" s="35" t="s">
        <v>273</v>
      </c>
      <c r="Z234" s="55"/>
      <c r="AA234" s="35" t="s">
        <v>27</v>
      </c>
      <c r="AB234" s="35"/>
      <c r="AC234" s="35">
        <v>0</v>
      </c>
      <c r="AD234" s="35"/>
      <c r="AE234" s="35">
        <v>0</v>
      </c>
      <c r="AF234" s="35"/>
      <c r="AG234" s="35">
        <v>0</v>
      </c>
      <c r="AH234" s="35"/>
      <c r="AI234" s="45">
        <f>+AC234-AE234-AG234</f>
        <v>0</v>
      </c>
      <c r="AJ234" s="45"/>
      <c r="AK234" s="35">
        <v>0</v>
      </c>
      <c r="AL234" s="35"/>
      <c r="AM234" s="35">
        <v>0</v>
      </c>
      <c r="AN234" s="35"/>
      <c r="AO234" s="35">
        <v>0</v>
      </c>
      <c r="AP234" s="35"/>
      <c r="AQ234" s="35">
        <v>0</v>
      </c>
      <c r="AR234" s="35"/>
      <c r="AS234" s="45">
        <f t="shared" ref="AS234:AS239" si="45">+AI234+AK234+AM234-AO234+AQ234</f>
        <v>0</v>
      </c>
      <c r="AT234" s="45"/>
      <c r="AU234" s="35">
        <v>0</v>
      </c>
      <c r="AV234" s="35"/>
      <c r="AW234" s="35">
        <v>0</v>
      </c>
      <c r="AX234" s="35"/>
      <c r="AY234" s="35">
        <f t="shared" ref="AY234:AY237" si="46">+E234-K234</f>
        <v>0</v>
      </c>
      <c r="AZ234" s="35"/>
      <c r="BA234" s="35" t="s">
        <v>273</v>
      </c>
      <c r="BB234" s="55"/>
      <c r="BC234" s="35" t="s">
        <v>27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>
        <f t="shared" si="41"/>
        <v>0</v>
      </c>
      <c r="BN234" s="54" t="s">
        <v>347</v>
      </c>
    </row>
    <row r="235" spans="1:67" ht="12.75" hidden="1" customHeight="1">
      <c r="A235" s="35" t="s">
        <v>274</v>
      </c>
      <c r="C235" s="35" t="s">
        <v>43</v>
      </c>
      <c r="D235" s="35"/>
      <c r="E235" s="35">
        <f t="shared" si="42"/>
        <v>0</v>
      </c>
      <c r="F235" s="35"/>
      <c r="G235" s="35">
        <v>0</v>
      </c>
      <c r="H235" s="35"/>
      <c r="I235" s="35">
        <v>0</v>
      </c>
      <c r="J235" s="35"/>
      <c r="K235" s="35">
        <f t="shared" si="43"/>
        <v>0</v>
      </c>
      <c r="L235" s="35"/>
      <c r="M235" s="35">
        <v>0</v>
      </c>
      <c r="N235" s="35"/>
      <c r="O235" s="35">
        <v>0</v>
      </c>
      <c r="P235" s="35"/>
      <c r="Q235" s="35">
        <v>0</v>
      </c>
      <c r="R235" s="35"/>
      <c r="S235" s="35">
        <v>0</v>
      </c>
      <c r="T235" s="35"/>
      <c r="U235" s="35">
        <v>0</v>
      </c>
      <c r="V235" s="35"/>
      <c r="W235" s="35">
        <f t="shared" si="44"/>
        <v>0</v>
      </c>
      <c r="X235" s="35"/>
      <c r="Y235" s="35" t="s">
        <v>274</v>
      </c>
      <c r="Z235" s="55"/>
      <c r="AA235" s="35" t="s">
        <v>43</v>
      </c>
      <c r="AB235" s="35"/>
      <c r="AC235" s="35">
        <v>0</v>
      </c>
      <c r="AD235" s="35"/>
      <c r="AE235" s="35">
        <v>0</v>
      </c>
      <c r="AF235" s="35"/>
      <c r="AG235" s="35">
        <v>0</v>
      </c>
      <c r="AH235" s="35"/>
      <c r="AI235" s="45">
        <v>0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si="45"/>
        <v>0</v>
      </c>
      <c r="AT235" s="45"/>
      <c r="AU235" s="35">
        <v>0</v>
      </c>
      <c r="AV235" s="35"/>
      <c r="AW235" s="35">
        <v>0</v>
      </c>
      <c r="AX235" s="35"/>
      <c r="AY235" s="35">
        <f t="shared" si="46"/>
        <v>0</v>
      </c>
      <c r="AZ235" s="35"/>
      <c r="BA235" s="35" t="s">
        <v>274</v>
      </c>
      <c r="BB235" s="55"/>
      <c r="BC235" s="35" t="s">
        <v>43</v>
      </c>
      <c r="BD235" s="35"/>
      <c r="BE235" s="35"/>
      <c r="BF235" s="35"/>
      <c r="BG235" s="35"/>
      <c r="BH235" s="35"/>
      <c r="BI235" s="35"/>
      <c r="BJ235" s="35"/>
      <c r="BK235" s="35"/>
      <c r="BL235" s="35"/>
      <c r="BM235" s="35">
        <f t="shared" si="41"/>
        <v>0</v>
      </c>
      <c r="BN235" s="54" t="s">
        <v>347</v>
      </c>
    </row>
    <row r="236" spans="1:67" ht="12.75" hidden="1" customHeight="1">
      <c r="A236" s="35" t="s">
        <v>275</v>
      </c>
      <c r="C236" s="35" t="s">
        <v>92</v>
      </c>
      <c r="D236" s="35"/>
      <c r="E236" s="35">
        <f t="shared" si="42"/>
        <v>0</v>
      </c>
      <c r="F236" s="35"/>
      <c r="G236" s="35">
        <v>0</v>
      </c>
      <c r="H236" s="35"/>
      <c r="I236" s="35">
        <v>0</v>
      </c>
      <c r="J236" s="35"/>
      <c r="K236" s="35">
        <f t="shared" si="43"/>
        <v>0</v>
      </c>
      <c r="L236" s="35"/>
      <c r="M236" s="35">
        <v>0</v>
      </c>
      <c r="N236" s="35"/>
      <c r="O236" s="35">
        <v>0</v>
      </c>
      <c r="P236" s="35"/>
      <c r="Q236" s="35">
        <v>0</v>
      </c>
      <c r="R236" s="35"/>
      <c r="S236" s="35">
        <v>0</v>
      </c>
      <c r="T236" s="35"/>
      <c r="U236" s="35">
        <v>0</v>
      </c>
      <c r="V236" s="35"/>
      <c r="W236" s="35">
        <f t="shared" si="44"/>
        <v>0</v>
      </c>
      <c r="X236" s="35"/>
      <c r="Y236" s="35" t="s">
        <v>275</v>
      </c>
      <c r="Z236" s="55"/>
      <c r="AA236" s="35" t="s">
        <v>92</v>
      </c>
      <c r="AB236" s="35"/>
      <c r="AC236" s="35">
        <v>0</v>
      </c>
      <c r="AD236" s="35"/>
      <c r="AE236" s="35">
        <v>0</v>
      </c>
      <c r="AF236" s="35"/>
      <c r="AG236" s="35">
        <v>0</v>
      </c>
      <c r="AH236" s="35"/>
      <c r="AI236" s="45">
        <f t="shared" ref="AI236:AI243" si="47">+AC236-AE236-AG236</f>
        <v>0</v>
      </c>
      <c r="AJ236" s="45"/>
      <c r="AK236" s="35">
        <v>0</v>
      </c>
      <c r="AL236" s="35"/>
      <c r="AM236" s="35">
        <v>0</v>
      </c>
      <c r="AN236" s="35"/>
      <c r="AO236" s="35">
        <v>0</v>
      </c>
      <c r="AP236" s="35"/>
      <c r="AQ236" s="35">
        <v>0</v>
      </c>
      <c r="AR236" s="35"/>
      <c r="AS236" s="45">
        <f t="shared" si="45"/>
        <v>0</v>
      </c>
      <c r="AT236" s="45"/>
      <c r="AU236" s="35">
        <v>0</v>
      </c>
      <c r="AV236" s="35"/>
      <c r="AW236" s="35">
        <v>0</v>
      </c>
      <c r="AX236" s="35"/>
      <c r="AY236" s="35">
        <f t="shared" si="46"/>
        <v>0</v>
      </c>
      <c r="AZ236" s="35"/>
      <c r="BA236" s="35" t="s">
        <v>275</v>
      </c>
      <c r="BB236" s="55"/>
      <c r="BC236" s="35" t="s">
        <v>92</v>
      </c>
      <c r="BD236" s="35"/>
      <c r="BE236" s="35"/>
      <c r="BF236" s="35"/>
      <c r="BG236" s="35"/>
      <c r="BH236" s="35"/>
      <c r="BI236" s="35"/>
      <c r="BJ236" s="35"/>
      <c r="BK236" s="35"/>
      <c r="BL236" s="35"/>
      <c r="BM236" s="35">
        <f t="shared" si="41"/>
        <v>0</v>
      </c>
      <c r="BN236" s="54" t="s">
        <v>347</v>
      </c>
    </row>
    <row r="237" spans="1:67" ht="12.75" hidden="1" customHeight="1">
      <c r="A237" s="35" t="s">
        <v>276</v>
      </c>
      <c r="C237" s="35" t="s">
        <v>38</v>
      </c>
      <c r="D237" s="35"/>
      <c r="E237" s="35">
        <f t="shared" si="42"/>
        <v>0</v>
      </c>
      <c r="F237" s="35"/>
      <c r="G237" s="35"/>
      <c r="H237" s="35"/>
      <c r="I237" s="35"/>
      <c r="J237" s="35"/>
      <c r="K237" s="35">
        <f t="shared" si="43"/>
        <v>0</v>
      </c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>
        <f t="shared" si="44"/>
        <v>0</v>
      </c>
      <c r="X237" s="35"/>
      <c r="Y237" s="35" t="s">
        <v>276</v>
      </c>
      <c r="Z237" s="55"/>
      <c r="AA237" s="35" t="s">
        <v>38</v>
      </c>
      <c r="AB237" s="35"/>
      <c r="AC237" s="35"/>
      <c r="AD237" s="35"/>
      <c r="AE237" s="35"/>
      <c r="AF237" s="35"/>
      <c r="AG237" s="35"/>
      <c r="AH237" s="35"/>
      <c r="AI237" s="45">
        <f t="shared" si="47"/>
        <v>0</v>
      </c>
      <c r="AJ237" s="45"/>
      <c r="AK237" s="35"/>
      <c r="AL237" s="35"/>
      <c r="AM237" s="35"/>
      <c r="AN237" s="35"/>
      <c r="AO237" s="35"/>
      <c r="AP237" s="35"/>
      <c r="AQ237" s="35"/>
      <c r="AR237" s="35"/>
      <c r="AS237" s="45">
        <f t="shared" si="45"/>
        <v>0</v>
      </c>
      <c r="AT237" s="45"/>
      <c r="AU237" s="35">
        <v>0</v>
      </c>
      <c r="AV237" s="35"/>
      <c r="AW237" s="35">
        <v>0</v>
      </c>
      <c r="AX237" s="35"/>
      <c r="AY237" s="35">
        <f t="shared" si="46"/>
        <v>0</v>
      </c>
      <c r="AZ237" s="35"/>
      <c r="BA237" s="35" t="s">
        <v>276</v>
      </c>
      <c r="BB237" s="55"/>
      <c r="BC237" s="35" t="s">
        <v>38</v>
      </c>
      <c r="BD237" s="35"/>
      <c r="BE237" s="35"/>
      <c r="BF237" s="35"/>
      <c r="BG237" s="35"/>
      <c r="BH237" s="35"/>
      <c r="BI237" s="35"/>
      <c r="BJ237" s="35"/>
      <c r="BK237" s="35"/>
      <c r="BL237" s="35"/>
      <c r="BM237" s="35">
        <f t="shared" si="41"/>
        <v>0</v>
      </c>
      <c r="BN237" s="54" t="s">
        <v>347</v>
      </c>
      <c r="BO237" s="35" t="s">
        <v>366</v>
      </c>
    </row>
    <row r="238" spans="1:67" ht="12.75" hidden="1" customHeight="1">
      <c r="A238" s="35" t="s">
        <v>277</v>
      </c>
      <c r="C238" s="35" t="s">
        <v>92</v>
      </c>
      <c r="D238" s="35"/>
      <c r="E238" s="35">
        <f t="shared" si="42"/>
        <v>0</v>
      </c>
      <c r="F238" s="35"/>
      <c r="G238" s="35">
        <v>0</v>
      </c>
      <c r="H238" s="35"/>
      <c r="I238" s="35">
        <v>0</v>
      </c>
      <c r="J238" s="35"/>
      <c r="K238" s="35">
        <f t="shared" si="43"/>
        <v>0</v>
      </c>
      <c r="L238" s="35"/>
      <c r="M238" s="35">
        <v>0</v>
      </c>
      <c r="N238" s="35"/>
      <c r="O238" s="35">
        <v>0</v>
      </c>
      <c r="P238" s="35"/>
      <c r="Q238" s="35">
        <v>0</v>
      </c>
      <c r="R238" s="35"/>
      <c r="S238" s="35">
        <v>0</v>
      </c>
      <c r="T238" s="35"/>
      <c r="U238" s="35">
        <v>0</v>
      </c>
      <c r="V238" s="35"/>
      <c r="W238" s="35">
        <f t="shared" si="44"/>
        <v>0</v>
      </c>
      <c r="X238" s="35"/>
      <c r="Y238" s="35" t="s">
        <v>277</v>
      </c>
      <c r="Z238" s="55"/>
      <c r="AA238" s="35" t="s">
        <v>92</v>
      </c>
      <c r="AB238" s="35"/>
      <c r="AC238" s="35">
        <v>0</v>
      </c>
      <c r="AD238" s="35"/>
      <c r="AE238" s="35">
        <v>0</v>
      </c>
      <c r="AF238" s="35"/>
      <c r="AG238" s="35">
        <v>0</v>
      </c>
      <c r="AH238" s="35"/>
      <c r="AI238" s="45">
        <f t="shared" si="47"/>
        <v>0</v>
      </c>
      <c r="AJ238" s="45"/>
      <c r="AK238" s="35">
        <v>0</v>
      </c>
      <c r="AL238" s="35"/>
      <c r="AM238" s="35">
        <v>0</v>
      </c>
      <c r="AN238" s="35"/>
      <c r="AO238" s="35">
        <v>0</v>
      </c>
      <c r="AP238" s="35"/>
      <c r="AQ238" s="35">
        <v>0</v>
      </c>
      <c r="AR238" s="35"/>
      <c r="AS238" s="45">
        <f t="shared" si="45"/>
        <v>0</v>
      </c>
      <c r="AT238" s="45"/>
      <c r="AU238" s="35">
        <v>0</v>
      </c>
      <c r="AV238" s="35"/>
      <c r="AW238" s="35">
        <v>0</v>
      </c>
      <c r="AX238" s="35"/>
      <c r="AY238" s="35">
        <f t="shared" ref="AY238:AY247" si="48">+E238-K238</f>
        <v>0</v>
      </c>
      <c r="AZ238" s="35"/>
      <c r="BA238" s="35" t="s">
        <v>277</v>
      </c>
      <c r="BB238" s="55"/>
      <c r="BC238" s="35" t="s">
        <v>92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>
        <f t="shared" si="41"/>
        <v>0</v>
      </c>
      <c r="BN238" s="54" t="s">
        <v>347</v>
      </c>
    </row>
    <row r="239" spans="1:67" ht="12.75" hidden="1" customHeight="1">
      <c r="A239" s="35" t="s">
        <v>278</v>
      </c>
      <c r="C239" s="35" t="s">
        <v>92</v>
      </c>
      <c r="D239" s="35"/>
      <c r="E239" s="35">
        <f t="shared" si="42"/>
        <v>0</v>
      </c>
      <c r="F239" s="35"/>
      <c r="G239" s="35"/>
      <c r="H239" s="35"/>
      <c r="I239" s="35"/>
      <c r="J239" s="35"/>
      <c r="K239" s="35">
        <f t="shared" si="43"/>
        <v>0</v>
      </c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>
        <f t="shared" si="44"/>
        <v>0</v>
      </c>
      <c r="X239" s="35"/>
      <c r="Y239" s="35" t="s">
        <v>278</v>
      </c>
      <c r="Z239" s="55"/>
      <c r="AA239" s="35" t="s">
        <v>92</v>
      </c>
      <c r="AB239" s="35"/>
      <c r="AC239" s="35"/>
      <c r="AD239" s="35"/>
      <c r="AE239" s="35"/>
      <c r="AF239" s="35"/>
      <c r="AG239" s="35"/>
      <c r="AH239" s="35"/>
      <c r="AI239" s="45">
        <f t="shared" si="47"/>
        <v>0</v>
      </c>
      <c r="AJ239" s="45"/>
      <c r="AK239" s="35"/>
      <c r="AL239" s="35"/>
      <c r="AM239" s="35"/>
      <c r="AN239" s="35"/>
      <c r="AO239" s="35"/>
      <c r="AP239" s="35"/>
      <c r="AQ239" s="35"/>
      <c r="AR239" s="35"/>
      <c r="AS239" s="45">
        <f t="shared" si="45"/>
        <v>0</v>
      </c>
      <c r="AT239" s="45"/>
      <c r="AU239" s="35">
        <v>0</v>
      </c>
      <c r="AV239" s="35"/>
      <c r="AW239" s="35">
        <v>0</v>
      </c>
      <c r="AX239" s="35"/>
      <c r="AY239" s="35">
        <f t="shared" si="48"/>
        <v>0</v>
      </c>
      <c r="AZ239" s="35"/>
      <c r="BA239" s="35" t="s">
        <v>278</v>
      </c>
      <c r="BB239" s="55"/>
      <c r="BC239" s="35" t="s">
        <v>92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>
        <f t="shared" si="41"/>
        <v>0</v>
      </c>
      <c r="BN239" s="54" t="s">
        <v>347</v>
      </c>
    </row>
    <row r="240" spans="1:67" ht="12.75" hidden="1" customHeight="1">
      <c r="A240" s="35" t="s">
        <v>279</v>
      </c>
      <c r="C240" s="35" t="s">
        <v>92</v>
      </c>
      <c r="D240" s="35"/>
      <c r="E240" s="35">
        <f t="shared" si="42"/>
        <v>0</v>
      </c>
      <c r="F240" s="35"/>
      <c r="G240" s="35">
        <v>0</v>
      </c>
      <c r="H240" s="35"/>
      <c r="I240" s="35">
        <v>0</v>
      </c>
      <c r="J240" s="35"/>
      <c r="K240" s="35">
        <f t="shared" si="43"/>
        <v>0</v>
      </c>
      <c r="L240" s="35"/>
      <c r="M240" s="35">
        <v>0</v>
      </c>
      <c r="N240" s="35"/>
      <c r="O240" s="35">
        <v>0</v>
      </c>
      <c r="P240" s="35"/>
      <c r="Q240" s="35">
        <v>0</v>
      </c>
      <c r="R240" s="35"/>
      <c r="S240" s="35">
        <v>0</v>
      </c>
      <c r="T240" s="35"/>
      <c r="U240" s="35">
        <v>0</v>
      </c>
      <c r="V240" s="35"/>
      <c r="W240" s="35">
        <f t="shared" si="44"/>
        <v>0</v>
      </c>
      <c r="X240" s="35"/>
      <c r="Y240" s="35" t="s">
        <v>279</v>
      </c>
      <c r="Z240" s="55"/>
      <c r="AA240" s="35" t="s">
        <v>92</v>
      </c>
      <c r="AB240" s="35"/>
      <c r="AC240" s="35">
        <v>0</v>
      </c>
      <c r="AD240" s="35"/>
      <c r="AE240" s="35">
        <v>0</v>
      </c>
      <c r="AF240" s="35"/>
      <c r="AG240" s="35">
        <v>0</v>
      </c>
      <c r="AH240" s="35"/>
      <c r="AI240" s="45">
        <f t="shared" si="47"/>
        <v>0</v>
      </c>
      <c r="AJ240" s="45"/>
      <c r="AK240" s="35">
        <v>0</v>
      </c>
      <c r="AL240" s="35"/>
      <c r="AM240" s="35">
        <v>0</v>
      </c>
      <c r="AN240" s="35"/>
      <c r="AO240" s="35">
        <v>0</v>
      </c>
      <c r="AP240" s="35"/>
      <c r="AQ240" s="35">
        <v>0</v>
      </c>
      <c r="AR240" s="35"/>
      <c r="AS240" s="45">
        <v>0</v>
      </c>
      <c r="AT240" s="45"/>
      <c r="AU240" s="35">
        <v>0</v>
      </c>
      <c r="AV240" s="35"/>
      <c r="AW240" s="35">
        <v>0</v>
      </c>
      <c r="AX240" s="35"/>
      <c r="AY240" s="35">
        <f t="shared" si="48"/>
        <v>0</v>
      </c>
      <c r="AZ240" s="35"/>
      <c r="BA240" s="35" t="s">
        <v>279</v>
      </c>
      <c r="BB240" s="55"/>
      <c r="BC240" s="35" t="s">
        <v>92</v>
      </c>
      <c r="BD240" s="35"/>
      <c r="BE240" s="35"/>
      <c r="BF240" s="35"/>
      <c r="BG240" s="35"/>
      <c r="BH240" s="35"/>
      <c r="BI240" s="35"/>
      <c r="BJ240" s="35"/>
      <c r="BK240" s="35"/>
      <c r="BL240" s="35"/>
      <c r="BM240" s="35">
        <f t="shared" si="41"/>
        <v>0</v>
      </c>
      <c r="BN240" s="54" t="s">
        <v>347</v>
      </c>
      <c r="BO240" s="55" t="s">
        <v>367</v>
      </c>
    </row>
    <row r="241" spans="1:67" ht="12.75" hidden="1" customHeight="1">
      <c r="A241" s="35" t="s">
        <v>280</v>
      </c>
      <c r="C241" s="35" t="s">
        <v>281</v>
      </c>
      <c r="D241" s="35"/>
      <c r="E241" s="35">
        <f t="shared" si="42"/>
        <v>0</v>
      </c>
      <c r="F241" s="35"/>
      <c r="G241" s="35">
        <v>0</v>
      </c>
      <c r="H241" s="35"/>
      <c r="I241" s="35">
        <v>0</v>
      </c>
      <c r="J241" s="35"/>
      <c r="K241" s="35">
        <f t="shared" si="43"/>
        <v>0</v>
      </c>
      <c r="L241" s="35"/>
      <c r="M241" s="35">
        <v>0</v>
      </c>
      <c r="N241" s="35"/>
      <c r="O241" s="35">
        <v>0</v>
      </c>
      <c r="P241" s="35"/>
      <c r="Q241" s="35">
        <v>0</v>
      </c>
      <c r="R241" s="35"/>
      <c r="S241" s="35">
        <v>0</v>
      </c>
      <c r="T241" s="35"/>
      <c r="U241" s="35">
        <v>0</v>
      </c>
      <c r="V241" s="35"/>
      <c r="W241" s="35">
        <f t="shared" si="44"/>
        <v>0</v>
      </c>
      <c r="X241" s="35"/>
      <c r="Y241" s="35" t="s">
        <v>280</v>
      </c>
      <c r="Z241" s="55"/>
      <c r="AA241" s="35" t="s">
        <v>281</v>
      </c>
      <c r="AB241" s="35"/>
      <c r="AC241" s="35">
        <v>0</v>
      </c>
      <c r="AD241" s="35"/>
      <c r="AE241" s="35">
        <v>0</v>
      </c>
      <c r="AF241" s="35"/>
      <c r="AG241" s="35">
        <v>0</v>
      </c>
      <c r="AH241" s="35"/>
      <c r="AI241" s="45">
        <f t="shared" si="47"/>
        <v>0</v>
      </c>
      <c r="AJ241" s="45"/>
      <c r="AK241" s="35">
        <v>0</v>
      </c>
      <c r="AL241" s="35"/>
      <c r="AM241" s="35">
        <v>0</v>
      </c>
      <c r="AN241" s="35"/>
      <c r="AO241" s="35">
        <v>0</v>
      </c>
      <c r="AP241" s="35"/>
      <c r="AQ241" s="35">
        <v>0</v>
      </c>
      <c r="AR241" s="35"/>
      <c r="AS241" s="45">
        <f t="shared" ref="AS241:AS247" si="49">+AI241+AK241+AM241-AO241+AQ241</f>
        <v>0</v>
      </c>
      <c r="AT241" s="45"/>
      <c r="AU241" s="35">
        <v>0</v>
      </c>
      <c r="AV241" s="35"/>
      <c r="AW241" s="35">
        <v>0</v>
      </c>
      <c r="AX241" s="35"/>
      <c r="AY241" s="35">
        <f t="shared" si="48"/>
        <v>0</v>
      </c>
      <c r="AZ241" s="35"/>
      <c r="BA241" s="35" t="s">
        <v>280</v>
      </c>
      <c r="BB241" s="55"/>
      <c r="BC241" s="35" t="s">
        <v>281</v>
      </c>
      <c r="BD241" s="35"/>
      <c r="BE241" s="35"/>
      <c r="BF241" s="35"/>
      <c r="BG241" s="35"/>
      <c r="BH241" s="35"/>
      <c r="BI241" s="35"/>
      <c r="BJ241" s="35"/>
      <c r="BK241" s="35"/>
      <c r="BL241" s="35"/>
      <c r="BM241" s="35">
        <f t="shared" si="41"/>
        <v>0</v>
      </c>
      <c r="BN241" s="54" t="s">
        <v>347</v>
      </c>
      <c r="BO241" s="55" t="s">
        <v>367</v>
      </c>
    </row>
    <row r="242" spans="1:67" ht="12.75" hidden="1" customHeight="1">
      <c r="A242" s="35" t="s">
        <v>282</v>
      </c>
      <c r="C242" s="35" t="s">
        <v>199</v>
      </c>
      <c r="D242" s="35"/>
      <c r="E242" s="35">
        <f t="shared" si="42"/>
        <v>0</v>
      </c>
      <c r="F242" s="35"/>
      <c r="G242" s="35"/>
      <c r="H242" s="35"/>
      <c r="I242" s="35"/>
      <c r="J242" s="35"/>
      <c r="K242" s="35">
        <f t="shared" si="43"/>
        <v>0</v>
      </c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>
        <f t="shared" si="44"/>
        <v>0</v>
      </c>
      <c r="X242" s="35"/>
      <c r="Y242" s="35" t="s">
        <v>282</v>
      </c>
      <c r="Z242" s="55"/>
      <c r="AA242" s="35" t="s">
        <v>199</v>
      </c>
      <c r="AB242" s="35"/>
      <c r="AC242" s="35"/>
      <c r="AD242" s="35"/>
      <c r="AE242" s="35"/>
      <c r="AF242" s="35"/>
      <c r="AG242" s="35"/>
      <c r="AH242" s="35"/>
      <c r="AI242" s="45">
        <f t="shared" si="47"/>
        <v>0</v>
      </c>
      <c r="AJ242" s="45"/>
      <c r="AK242" s="35"/>
      <c r="AL242" s="35"/>
      <c r="AM242" s="35"/>
      <c r="AN242" s="35"/>
      <c r="AO242" s="35"/>
      <c r="AP242" s="35"/>
      <c r="AQ242" s="35"/>
      <c r="AR242" s="35"/>
      <c r="AS242" s="45">
        <f t="shared" si="49"/>
        <v>0</v>
      </c>
      <c r="AT242" s="45"/>
      <c r="AU242" s="35">
        <v>0</v>
      </c>
      <c r="AV242" s="35"/>
      <c r="AW242" s="35">
        <v>0</v>
      </c>
      <c r="AX242" s="35"/>
      <c r="AY242" s="35">
        <f t="shared" si="48"/>
        <v>0</v>
      </c>
      <c r="AZ242" s="35"/>
      <c r="BA242" s="35" t="s">
        <v>282</v>
      </c>
      <c r="BB242" s="55"/>
      <c r="BC242" s="35" t="s">
        <v>199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>
        <f t="shared" si="41"/>
        <v>0</v>
      </c>
      <c r="BN242" s="54" t="s">
        <v>347</v>
      </c>
    </row>
    <row r="243" spans="1:67" ht="12.75" hidden="1" customHeight="1">
      <c r="A243" s="35" t="s">
        <v>283</v>
      </c>
      <c r="C243" s="35" t="s">
        <v>43</v>
      </c>
      <c r="D243" s="35"/>
      <c r="E243" s="35">
        <f t="shared" si="42"/>
        <v>0</v>
      </c>
      <c r="F243" s="35"/>
      <c r="G243" s="35">
        <v>0</v>
      </c>
      <c r="H243" s="35"/>
      <c r="I243" s="35">
        <v>0</v>
      </c>
      <c r="J243" s="35"/>
      <c r="K243" s="35">
        <f t="shared" si="43"/>
        <v>0</v>
      </c>
      <c r="L243" s="35"/>
      <c r="M243" s="35">
        <v>0</v>
      </c>
      <c r="N243" s="35"/>
      <c r="O243" s="35">
        <v>0</v>
      </c>
      <c r="P243" s="35"/>
      <c r="Q243" s="35">
        <v>0</v>
      </c>
      <c r="R243" s="35"/>
      <c r="S243" s="35">
        <v>0</v>
      </c>
      <c r="T243" s="35"/>
      <c r="U243" s="35">
        <v>0</v>
      </c>
      <c r="V243" s="35"/>
      <c r="W243" s="35">
        <f t="shared" si="44"/>
        <v>0</v>
      </c>
      <c r="X243" s="35"/>
      <c r="Y243" s="35" t="s">
        <v>283</v>
      </c>
      <c r="Z243" s="55"/>
      <c r="AA243" s="35" t="s">
        <v>43</v>
      </c>
      <c r="AB243" s="35"/>
      <c r="AC243" s="35">
        <v>0</v>
      </c>
      <c r="AD243" s="35"/>
      <c r="AE243" s="35">
        <v>0</v>
      </c>
      <c r="AF243" s="35"/>
      <c r="AG243" s="35">
        <v>0</v>
      </c>
      <c r="AH243" s="35"/>
      <c r="AI243" s="45">
        <f t="shared" si="47"/>
        <v>0</v>
      </c>
      <c r="AJ243" s="45"/>
      <c r="AK243" s="35">
        <v>0</v>
      </c>
      <c r="AL243" s="35"/>
      <c r="AM243" s="35">
        <v>0</v>
      </c>
      <c r="AN243" s="35"/>
      <c r="AO243" s="35">
        <v>0</v>
      </c>
      <c r="AP243" s="35"/>
      <c r="AQ243" s="35">
        <v>0</v>
      </c>
      <c r="AR243" s="35"/>
      <c r="AS243" s="45">
        <f t="shared" si="49"/>
        <v>0</v>
      </c>
      <c r="AT243" s="45"/>
      <c r="AU243" s="35">
        <v>0</v>
      </c>
      <c r="AV243" s="35"/>
      <c r="AW243" s="35">
        <v>0</v>
      </c>
      <c r="AX243" s="35"/>
      <c r="AY243" s="35">
        <f t="shared" si="48"/>
        <v>0</v>
      </c>
      <c r="AZ243" s="35"/>
      <c r="BA243" s="35" t="s">
        <v>283</v>
      </c>
      <c r="BB243" s="55"/>
      <c r="BC243" s="35" t="s">
        <v>43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>
        <f t="shared" si="41"/>
        <v>0</v>
      </c>
      <c r="BN243" s="54" t="s">
        <v>347</v>
      </c>
      <c r="BO243" s="55" t="s">
        <v>367</v>
      </c>
    </row>
    <row r="244" spans="1:67" ht="12.75" hidden="1" customHeight="1">
      <c r="A244" s="35" t="s">
        <v>284</v>
      </c>
      <c r="C244" s="35" t="s">
        <v>45</v>
      </c>
      <c r="D244" s="35"/>
      <c r="E244" s="35">
        <f t="shared" si="42"/>
        <v>0</v>
      </c>
      <c r="F244" s="35"/>
      <c r="G244" s="35">
        <v>0</v>
      </c>
      <c r="H244" s="35"/>
      <c r="I244" s="35">
        <v>0</v>
      </c>
      <c r="J244" s="35"/>
      <c r="K244" s="35">
        <f t="shared" si="43"/>
        <v>0</v>
      </c>
      <c r="L244" s="35"/>
      <c r="M244" s="35">
        <v>0</v>
      </c>
      <c r="N244" s="35"/>
      <c r="O244" s="35">
        <v>0</v>
      </c>
      <c r="P244" s="35"/>
      <c r="Q244" s="35">
        <v>0</v>
      </c>
      <c r="R244" s="35"/>
      <c r="S244" s="35">
        <v>0</v>
      </c>
      <c r="T244" s="35"/>
      <c r="U244" s="35">
        <v>0</v>
      </c>
      <c r="V244" s="35"/>
      <c r="W244" s="35">
        <f t="shared" si="44"/>
        <v>0</v>
      </c>
      <c r="X244" s="35"/>
      <c r="Y244" s="35" t="s">
        <v>284</v>
      </c>
      <c r="Z244" s="55"/>
      <c r="AA244" s="35" t="s">
        <v>45</v>
      </c>
      <c r="AB244" s="35"/>
      <c r="AC244" s="35">
        <v>0</v>
      </c>
      <c r="AD244" s="35"/>
      <c r="AE244" s="35">
        <v>0</v>
      </c>
      <c r="AF244" s="35"/>
      <c r="AG244" s="35">
        <v>0</v>
      </c>
      <c r="AH244" s="35"/>
      <c r="AI244" s="45">
        <v>0</v>
      </c>
      <c r="AJ244" s="45"/>
      <c r="AK244" s="35">
        <v>0</v>
      </c>
      <c r="AL244" s="35"/>
      <c r="AM244" s="35">
        <v>0</v>
      </c>
      <c r="AN244" s="35"/>
      <c r="AO244" s="35">
        <v>0</v>
      </c>
      <c r="AP244" s="35"/>
      <c r="AQ244" s="35">
        <v>0</v>
      </c>
      <c r="AR244" s="35"/>
      <c r="AS244" s="45">
        <f t="shared" si="49"/>
        <v>0</v>
      </c>
      <c r="AT244" s="45"/>
      <c r="AU244" s="35">
        <v>0</v>
      </c>
      <c r="AV244" s="35"/>
      <c r="AW244" s="35">
        <v>0</v>
      </c>
      <c r="AX244" s="35"/>
      <c r="AY244" s="35">
        <f t="shared" si="48"/>
        <v>0</v>
      </c>
      <c r="AZ244" s="35"/>
      <c r="BA244" s="35" t="s">
        <v>284</v>
      </c>
      <c r="BB244" s="55"/>
      <c r="BC244" s="35" t="s">
        <v>45</v>
      </c>
      <c r="BD244" s="35"/>
      <c r="BE244" s="35"/>
      <c r="BF244" s="35"/>
      <c r="BG244" s="35"/>
      <c r="BH244" s="35"/>
      <c r="BI244" s="35"/>
      <c r="BJ244" s="35"/>
      <c r="BK244" s="35"/>
      <c r="BL244" s="35"/>
      <c r="BM244" s="35">
        <f t="shared" si="41"/>
        <v>0</v>
      </c>
      <c r="BN244" s="54" t="s">
        <v>347</v>
      </c>
    </row>
    <row r="245" spans="1:67" ht="12.75" hidden="1" customHeight="1">
      <c r="A245" s="35" t="s">
        <v>285</v>
      </c>
      <c r="C245" s="35" t="s">
        <v>30</v>
      </c>
      <c r="D245" s="35"/>
      <c r="E245" s="35">
        <f t="shared" si="42"/>
        <v>0</v>
      </c>
      <c r="F245" s="35"/>
      <c r="G245" s="35">
        <v>0</v>
      </c>
      <c r="H245" s="35"/>
      <c r="I245" s="35">
        <v>0</v>
      </c>
      <c r="J245" s="35"/>
      <c r="K245" s="35">
        <f t="shared" si="43"/>
        <v>0</v>
      </c>
      <c r="L245" s="35"/>
      <c r="M245" s="35">
        <v>0</v>
      </c>
      <c r="N245" s="35"/>
      <c r="O245" s="35">
        <v>0</v>
      </c>
      <c r="P245" s="35"/>
      <c r="Q245" s="35">
        <v>0</v>
      </c>
      <c r="R245" s="35"/>
      <c r="S245" s="35">
        <v>0</v>
      </c>
      <c r="T245" s="35"/>
      <c r="U245" s="35">
        <v>0</v>
      </c>
      <c r="V245" s="35"/>
      <c r="W245" s="35">
        <f t="shared" si="44"/>
        <v>0</v>
      </c>
      <c r="X245" s="35"/>
      <c r="Y245" s="35" t="s">
        <v>285</v>
      </c>
      <c r="Z245" s="55"/>
      <c r="AA245" s="35" t="s">
        <v>30</v>
      </c>
      <c r="AB245" s="35"/>
      <c r="AC245" s="35">
        <v>0</v>
      </c>
      <c r="AD245" s="35"/>
      <c r="AE245" s="35">
        <v>0</v>
      </c>
      <c r="AF245" s="35"/>
      <c r="AG245" s="35">
        <v>0</v>
      </c>
      <c r="AH245" s="35"/>
      <c r="AI245" s="45">
        <f>+AC245-AE245-AG245</f>
        <v>0</v>
      </c>
      <c r="AJ245" s="45"/>
      <c r="AK245" s="35">
        <v>0</v>
      </c>
      <c r="AL245" s="35"/>
      <c r="AM245" s="35">
        <v>0</v>
      </c>
      <c r="AN245" s="35"/>
      <c r="AO245" s="35">
        <v>0</v>
      </c>
      <c r="AP245" s="35"/>
      <c r="AQ245" s="35">
        <v>0</v>
      </c>
      <c r="AR245" s="35"/>
      <c r="AS245" s="45">
        <f t="shared" si="49"/>
        <v>0</v>
      </c>
      <c r="AT245" s="45"/>
      <c r="AU245" s="35">
        <v>0</v>
      </c>
      <c r="AV245" s="35"/>
      <c r="AW245" s="35">
        <v>0</v>
      </c>
      <c r="AX245" s="35"/>
      <c r="AY245" s="35">
        <f t="shared" si="48"/>
        <v>0</v>
      </c>
      <c r="AZ245" s="35"/>
      <c r="BA245" s="35" t="s">
        <v>285</v>
      </c>
      <c r="BB245" s="55"/>
      <c r="BC245" s="35" t="s">
        <v>30</v>
      </c>
      <c r="BD245" s="35"/>
      <c r="BE245" s="35"/>
      <c r="BF245" s="35"/>
      <c r="BG245" s="35"/>
      <c r="BH245" s="35"/>
      <c r="BI245" s="35"/>
      <c r="BJ245" s="35"/>
      <c r="BK245" s="35"/>
      <c r="BL245" s="35"/>
      <c r="BM245" s="35">
        <f t="shared" si="41"/>
        <v>0</v>
      </c>
      <c r="BN245" s="54" t="s">
        <v>347</v>
      </c>
    </row>
    <row r="246" spans="1:67" ht="12.75" hidden="1" customHeight="1">
      <c r="A246" s="35" t="s">
        <v>286</v>
      </c>
      <c r="C246" s="35" t="s">
        <v>61</v>
      </c>
      <c r="D246" s="35"/>
      <c r="E246" s="35">
        <f t="shared" si="42"/>
        <v>0</v>
      </c>
      <c r="F246" s="35"/>
      <c r="G246" s="35"/>
      <c r="H246" s="35"/>
      <c r="I246" s="35"/>
      <c r="J246" s="35"/>
      <c r="K246" s="35">
        <f t="shared" si="43"/>
        <v>0</v>
      </c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>
        <f t="shared" si="44"/>
        <v>0</v>
      </c>
      <c r="X246" s="35"/>
      <c r="Y246" s="35" t="s">
        <v>286</v>
      </c>
      <c r="Z246" s="55"/>
      <c r="AA246" s="35" t="s">
        <v>61</v>
      </c>
      <c r="AB246" s="35"/>
      <c r="AC246" s="35"/>
      <c r="AD246" s="35"/>
      <c r="AE246" s="35"/>
      <c r="AF246" s="35"/>
      <c r="AG246" s="35"/>
      <c r="AH246" s="35"/>
      <c r="AI246" s="45">
        <f>+AC246-AE246-AG246</f>
        <v>0</v>
      </c>
      <c r="AJ246" s="45"/>
      <c r="AK246" s="35"/>
      <c r="AL246" s="35"/>
      <c r="AM246" s="35"/>
      <c r="AN246" s="35"/>
      <c r="AO246" s="35"/>
      <c r="AP246" s="35"/>
      <c r="AQ246" s="35"/>
      <c r="AR246" s="35"/>
      <c r="AS246" s="45">
        <f t="shared" si="49"/>
        <v>0</v>
      </c>
      <c r="AT246" s="45"/>
      <c r="AU246" s="35">
        <v>0</v>
      </c>
      <c r="AV246" s="35"/>
      <c r="AW246" s="35">
        <v>0</v>
      </c>
      <c r="AX246" s="35"/>
      <c r="AY246" s="35">
        <f t="shared" si="48"/>
        <v>0</v>
      </c>
      <c r="AZ246" s="35"/>
      <c r="BA246" s="35" t="s">
        <v>286</v>
      </c>
      <c r="BB246" s="55"/>
      <c r="BC246" s="35" t="s">
        <v>61</v>
      </c>
      <c r="BD246" s="35"/>
      <c r="BE246" s="35"/>
      <c r="BF246" s="35"/>
      <c r="BG246" s="35"/>
      <c r="BH246" s="35"/>
      <c r="BI246" s="35"/>
      <c r="BJ246" s="35"/>
      <c r="BK246" s="35"/>
      <c r="BL246" s="35"/>
      <c r="BM246" s="35">
        <f t="shared" si="41"/>
        <v>0</v>
      </c>
      <c r="BN246" s="54" t="s">
        <v>347</v>
      </c>
    </row>
    <row r="247" spans="1:67" ht="12.75" hidden="1" customHeight="1">
      <c r="A247" s="35" t="s">
        <v>287</v>
      </c>
      <c r="C247" s="35" t="s">
        <v>288</v>
      </c>
      <c r="D247" s="35"/>
      <c r="E247" s="35">
        <f t="shared" si="42"/>
        <v>0</v>
      </c>
      <c r="F247" s="35"/>
      <c r="G247" s="35">
        <v>0</v>
      </c>
      <c r="H247" s="35"/>
      <c r="I247" s="35">
        <v>0</v>
      </c>
      <c r="J247" s="35"/>
      <c r="K247" s="35">
        <f t="shared" si="43"/>
        <v>0</v>
      </c>
      <c r="L247" s="35"/>
      <c r="M247" s="35">
        <v>0</v>
      </c>
      <c r="N247" s="35"/>
      <c r="O247" s="35">
        <v>0</v>
      </c>
      <c r="P247" s="35"/>
      <c r="Q247" s="35">
        <v>0</v>
      </c>
      <c r="R247" s="35"/>
      <c r="S247" s="35">
        <v>0</v>
      </c>
      <c r="T247" s="35"/>
      <c r="U247" s="35">
        <v>0</v>
      </c>
      <c r="V247" s="35"/>
      <c r="W247" s="35">
        <f t="shared" si="44"/>
        <v>0</v>
      </c>
      <c r="X247" s="35"/>
      <c r="Y247" s="35" t="s">
        <v>287</v>
      </c>
      <c r="Z247" s="55"/>
      <c r="AA247" s="35" t="s">
        <v>288</v>
      </c>
      <c r="AB247" s="35"/>
      <c r="AC247" s="35">
        <v>0</v>
      </c>
      <c r="AD247" s="35"/>
      <c r="AE247" s="35">
        <v>0</v>
      </c>
      <c r="AF247" s="35"/>
      <c r="AG247" s="35">
        <v>0</v>
      </c>
      <c r="AH247" s="35"/>
      <c r="AI247" s="45">
        <f>+AC247-AE247-AG247</f>
        <v>0</v>
      </c>
      <c r="AJ247" s="45"/>
      <c r="AK247" s="35">
        <v>0</v>
      </c>
      <c r="AL247" s="35"/>
      <c r="AM247" s="35">
        <v>0</v>
      </c>
      <c r="AN247" s="35"/>
      <c r="AO247" s="35">
        <v>0</v>
      </c>
      <c r="AP247" s="35"/>
      <c r="AQ247" s="35">
        <v>0</v>
      </c>
      <c r="AR247" s="35"/>
      <c r="AS247" s="45">
        <f t="shared" si="49"/>
        <v>0</v>
      </c>
      <c r="AT247" s="45"/>
      <c r="AU247" s="35">
        <v>0</v>
      </c>
      <c r="AV247" s="35"/>
      <c r="AW247" s="35">
        <v>0</v>
      </c>
      <c r="AX247" s="35"/>
      <c r="AY247" s="35">
        <f t="shared" si="48"/>
        <v>0</v>
      </c>
      <c r="AZ247" s="35"/>
      <c r="BA247" s="35" t="s">
        <v>287</v>
      </c>
      <c r="BB247" s="55"/>
      <c r="BC247" s="35" t="s">
        <v>288</v>
      </c>
      <c r="BD247" s="35"/>
      <c r="BE247" s="35"/>
      <c r="BF247" s="35"/>
      <c r="BG247" s="35"/>
      <c r="BH247" s="35"/>
      <c r="BI247" s="35"/>
      <c r="BJ247" s="35"/>
      <c r="BK247" s="35"/>
      <c r="BL247" s="35"/>
      <c r="BM247" s="35">
        <f t="shared" si="41"/>
        <v>0</v>
      </c>
      <c r="BN247" s="54" t="s">
        <v>347</v>
      </c>
    </row>
    <row r="248" spans="1:67" ht="12.75" customHeight="1"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5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B248" s="5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</row>
    <row r="249" spans="1:67" ht="12.75" customHeight="1"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5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B249" s="5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</row>
    <row r="250" spans="1:67" ht="12.75" customHeight="1"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5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B250" s="5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</row>
    <row r="251" spans="1:67" ht="12.75" customHeight="1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 ht="12.75" customHeight="1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 ht="12.75" customHeight="1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 ht="12.75" customHeight="1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 ht="12.75" customHeight="1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 ht="12.75" customHeight="1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 ht="12.75" customHeight="1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 ht="12.75" customHeight="1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 ht="12.75" customHeight="1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 ht="12.75" customHeight="1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 ht="12.75" customHeight="1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 ht="12.75" customHeight="1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 ht="12.75" customHeight="1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 ht="12.75" customHeight="1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 ht="12.75" customHeight="1"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5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B265" s="5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</row>
    <row r="266" spans="5:66" ht="12.75" customHeight="1"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5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B266" s="5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</row>
    <row r="267" spans="5:66" ht="12.75" customHeight="1"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5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B267" s="5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</row>
    <row r="268" spans="5:66" ht="12.75" customHeight="1"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5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B268" s="5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</row>
    <row r="269" spans="5:66" ht="12.75" customHeight="1"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5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B269" s="5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</row>
    <row r="270" spans="5:66" ht="12.75" customHeight="1">
      <c r="Z270" s="55"/>
      <c r="BB270" s="55"/>
      <c r="BE270" s="45"/>
      <c r="BG270" s="45"/>
      <c r="BI270" s="45"/>
      <c r="BK270" s="45"/>
    </row>
    <row r="271" spans="5:66" ht="12.75" customHeight="1">
      <c r="Z271" s="55"/>
      <c r="BB271" s="55"/>
      <c r="BE271" s="45"/>
      <c r="BG271" s="45"/>
      <c r="BI271" s="45"/>
      <c r="BK271" s="45"/>
    </row>
    <row r="272" spans="5:66" ht="12.75" customHeight="1">
      <c r="Z272" s="55"/>
      <c r="BB272" s="55"/>
      <c r="BE272" s="45"/>
      <c r="BG272" s="45"/>
      <c r="BI272" s="45"/>
      <c r="BK272" s="45"/>
    </row>
    <row r="273" spans="26:63" ht="12.75" customHeight="1">
      <c r="Z273" s="55"/>
      <c r="BB273" s="55"/>
      <c r="BE273" s="45"/>
      <c r="BG273" s="45"/>
      <c r="BI273" s="45"/>
      <c r="BK273" s="45"/>
    </row>
    <row r="274" spans="26:63" ht="12.75" customHeight="1">
      <c r="Z274" s="55"/>
      <c r="BB274" s="55"/>
      <c r="BE274" s="45"/>
      <c r="BG274" s="45"/>
      <c r="BI274" s="45"/>
      <c r="BK274" s="45"/>
    </row>
    <row r="275" spans="26:63" ht="12.75" customHeight="1">
      <c r="Z275" s="55"/>
      <c r="BB275" s="55"/>
      <c r="BE275" s="45"/>
      <c r="BG275" s="45"/>
      <c r="BI275" s="45"/>
      <c r="BK275" s="45"/>
    </row>
    <row r="276" spans="26:63" ht="12.75" customHeight="1">
      <c r="Z276" s="55"/>
      <c r="BB276" s="55"/>
      <c r="BE276" s="45"/>
      <c r="BG276" s="45"/>
      <c r="BI276" s="45"/>
      <c r="BK276" s="45"/>
    </row>
    <row r="277" spans="26:63" ht="12.75" customHeight="1">
      <c r="Z277" s="55"/>
      <c r="BB277" s="55"/>
      <c r="BE277" s="45"/>
      <c r="BG277" s="45"/>
      <c r="BI277" s="45"/>
      <c r="BK277" s="45"/>
    </row>
    <row r="278" spans="26:63" ht="12.75" customHeight="1">
      <c r="Z278" s="55"/>
      <c r="BB278" s="55"/>
      <c r="BE278" s="45"/>
      <c r="BG278" s="45"/>
      <c r="BI278" s="45"/>
      <c r="BK278" s="45"/>
    </row>
    <row r="279" spans="26:63" ht="12.75" customHeight="1">
      <c r="Z279" s="55"/>
      <c r="BB279" s="55"/>
      <c r="BE279" s="45"/>
      <c r="BG279" s="45"/>
      <c r="BI279" s="45"/>
      <c r="BK279" s="45"/>
    </row>
    <row r="280" spans="26:63" ht="12.75" customHeight="1">
      <c r="Z280" s="55"/>
      <c r="BB280" s="55"/>
      <c r="BE280" s="45"/>
      <c r="BG280" s="45"/>
      <c r="BI280" s="45"/>
      <c r="BK280" s="45"/>
    </row>
    <row r="281" spans="26:63" ht="12.75" customHeight="1">
      <c r="Z281" s="55"/>
      <c r="BB281" s="55"/>
      <c r="BE281" s="45"/>
      <c r="BG281" s="45"/>
      <c r="BI281" s="45"/>
      <c r="BK281" s="45"/>
    </row>
    <row r="282" spans="26:63" ht="12.75" customHeight="1">
      <c r="Z282" s="55"/>
      <c r="BB282" s="55"/>
      <c r="BE282" s="45"/>
      <c r="BG282" s="45"/>
      <c r="BI282" s="45"/>
      <c r="BK282" s="45"/>
    </row>
    <row r="283" spans="26:63" ht="12.75" customHeight="1">
      <c r="Z283" s="55"/>
      <c r="BB283" s="55"/>
      <c r="BE283" s="45"/>
      <c r="BG283" s="45"/>
      <c r="BI283" s="45"/>
      <c r="BK283" s="45"/>
    </row>
    <row r="284" spans="26:63" ht="12.75" customHeight="1">
      <c r="Z284" s="55"/>
      <c r="BB284" s="55"/>
      <c r="BE284" s="45"/>
      <c r="BG284" s="45"/>
      <c r="BI284" s="45"/>
      <c r="BK284" s="45"/>
    </row>
    <row r="285" spans="26:63" ht="12.75" customHeight="1">
      <c r="Z285" s="55"/>
      <c r="BB285" s="55"/>
      <c r="BE285" s="45"/>
      <c r="BG285" s="45"/>
      <c r="BI285" s="45"/>
      <c r="BK285" s="45"/>
    </row>
    <row r="286" spans="26:63" ht="12.75" customHeight="1">
      <c r="Z286" s="55"/>
      <c r="BB286" s="55"/>
      <c r="BE286" s="45"/>
      <c r="BG286" s="45"/>
      <c r="BI286" s="45"/>
      <c r="BK286" s="45"/>
    </row>
    <row r="287" spans="26:63" ht="12.75" customHeight="1">
      <c r="Z287" s="55"/>
      <c r="BB287" s="55"/>
      <c r="BE287" s="45"/>
      <c r="BG287" s="45"/>
      <c r="BI287" s="45"/>
      <c r="BK287" s="45"/>
    </row>
    <row r="288" spans="26:63" ht="12.75" customHeight="1">
      <c r="Z288" s="55"/>
      <c r="BB288" s="55"/>
      <c r="BE288" s="45"/>
      <c r="BG288" s="45"/>
      <c r="BI288" s="45"/>
      <c r="BK288" s="45"/>
    </row>
    <row r="289" spans="26:63" ht="12.75" customHeight="1">
      <c r="Z289" s="55"/>
      <c r="BB289" s="55"/>
      <c r="BE289" s="45"/>
      <c r="BG289" s="45"/>
      <c r="BI289" s="45"/>
      <c r="BK289" s="45"/>
    </row>
    <row r="290" spans="26:63" ht="12.75" customHeight="1">
      <c r="Z290" s="55"/>
      <c r="BB290" s="55"/>
      <c r="BE290" s="45"/>
      <c r="BG290" s="45"/>
      <c r="BI290" s="45"/>
      <c r="BK290" s="45"/>
    </row>
    <row r="291" spans="26:63" ht="12.75" customHeight="1">
      <c r="Z291" s="55"/>
      <c r="BB291" s="55"/>
      <c r="BE291" s="45"/>
      <c r="BG291" s="45"/>
      <c r="BI291" s="45"/>
      <c r="BK291" s="45"/>
    </row>
    <row r="292" spans="26:63" ht="12.75" customHeight="1">
      <c r="Z292" s="55"/>
      <c r="BB292" s="55"/>
      <c r="BE292" s="45"/>
      <c r="BG292" s="45"/>
      <c r="BI292" s="45"/>
      <c r="BK292" s="45"/>
    </row>
    <row r="293" spans="26:63" ht="12.75" customHeight="1">
      <c r="Z293" s="55"/>
      <c r="BB293" s="55"/>
      <c r="BE293" s="45"/>
      <c r="BG293" s="45"/>
      <c r="BI293" s="45"/>
      <c r="BK293" s="45"/>
    </row>
    <row r="294" spans="26:63" ht="12.75" customHeight="1">
      <c r="Z294" s="55"/>
      <c r="BB294" s="55"/>
      <c r="BE294" s="45"/>
      <c r="BG294" s="45"/>
      <c r="BI294" s="45"/>
      <c r="BK294" s="45"/>
    </row>
    <row r="295" spans="26:63" ht="12.75" customHeight="1">
      <c r="Z295" s="55"/>
      <c r="BB295" s="55"/>
      <c r="BE295" s="45"/>
      <c r="BG295" s="45"/>
      <c r="BI295" s="45"/>
      <c r="BK295" s="45"/>
    </row>
    <row r="296" spans="26:63" ht="12.75" customHeight="1">
      <c r="Z296" s="55"/>
      <c r="BB296" s="55"/>
      <c r="BE296" s="45"/>
      <c r="BG296" s="45"/>
      <c r="BI296" s="45"/>
      <c r="BK296" s="45"/>
    </row>
    <row r="297" spans="26:63" ht="12.75" customHeight="1">
      <c r="Z297" s="55"/>
      <c r="BB297" s="55"/>
      <c r="BE297" s="45"/>
      <c r="BG297" s="45"/>
      <c r="BI297" s="45"/>
      <c r="BK297" s="45"/>
    </row>
    <row r="298" spans="26:63" ht="12.75" customHeight="1">
      <c r="Z298" s="55"/>
      <c r="BB298" s="55"/>
      <c r="BE298" s="45"/>
      <c r="BG298" s="45"/>
      <c r="BI298" s="45"/>
      <c r="BK298" s="45"/>
    </row>
    <row r="299" spans="26:63" ht="12.75" customHeight="1">
      <c r="Z299" s="55"/>
      <c r="BB299" s="55"/>
      <c r="BE299" s="45"/>
      <c r="BG299" s="45"/>
      <c r="BI299" s="45"/>
      <c r="BK299" s="45"/>
    </row>
    <row r="300" spans="26:63" ht="12.75" customHeight="1">
      <c r="Z300" s="55"/>
      <c r="BB300" s="55"/>
      <c r="BE300" s="45"/>
      <c r="BG300" s="45"/>
      <c r="BI300" s="45"/>
      <c r="BK300" s="45"/>
    </row>
    <row r="301" spans="26:63" ht="12.75" customHeight="1">
      <c r="Z301" s="55"/>
      <c r="BB301" s="55"/>
      <c r="BE301" s="45"/>
      <c r="BG301" s="45"/>
      <c r="BI301" s="45"/>
      <c r="BK301" s="45"/>
    </row>
    <row r="302" spans="26:63" ht="12.75" customHeight="1">
      <c r="Z302" s="55"/>
      <c r="BB302" s="55"/>
      <c r="BE302" s="45"/>
      <c r="BG302" s="45"/>
      <c r="BI302" s="45"/>
      <c r="BK302" s="45"/>
    </row>
    <row r="303" spans="26:63" ht="12.75" customHeight="1">
      <c r="Z303" s="55"/>
      <c r="BB303" s="55"/>
      <c r="BE303" s="45"/>
      <c r="BG303" s="45"/>
      <c r="BI303" s="45"/>
      <c r="BK303" s="45"/>
    </row>
    <row r="304" spans="26:63" ht="12.75" customHeight="1">
      <c r="Z304" s="55"/>
      <c r="BB304" s="55"/>
      <c r="BE304" s="45"/>
      <c r="BG304" s="45"/>
      <c r="BI304" s="45"/>
      <c r="BK304" s="45"/>
    </row>
    <row r="305" spans="26:63" ht="12.75" customHeight="1">
      <c r="Z305" s="55"/>
      <c r="BB305" s="55"/>
      <c r="BE305" s="45"/>
      <c r="BG305" s="45"/>
      <c r="BI305" s="45"/>
      <c r="BK305" s="45"/>
    </row>
    <row r="306" spans="26:63" ht="12.75" customHeight="1">
      <c r="Z306" s="55"/>
      <c r="BB306" s="55"/>
      <c r="BE306" s="45"/>
      <c r="BG306" s="45"/>
      <c r="BI306" s="45"/>
      <c r="BK306" s="45"/>
    </row>
    <row r="307" spans="26:63" ht="12.75" customHeight="1">
      <c r="Z307" s="55"/>
      <c r="BB307" s="55"/>
      <c r="BE307" s="45"/>
      <c r="BG307" s="45"/>
      <c r="BI307" s="45"/>
      <c r="BK307" s="45"/>
    </row>
    <row r="308" spans="26:63" ht="12.75" customHeight="1">
      <c r="Z308" s="55"/>
      <c r="BB308" s="55"/>
      <c r="BE308" s="45"/>
      <c r="BG308" s="45"/>
      <c r="BI308" s="45"/>
      <c r="BK308" s="45"/>
    </row>
    <row r="309" spans="26:63" ht="12.75" customHeight="1">
      <c r="Z309" s="55"/>
      <c r="BB309" s="55"/>
      <c r="BE309" s="45"/>
      <c r="BG309" s="45"/>
      <c r="BI309" s="45"/>
      <c r="BK309" s="45"/>
    </row>
    <row r="310" spans="26:63" ht="12.75" customHeight="1">
      <c r="Z310" s="55"/>
      <c r="BB310" s="55"/>
      <c r="BE310" s="45"/>
      <c r="BG310" s="45"/>
      <c r="BI310" s="45"/>
      <c r="BK310" s="45"/>
    </row>
    <row r="311" spans="26:63" ht="12.75" customHeight="1">
      <c r="Z311" s="55"/>
      <c r="BB311" s="55"/>
    </row>
    <row r="312" spans="26:63" ht="12.75" customHeight="1">
      <c r="Z312" s="55"/>
      <c r="BB312" s="55"/>
    </row>
    <row r="313" spans="26:63" ht="12.75" customHeight="1">
      <c r="Z313" s="55"/>
      <c r="BB313" s="55"/>
    </row>
    <row r="314" spans="26:63" ht="12.75" customHeight="1">
      <c r="Z314" s="55"/>
      <c r="BB314" s="55"/>
    </row>
  </sheetData>
  <mergeCells count="1">
    <mergeCell ref="Q6:U6"/>
  </mergeCells>
  <phoneticPr fontId="4" type="noConversion"/>
  <pageMargins left="0.75" right="0.75" top="0.5" bottom="0.5" header="0" footer="0.25"/>
  <pageSetup scale="96" firstPageNumber="130" pageOrder="overThenDown" orientation="portrait" useFirstPageNumber="1" r:id="rId1"/>
  <headerFooter alignWithMargins="0">
    <oddFooter>&amp;C&amp;"Times New Roman,Regular"&amp;11&amp;P</oddFooter>
  </headerFooter>
  <colBreaks count="1" manualBreakCount="1">
    <brk id="13" min="12" max="2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F301"/>
  <sheetViews>
    <sheetView view="pageBreakPreview" zoomScale="75" zoomScaleNormal="100" zoomScaleSheetLayoutView="75" workbookViewId="0">
      <pane xSplit="3" ySplit="8" topLeftCell="D84" activePane="bottomRight" state="frozen"/>
      <selection pane="topRight" activeCell="D1" sqref="D1"/>
      <selection pane="bottomLeft" activeCell="A10" sqref="A10"/>
      <selection pane="bottomRight" activeCell="A5" sqref="A5"/>
    </sheetView>
  </sheetViews>
  <sheetFormatPr defaultColWidth="9.140625" defaultRowHeight="12.75" customHeight="1"/>
  <cols>
    <col min="1" max="1" width="15.140625" style="57" customWidth="1"/>
    <col min="2" max="2" width="1.7109375" customWidth="1"/>
    <col min="3" max="3" width="11.28515625" style="57" customWidth="1"/>
    <col min="4" max="4" width="1.7109375" style="57" customWidth="1"/>
    <col min="5" max="5" width="11.7109375" style="57" customWidth="1"/>
    <col min="6" max="6" width="1.7109375" style="57" customWidth="1"/>
    <col min="7" max="7" width="11.7109375" style="57" customWidth="1"/>
    <col min="8" max="8" width="1.7109375" style="57" customWidth="1"/>
    <col min="9" max="9" width="11.7109375" style="57" customWidth="1"/>
    <col min="10" max="10" width="1.7109375" style="57" customWidth="1"/>
    <col min="11" max="11" width="11.7109375" style="57" customWidth="1"/>
    <col min="12" max="12" width="1.7109375" style="57" customWidth="1"/>
    <col min="13" max="13" width="11.7109375" style="57" customWidth="1"/>
    <col min="14" max="14" width="1.7109375" style="57" customWidth="1"/>
    <col min="15" max="15" width="11.7109375" style="57" customWidth="1"/>
    <col min="16" max="16" width="1.7109375" style="57" customWidth="1"/>
    <col min="17" max="17" width="11.7109375" style="57" customWidth="1"/>
    <col min="18" max="18" width="1.7109375" style="57" customWidth="1"/>
    <col min="19" max="19" width="12.85546875" style="57" bestFit="1" customWidth="1"/>
    <col min="20" max="20" width="1.7109375" style="57" customWidth="1"/>
    <col min="21" max="21" width="11.7109375" style="2" customWidth="1"/>
    <col min="22" max="22" width="1.7109375" style="57" customWidth="1"/>
    <col min="23" max="23" width="11.85546875" style="2" bestFit="1" customWidth="1"/>
    <col min="24" max="24" width="1.7109375" style="57" customWidth="1"/>
    <col min="25" max="25" width="13.140625" style="57" bestFit="1" customWidth="1"/>
    <col min="26" max="26" width="1.7109375" style="57" customWidth="1"/>
    <col min="27" max="27" width="13.28515625" style="57" bestFit="1" customWidth="1"/>
    <col min="28" max="28" width="1.7109375" style="57" customWidth="1"/>
    <col min="29" max="30" width="11.5703125" style="57" bestFit="1" customWidth="1"/>
    <col min="31" max="16384" width="9.140625" style="57"/>
  </cols>
  <sheetData>
    <row r="1" spans="1:23" s="69" customFormat="1" ht="12.75" customHeight="1">
      <c r="A1" s="20" t="s">
        <v>421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"/>
      <c r="U1" s="1"/>
      <c r="W1" s="1"/>
    </row>
    <row r="2" spans="1:23" s="69" customFormat="1" ht="12.75" customHeight="1">
      <c r="A2" s="20" t="s">
        <v>499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1"/>
      <c r="U2" s="1"/>
      <c r="W2" s="1"/>
    </row>
    <row r="3" spans="1:23" ht="12.75" customHeight="1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23" ht="12.75" customHeight="1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23" ht="12.75" customHeight="1">
      <c r="A5" s="2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23" s="71" customFormat="1" ht="12.75" customHeight="1">
      <c r="A6" s="6"/>
      <c r="C6" s="6"/>
      <c r="D6" s="6"/>
      <c r="E6" s="6" t="s">
        <v>296</v>
      </c>
      <c r="F6" s="6"/>
      <c r="G6" s="6" t="s">
        <v>328</v>
      </c>
      <c r="H6" s="6"/>
      <c r="I6" s="6"/>
      <c r="J6" s="6"/>
      <c r="K6" s="6"/>
      <c r="L6" s="6"/>
      <c r="M6" s="6"/>
      <c r="N6" s="6"/>
      <c r="O6" s="6"/>
      <c r="P6" s="6"/>
      <c r="Q6" s="6" t="s">
        <v>376</v>
      </c>
      <c r="R6" s="6"/>
      <c r="S6" s="6" t="s">
        <v>6</v>
      </c>
      <c r="T6" s="3"/>
      <c r="U6" s="3" t="s">
        <v>440</v>
      </c>
      <c r="W6" s="3"/>
    </row>
    <row r="7" spans="1:23" s="71" customFormat="1" ht="12.75" customHeight="1">
      <c r="A7" s="6"/>
      <c r="C7" s="6"/>
      <c r="D7" s="6"/>
      <c r="E7" s="6" t="s">
        <v>356</v>
      </c>
      <c r="F7" s="6"/>
      <c r="G7" s="6" t="s">
        <v>377</v>
      </c>
      <c r="H7" s="6"/>
      <c r="I7" s="6" t="s">
        <v>378</v>
      </c>
      <c r="J7" s="6"/>
      <c r="K7" s="6" t="s">
        <v>363</v>
      </c>
      <c r="L7" s="6"/>
      <c r="M7" s="6" t="s">
        <v>4</v>
      </c>
      <c r="N7" s="6"/>
      <c r="O7" s="6" t="s">
        <v>379</v>
      </c>
      <c r="P7" s="6"/>
      <c r="Q7" s="6" t="s">
        <v>294</v>
      </c>
      <c r="R7" s="6"/>
      <c r="S7" s="6" t="s">
        <v>352</v>
      </c>
      <c r="T7" s="3"/>
      <c r="U7" s="3" t="s">
        <v>441</v>
      </c>
      <c r="W7" s="3" t="s">
        <v>324</v>
      </c>
    </row>
    <row r="8" spans="1:23" s="106" customFormat="1" ht="12.75" customHeight="1">
      <c r="A8" s="7" t="s">
        <v>8</v>
      </c>
      <c r="C8" s="7" t="s">
        <v>9</v>
      </c>
      <c r="D8" s="8"/>
      <c r="E8" s="78" t="s">
        <v>362</v>
      </c>
      <c r="F8" s="8"/>
      <c r="G8" s="78" t="s">
        <v>362</v>
      </c>
      <c r="H8" s="8"/>
      <c r="I8" s="78" t="s">
        <v>380</v>
      </c>
      <c r="J8" s="8"/>
      <c r="K8" s="78" t="s">
        <v>381</v>
      </c>
      <c r="L8" s="8"/>
      <c r="M8" s="78" t="s">
        <v>382</v>
      </c>
      <c r="N8" s="8"/>
      <c r="O8" s="78" t="s">
        <v>383</v>
      </c>
      <c r="P8" s="8"/>
      <c r="Q8" s="78" t="s">
        <v>364</v>
      </c>
      <c r="R8" s="8"/>
      <c r="S8" s="78" t="s">
        <v>364</v>
      </c>
      <c r="T8" s="81"/>
      <c r="U8" s="7" t="s">
        <v>442</v>
      </c>
      <c r="W8" s="81" t="s">
        <v>436</v>
      </c>
    </row>
    <row r="9" spans="1:23" s="65" customFormat="1" ht="12.75" customHeight="1">
      <c r="A9" s="35"/>
      <c r="B9" s="51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44"/>
      <c r="U9" s="44"/>
      <c r="W9" s="44"/>
    </row>
    <row r="10" spans="1:23" s="66" customFormat="1" ht="12.75" hidden="1" customHeight="1">
      <c r="A10" s="35" t="s">
        <v>12</v>
      </c>
      <c r="B10" s="65"/>
      <c r="C10" s="35" t="s">
        <v>13</v>
      </c>
      <c r="D10" s="35"/>
      <c r="E10" s="68">
        <v>0</v>
      </c>
      <c r="F10" s="68"/>
      <c r="G10" s="68">
        <v>0</v>
      </c>
      <c r="H10" s="68"/>
      <c r="I10" s="68">
        <v>0</v>
      </c>
      <c r="J10" s="68"/>
      <c r="K10" s="68">
        <v>0</v>
      </c>
      <c r="L10" s="68"/>
      <c r="M10" s="68">
        <v>0</v>
      </c>
      <c r="N10" s="68"/>
      <c r="O10" s="68">
        <v>0</v>
      </c>
      <c r="P10" s="68"/>
      <c r="Q10" s="68">
        <v>0</v>
      </c>
      <c r="R10" s="68"/>
      <c r="S10" s="68">
        <f t="shared" ref="S10:S73" si="0">SUM(E10:Q10)</f>
        <v>0</v>
      </c>
      <c r="T10" s="46"/>
      <c r="U10" s="46">
        <v>0</v>
      </c>
      <c r="V10" s="65"/>
      <c r="W10" s="44">
        <f>+S10-'Stmt net assets'!O10-U10</f>
        <v>0</v>
      </c>
    </row>
    <row r="11" spans="1:23" s="65" customFormat="1" ht="12.75" customHeight="1">
      <c r="A11" s="35" t="s">
        <v>14</v>
      </c>
      <c r="C11" s="35" t="s">
        <v>15</v>
      </c>
      <c r="D11" s="35"/>
      <c r="E11" s="68">
        <v>980000</v>
      </c>
      <c r="F11" s="68"/>
      <c r="G11" s="68">
        <v>250000</v>
      </c>
      <c r="H11" s="68"/>
      <c r="I11" s="68">
        <v>0</v>
      </c>
      <c r="J11" s="68"/>
      <c r="K11" s="68">
        <v>0</v>
      </c>
      <c r="L11" s="68"/>
      <c r="M11" s="68">
        <v>0</v>
      </c>
      <c r="N11" s="68"/>
      <c r="O11" s="68">
        <v>2598242</v>
      </c>
      <c r="P11" s="68"/>
      <c r="Q11" s="68">
        <v>364896</v>
      </c>
      <c r="R11" s="68"/>
      <c r="S11" s="68">
        <f>SUM(E11:Q11)</f>
        <v>4193138</v>
      </c>
      <c r="T11" s="46"/>
      <c r="U11" s="68">
        <v>1031413</v>
      </c>
      <c r="W11" s="44">
        <f>+S11-'Stmt net assets'!O11-U11</f>
        <v>0</v>
      </c>
    </row>
    <row r="12" spans="1:23" s="65" customFormat="1" ht="12.75" customHeight="1">
      <c r="A12" s="35" t="s">
        <v>16</v>
      </c>
      <c r="B12" s="51"/>
      <c r="C12" s="35" t="s">
        <v>17</v>
      </c>
      <c r="D12" s="35"/>
      <c r="E12" s="48">
        <v>2871015</v>
      </c>
      <c r="F12" s="48"/>
      <c r="G12" s="48">
        <v>0</v>
      </c>
      <c r="H12" s="48"/>
      <c r="I12" s="48">
        <v>0</v>
      </c>
      <c r="J12" s="48"/>
      <c r="K12" s="48">
        <v>537266</v>
      </c>
      <c r="L12" s="48"/>
      <c r="M12" s="48">
        <v>0</v>
      </c>
      <c r="N12" s="48"/>
      <c r="O12" s="48">
        <v>366163</v>
      </c>
      <c r="P12" s="48"/>
      <c r="Q12" s="48">
        <v>0</v>
      </c>
      <c r="R12" s="48"/>
      <c r="S12" s="48">
        <f t="shared" ref="S12:S68" si="1">SUM(E12:Q12)</f>
        <v>3774444</v>
      </c>
      <c r="T12" s="44"/>
      <c r="U12" s="48">
        <v>334349</v>
      </c>
      <c r="W12" s="44">
        <f>+S12-'Stmt net assets'!O12-U12</f>
        <v>0</v>
      </c>
    </row>
    <row r="13" spans="1:23" s="65" customFormat="1" ht="12.75" customHeight="1">
      <c r="A13" s="35" t="s">
        <v>18</v>
      </c>
      <c r="B13" s="51"/>
      <c r="C13" s="35" t="s">
        <v>18</v>
      </c>
      <c r="D13" s="35"/>
      <c r="E13" s="48">
        <f>2124000+835000</f>
        <v>2959000</v>
      </c>
      <c r="F13" s="48"/>
      <c r="G13" s="48">
        <v>0</v>
      </c>
      <c r="H13" s="48"/>
      <c r="I13" s="48">
        <v>0</v>
      </c>
      <c r="J13" s="48"/>
      <c r="K13" s="48">
        <v>329791</v>
      </c>
      <c r="L13" s="48"/>
      <c r="M13" s="48">
        <v>0</v>
      </c>
      <c r="N13" s="48"/>
      <c r="O13" s="48">
        <v>671546</v>
      </c>
      <c r="P13" s="48"/>
      <c r="Q13" s="48">
        <v>0</v>
      </c>
      <c r="R13" s="48"/>
      <c r="S13" s="48">
        <f t="shared" si="1"/>
        <v>3960337</v>
      </c>
      <c r="T13" s="44"/>
      <c r="U13" s="48">
        <v>427884</v>
      </c>
      <c r="W13" s="44">
        <f>+S13-'Stmt net assets'!O13-U13</f>
        <v>0</v>
      </c>
    </row>
    <row r="14" spans="1:23" s="65" customFormat="1" ht="12.75" customHeight="1">
      <c r="A14" s="35" t="s">
        <v>19</v>
      </c>
      <c r="B14" s="51"/>
      <c r="C14" s="35" t="s">
        <v>19</v>
      </c>
      <c r="D14" s="35"/>
      <c r="E14" s="48">
        <v>475000</v>
      </c>
      <c r="F14" s="48"/>
      <c r="G14" s="48">
        <v>92933</v>
      </c>
      <c r="H14" s="48"/>
      <c r="I14" s="48">
        <v>0</v>
      </c>
      <c r="J14" s="48"/>
      <c r="K14" s="48">
        <v>0</v>
      </c>
      <c r="L14" s="48"/>
      <c r="M14" s="48">
        <v>0</v>
      </c>
      <c r="N14" s="48"/>
      <c r="O14" s="48">
        <v>3078833</v>
      </c>
      <c r="P14" s="48"/>
      <c r="Q14" s="48">
        <v>409016</v>
      </c>
      <c r="R14" s="48"/>
      <c r="S14" s="48">
        <f t="shared" si="1"/>
        <v>4055782</v>
      </c>
      <c r="T14" s="44"/>
      <c r="U14" s="48">
        <v>1647202</v>
      </c>
      <c r="W14" s="44">
        <f>+S14-'Stmt net assets'!O14-U14</f>
        <v>0</v>
      </c>
    </row>
    <row r="15" spans="1:23" s="65" customFormat="1" ht="12.75" customHeight="1">
      <c r="A15" s="35" t="s">
        <v>20</v>
      </c>
      <c r="B15" s="51"/>
      <c r="C15" s="35" t="s">
        <v>20</v>
      </c>
      <c r="D15" s="35"/>
      <c r="E15" s="48">
        <f>2730000+65845</f>
        <v>2795845</v>
      </c>
      <c r="F15" s="48"/>
      <c r="G15" s="48">
        <v>0</v>
      </c>
      <c r="H15" s="48"/>
      <c r="I15" s="48">
        <v>0</v>
      </c>
      <c r="J15" s="48"/>
      <c r="K15" s="48">
        <v>0</v>
      </c>
      <c r="L15" s="48"/>
      <c r="M15" s="48">
        <v>0</v>
      </c>
      <c r="N15" s="48"/>
      <c r="O15" s="48">
        <v>1164568</v>
      </c>
      <c r="P15" s="48"/>
      <c r="Q15" s="48">
        <v>7174</v>
      </c>
      <c r="R15" s="48"/>
      <c r="S15" s="48">
        <f t="shared" si="1"/>
        <v>3967587</v>
      </c>
      <c r="T15" s="44"/>
      <c r="U15" s="48">
        <v>1139863</v>
      </c>
      <c r="W15" s="44">
        <f>+S15-'Stmt net assets'!O15-U15</f>
        <v>0</v>
      </c>
    </row>
    <row r="16" spans="1:23" s="65" customFormat="1" ht="12.75" customHeight="1">
      <c r="A16" s="35" t="s">
        <v>21</v>
      </c>
      <c r="B16" s="51"/>
      <c r="C16" s="35" t="s">
        <v>22</v>
      </c>
      <c r="D16" s="35"/>
      <c r="E16" s="48">
        <f>9105518+151063-183956</f>
        <v>9072625</v>
      </c>
      <c r="F16" s="48"/>
      <c r="G16" s="48">
        <v>0</v>
      </c>
      <c r="H16" s="48"/>
      <c r="I16" s="48">
        <v>0</v>
      </c>
      <c r="J16" s="48"/>
      <c r="K16" s="48">
        <v>439363</v>
      </c>
      <c r="L16" s="48"/>
      <c r="M16" s="48">
        <v>122202</v>
      </c>
      <c r="N16" s="48"/>
      <c r="O16" s="48">
        <v>857596</v>
      </c>
      <c r="P16" s="48"/>
      <c r="Q16" s="48">
        <v>0</v>
      </c>
      <c r="R16" s="48"/>
      <c r="S16" s="48">
        <f t="shared" si="1"/>
        <v>10491786</v>
      </c>
      <c r="T16" s="44"/>
      <c r="U16" s="48">
        <v>724259</v>
      </c>
      <c r="W16" s="44">
        <f>+S16-'Stmt net assets'!O16-U16</f>
        <v>0</v>
      </c>
    </row>
    <row r="17" spans="1:25" s="65" customFormat="1" ht="12.75" customHeight="1">
      <c r="A17" s="35" t="s">
        <v>23</v>
      </c>
      <c r="B17" s="51"/>
      <c r="C17" s="35" t="s">
        <v>17</v>
      </c>
      <c r="D17" s="35"/>
      <c r="E17" s="48">
        <v>42987841</v>
      </c>
      <c r="F17" s="48"/>
      <c r="G17" s="48">
        <v>2959042</v>
      </c>
      <c r="H17" s="48"/>
      <c r="I17" s="48">
        <v>5726870</v>
      </c>
      <c r="J17" s="48"/>
      <c r="K17" s="48">
        <v>198811</v>
      </c>
      <c r="L17" s="48"/>
      <c r="M17" s="48">
        <v>0</v>
      </c>
      <c r="N17" s="48"/>
      <c r="O17" s="48">
        <v>1882126</v>
      </c>
      <c r="P17" s="48"/>
      <c r="Q17" s="48">
        <v>0</v>
      </c>
      <c r="R17" s="48"/>
      <c r="S17" s="48">
        <f t="shared" si="1"/>
        <v>53754690</v>
      </c>
      <c r="T17" s="44"/>
      <c r="U17" s="48">
        <v>1876911</v>
      </c>
      <c r="W17" s="44">
        <f>+S17-'Stmt net assets'!O17-U17</f>
        <v>0</v>
      </c>
    </row>
    <row r="18" spans="1:25" s="65" customFormat="1" ht="12.75" hidden="1" customHeight="1">
      <c r="A18" s="35" t="s">
        <v>24</v>
      </c>
      <c r="B18" s="51"/>
      <c r="C18" s="35" t="s">
        <v>17</v>
      </c>
      <c r="D18" s="35"/>
      <c r="E18" s="48">
        <v>0</v>
      </c>
      <c r="F18" s="48"/>
      <c r="G18" s="48">
        <v>0</v>
      </c>
      <c r="H18" s="48"/>
      <c r="I18" s="48">
        <v>0</v>
      </c>
      <c r="J18" s="48"/>
      <c r="K18" s="48">
        <v>0</v>
      </c>
      <c r="L18" s="48"/>
      <c r="M18" s="48">
        <v>0</v>
      </c>
      <c r="N18" s="48"/>
      <c r="O18" s="48">
        <v>0</v>
      </c>
      <c r="P18" s="48"/>
      <c r="Q18" s="48">
        <v>0</v>
      </c>
      <c r="R18" s="48"/>
      <c r="S18" s="48">
        <f t="shared" si="1"/>
        <v>0</v>
      </c>
      <c r="T18" s="44"/>
      <c r="U18" s="48">
        <v>0</v>
      </c>
      <c r="W18" s="44">
        <f>+S18-'Stmt net assets'!O18-U18</f>
        <v>0</v>
      </c>
    </row>
    <row r="19" spans="1:25" s="65" customFormat="1" ht="12.75" customHeight="1">
      <c r="A19" s="35" t="s">
        <v>25</v>
      </c>
      <c r="B19" s="51"/>
      <c r="C19" s="35" t="s">
        <v>13</v>
      </c>
      <c r="D19" s="35"/>
      <c r="E19" s="48">
        <v>4347960</v>
      </c>
      <c r="F19" s="48"/>
      <c r="G19" s="48">
        <v>91053</v>
      </c>
      <c r="H19" s="48"/>
      <c r="I19" s="48">
        <v>0</v>
      </c>
      <c r="J19" s="48"/>
      <c r="K19" s="48">
        <f>750000+160509</f>
        <v>910509</v>
      </c>
      <c r="L19" s="48"/>
      <c r="M19" s="48">
        <v>354696</v>
      </c>
      <c r="N19" s="48"/>
      <c r="O19" s="48">
        <v>3207540</v>
      </c>
      <c r="P19" s="48"/>
      <c r="Q19" s="48">
        <v>0</v>
      </c>
      <c r="R19" s="48"/>
      <c r="S19" s="48">
        <f t="shared" si="1"/>
        <v>8911758</v>
      </c>
      <c r="T19" s="44"/>
      <c r="U19" s="48">
        <v>1968699</v>
      </c>
      <c r="W19" s="44">
        <f>+S19-'Stmt net assets'!O19-U19</f>
        <v>0</v>
      </c>
    </row>
    <row r="20" spans="1:25" s="65" customFormat="1" ht="12.75" customHeight="1">
      <c r="A20" s="35" t="s">
        <v>26</v>
      </c>
      <c r="B20" s="51"/>
      <c r="C20" s="35" t="s">
        <v>27</v>
      </c>
      <c r="D20" s="35"/>
      <c r="E20" s="48">
        <f>8225000+40302</f>
        <v>8265302</v>
      </c>
      <c r="F20" s="48"/>
      <c r="G20" s="48">
        <v>0</v>
      </c>
      <c r="H20" s="48"/>
      <c r="I20" s="48">
        <v>0</v>
      </c>
      <c r="J20" s="48"/>
      <c r="K20" s="48">
        <v>0</v>
      </c>
      <c r="L20" s="48"/>
      <c r="M20" s="48">
        <v>0</v>
      </c>
      <c r="N20" s="48"/>
      <c r="O20" s="48">
        <f>107542+1220958</f>
        <v>1328500</v>
      </c>
      <c r="P20" s="48"/>
      <c r="Q20" s="48">
        <v>0</v>
      </c>
      <c r="R20" s="48"/>
      <c r="S20" s="48">
        <f t="shared" si="1"/>
        <v>9593802</v>
      </c>
      <c r="T20" s="44"/>
      <c r="U20" s="48">
        <v>1784915</v>
      </c>
      <c r="W20" s="44">
        <f>+S20-'Stmt net assets'!O20-U20</f>
        <v>0</v>
      </c>
    </row>
    <row r="21" spans="1:25" s="65" customFormat="1" ht="12.75" customHeight="1">
      <c r="A21" s="35" t="s">
        <v>28</v>
      </c>
      <c r="B21" s="51"/>
      <c r="C21" s="35" t="s">
        <v>27</v>
      </c>
      <c r="D21" s="35"/>
      <c r="E21" s="48">
        <v>20757896</v>
      </c>
      <c r="F21" s="48"/>
      <c r="G21" s="48">
        <v>770000</v>
      </c>
      <c r="H21" s="48"/>
      <c r="I21" s="48">
        <v>0</v>
      </c>
      <c r="J21" s="48"/>
      <c r="K21" s="48">
        <v>0</v>
      </c>
      <c r="L21" s="48"/>
      <c r="M21" s="48">
        <v>0</v>
      </c>
      <c r="N21" s="48"/>
      <c r="O21" s="48">
        <v>2453740</v>
      </c>
      <c r="P21" s="48"/>
      <c r="Q21" s="48">
        <v>0</v>
      </c>
      <c r="R21" s="48"/>
      <c r="S21" s="48">
        <f t="shared" si="1"/>
        <v>23981636</v>
      </c>
      <c r="T21" s="44"/>
      <c r="U21" s="48">
        <v>2575967</v>
      </c>
      <c r="W21" s="44">
        <f>+S21-'Stmt net assets'!O21-U21</f>
        <v>0</v>
      </c>
      <c r="Y21" s="44"/>
    </row>
    <row r="22" spans="1:25" s="65" customFormat="1" ht="12.75" customHeight="1">
      <c r="A22" s="35" t="s">
        <v>29</v>
      </c>
      <c r="B22" s="51"/>
      <c r="C22" s="35" t="s">
        <v>30</v>
      </c>
      <c r="D22" s="35"/>
      <c r="E22" s="48">
        <v>4695000</v>
      </c>
      <c r="F22" s="48"/>
      <c r="G22" s="48">
        <v>3330000</v>
      </c>
      <c r="H22" s="48"/>
      <c r="I22" s="48">
        <v>0</v>
      </c>
      <c r="J22" s="48"/>
      <c r="K22" s="48">
        <v>0</v>
      </c>
      <c r="L22" s="48"/>
      <c r="M22" s="48">
        <v>0</v>
      </c>
      <c r="N22" s="48"/>
      <c r="O22" s="48">
        <v>1240151</v>
      </c>
      <c r="P22" s="48"/>
      <c r="Q22" s="48">
        <v>0</v>
      </c>
      <c r="R22" s="48"/>
      <c r="S22" s="48">
        <f t="shared" si="1"/>
        <v>9265151</v>
      </c>
      <c r="T22" s="44"/>
      <c r="U22" s="48">
        <v>1778041</v>
      </c>
      <c r="W22" s="44">
        <f>+S22-'Stmt net assets'!O22-U22</f>
        <v>0</v>
      </c>
    </row>
    <row r="23" spans="1:25" s="65" customFormat="1" ht="12.75" customHeight="1">
      <c r="A23" s="35" t="s">
        <v>31</v>
      </c>
      <c r="B23" s="51"/>
      <c r="C23" s="35" t="s">
        <v>27</v>
      </c>
      <c r="D23" s="35"/>
      <c r="E23" s="48">
        <v>11963792</v>
      </c>
      <c r="F23" s="48"/>
      <c r="G23" s="48">
        <v>310000</v>
      </c>
      <c r="H23" s="48"/>
      <c r="I23" s="48">
        <v>0</v>
      </c>
      <c r="J23" s="48"/>
      <c r="K23" s="48">
        <v>337199</v>
      </c>
      <c r="L23" s="48"/>
      <c r="M23" s="48">
        <v>22845</v>
      </c>
      <c r="N23" s="48"/>
      <c r="O23" s="48">
        <v>1397189</v>
      </c>
      <c r="P23" s="48"/>
      <c r="Q23" s="48">
        <v>185871</v>
      </c>
      <c r="R23" s="48"/>
      <c r="S23" s="48">
        <f t="shared" si="1"/>
        <v>14216896</v>
      </c>
      <c r="T23" s="44"/>
      <c r="U23" s="48">
        <v>1121118</v>
      </c>
      <c r="W23" s="44">
        <f>+S23-'Stmt net assets'!O23-U23</f>
        <v>0</v>
      </c>
    </row>
    <row r="24" spans="1:25" s="65" customFormat="1" ht="12.75" customHeight="1">
      <c r="A24" s="35" t="s">
        <v>32</v>
      </c>
      <c r="B24" s="51"/>
      <c r="C24" s="35" t="s">
        <v>27</v>
      </c>
      <c r="D24" s="35"/>
      <c r="E24" s="48">
        <v>3409550</v>
      </c>
      <c r="F24" s="48"/>
      <c r="G24" s="48">
        <v>0</v>
      </c>
      <c r="H24" s="48"/>
      <c r="I24" s="48">
        <v>0</v>
      </c>
      <c r="J24" s="48"/>
      <c r="K24" s="48">
        <v>242508</v>
      </c>
      <c r="L24" s="48"/>
      <c r="M24" s="48">
        <v>436193</v>
      </c>
      <c r="N24" s="48"/>
      <c r="O24" s="48">
        <v>1568714</v>
      </c>
      <c r="P24" s="48"/>
      <c r="Q24" s="48">
        <v>660641</v>
      </c>
      <c r="R24" s="48"/>
      <c r="S24" s="48">
        <f t="shared" si="1"/>
        <v>6317606</v>
      </c>
      <c r="T24" s="44"/>
      <c r="U24" s="48">
        <v>1791698</v>
      </c>
      <c r="W24" s="44">
        <f>+S24-'Stmt net assets'!O24-U24</f>
        <v>0</v>
      </c>
    </row>
    <row r="25" spans="1:25" s="65" customFormat="1" ht="12.75" customHeight="1">
      <c r="A25" s="35" t="s">
        <v>34</v>
      </c>
      <c r="B25" s="51"/>
      <c r="C25" s="35" t="s">
        <v>30</v>
      </c>
      <c r="D25" s="35"/>
      <c r="E25" s="48">
        <v>0</v>
      </c>
      <c r="F25" s="48"/>
      <c r="G25" s="48">
        <v>0</v>
      </c>
      <c r="H25" s="48"/>
      <c r="I25" s="48">
        <v>0</v>
      </c>
      <c r="J25" s="48"/>
      <c r="K25" s="48">
        <v>0</v>
      </c>
      <c r="L25" s="48"/>
      <c r="M25" s="48">
        <v>0</v>
      </c>
      <c r="N25" s="48"/>
      <c r="O25" s="48">
        <v>191999</v>
      </c>
      <c r="P25" s="48"/>
      <c r="Q25" s="48">
        <v>0</v>
      </c>
      <c r="R25" s="48"/>
      <c r="S25" s="48">
        <f t="shared" si="1"/>
        <v>191999</v>
      </c>
      <c r="T25" s="44"/>
      <c r="U25" s="48">
        <v>95360</v>
      </c>
      <c r="W25" s="44">
        <f>+S25-'Stmt net assets'!O25-U25</f>
        <v>0</v>
      </c>
    </row>
    <row r="26" spans="1:25" s="65" customFormat="1" ht="12.75" customHeight="1">
      <c r="A26" s="35" t="s">
        <v>35</v>
      </c>
      <c r="B26" s="51"/>
      <c r="C26" s="35" t="s">
        <v>36</v>
      </c>
      <c r="D26" s="35"/>
      <c r="E26" s="48">
        <v>0</v>
      </c>
      <c r="F26" s="48"/>
      <c r="G26" s="48">
        <v>35000</v>
      </c>
      <c r="H26" s="48"/>
      <c r="I26" s="48">
        <v>0</v>
      </c>
      <c r="J26" s="48"/>
      <c r="K26" s="48">
        <v>255000</v>
      </c>
      <c r="L26" s="48"/>
      <c r="M26" s="48">
        <v>0</v>
      </c>
      <c r="N26" s="48"/>
      <c r="O26" s="48">
        <v>1151120</v>
      </c>
      <c r="P26" s="48"/>
      <c r="Q26" s="48">
        <f>335000+610623+22858</f>
        <v>968481</v>
      </c>
      <c r="R26" s="48"/>
      <c r="S26" s="48">
        <f t="shared" si="1"/>
        <v>2409601</v>
      </c>
      <c r="T26" s="44"/>
      <c r="U26" s="48">
        <v>791150</v>
      </c>
      <c r="W26" s="44">
        <f>+S26-'Stmt net assets'!O26-U26</f>
        <v>0</v>
      </c>
    </row>
    <row r="27" spans="1:25" s="65" customFormat="1" ht="12.75" customHeight="1">
      <c r="A27" s="35" t="s">
        <v>37</v>
      </c>
      <c r="B27" s="51"/>
      <c r="C27" s="35" t="s">
        <v>38</v>
      </c>
      <c r="D27" s="35"/>
      <c r="E27" s="48">
        <v>0</v>
      </c>
      <c r="F27" s="48"/>
      <c r="G27" s="48">
        <v>1150000</v>
      </c>
      <c r="H27" s="48"/>
      <c r="I27" s="48">
        <v>0</v>
      </c>
      <c r="J27" s="48"/>
      <c r="K27" s="48">
        <v>0</v>
      </c>
      <c r="L27" s="48"/>
      <c r="M27" s="48">
        <v>0</v>
      </c>
      <c r="N27" s="48"/>
      <c r="O27" s="48">
        <v>497025</v>
      </c>
      <c r="P27" s="48"/>
      <c r="Q27" s="48">
        <v>0</v>
      </c>
      <c r="R27" s="48"/>
      <c r="S27" s="48">
        <f t="shared" si="1"/>
        <v>1647025</v>
      </c>
      <c r="T27" s="44"/>
      <c r="U27" s="48">
        <v>223168</v>
      </c>
      <c r="W27" s="44">
        <f>+S27-'Stmt net assets'!O27-U27</f>
        <v>0</v>
      </c>
    </row>
    <row r="28" spans="1:25" s="65" customFormat="1" ht="12.75" customHeight="1">
      <c r="A28" s="35" t="s">
        <v>39</v>
      </c>
      <c r="B28" s="51"/>
      <c r="C28" s="35" t="s">
        <v>40</v>
      </c>
      <c r="D28" s="35"/>
      <c r="E28" s="48">
        <v>0</v>
      </c>
      <c r="F28" s="48"/>
      <c r="G28" s="48">
        <v>0</v>
      </c>
      <c r="H28" s="48"/>
      <c r="I28" s="48">
        <v>0</v>
      </c>
      <c r="J28" s="48"/>
      <c r="K28" s="48">
        <v>0</v>
      </c>
      <c r="L28" s="48"/>
      <c r="M28" s="48">
        <v>932234</v>
      </c>
      <c r="N28" s="48"/>
      <c r="O28" s="48">
        <v>29439</v>
      </c>
      <c r="P28" s="48"/>
      <c r="Q28" s="48">
        <v>19712</v>
      </c>
      <c r="R28" s="48"/>
      <c r="S28" s="48">
        <f t="shared" si="1"/>
        <v>981385</v>
      </c>
      <c r="T28" s="44"/>
      <c r="U28" s="48">
        <v>122735</v>
      </c>
      <c r="W28" s="44">
        <f>+S28-'Stmt net assets'!O28-U28</f>
        <v>0</v>
      </c>
    </row>
    <row r="29" spans="1:25" s="65" customFormat="1" ht="12.75" customHeight="1">
      <c r="A29" s="35" t="s">
        <v>41</v>
      </c>
      <c r="B29" s="51"/>
      <c r="C29" s="35" t="s">
        <v>27</v>
      </c>
      <c r="D29" s="35"/>
      <c r="E29" s="48">
        <f>10545000+91416</f>
        <v>10636416</v>
      </c>
      <c r="F29" s="48"/>
      <c r="G29" s="48">
        <v>0</v>
      </c>
      <c r="H29" s="48"/>
      <c r="I29" s="48">
        <v>3850000</v>
      </c>
      <c r="J29" s="48"/>
      <c r="K29" s="48">
        <v>1484204</v>
      </c>
      <c r="L29" s="48"/>
      <c r="M29" s="48">
        <v>387241</v>
      </c>
      <c r="N29" s="48"/>
      <c r="O29" s="48">
        <v>1427899</v>
      </c>
      <c r="P29" s="48"/>
      <c r="Q29" s="48">
        <f>223585+480000</f>
        <v>703585</v>
      </c>
      <c r="R29" s="48"/>
      <c r="S29" s="48">
        <f t="shared" si="1"/>
        <v>18489345</v>
      </c>
      <c r="T29" s="44"/>
      <c r="U29" s="48">
        <v>5412473</v>
      </c>
      <c r="W29" s="44">
        <f>+S29-'Stmt net assets'!O29-U29</f>
        <v>0</v>
      </c>
    </row>
    <row r="30" spans="1:25" s="65" customFormat="1" ht="12.75" customHeight="1">
      <c r="A30" s="35" t="s">
        <v>42</v>
      </c>
      <c r="B30" s="51"/>
      <c r="C30" s="35" t="s">
        <v>43</v>
      </c>
      <c r="D30" s="35"/>
      <c r="E30" s="48">
        <v>19261271</v>
      </c>
      <c r="F30" s="48"/>
      <c r="G30" s="48">
        <v>0</v>
      </c>
      <c r="H30" s="48"/>
      <c r="I30" s="48">
        <v>0</v>
      </c>
      <c r="J30" s="48"/>
      <c r="K30" s="48">
        <v>2405914</v>
      </c>
      <c r="L30" s="48"/>
      <c r="M30" s="48">
        <v>81874</v>
      </c>
      <c r="N30" s="48"/>
      <c r="O30" s="48">
        <v>328146</v>
      </c>
      <c r="P30" s="48"/>
      <c r="Q30" s="48">
        <v>359650</v>
      </c>
      <c r="R30" s="48"/>
      <c r="S30" s="48">
        <f t="shared" si="1"/>
        <v>22436855</v>
      </c>
      <c r="T30" s="44"/>
      <c r="U30" s="48">
        <v>1112921</v>
      </c>
      <c r="W30" s="44">
        <f>+S30-'Stmt net assets'!O30-U30</f>
        <v>0</v>
      </c>
    </row>
    <row r="31" spans="1:25" s="65" customFormat="1" ht="12.75" customHeight="1">
      <c r="A31" s="35" t="s">
        <v>44</v>
      </c>
      <c r="B31" s="51"/>
      <c r="C31" s="35" t="s">
        <v>45</v>
      </c>
      <c r="D31" s="35"/>
      <c r="E31" s="48">
        <v>33058232</v>
      </c>
      <c r="F31" s="48"/>
      <c r="G31" s="48">
        <v>0</v>
      </c>
      <c r="H31" s="48"/>
      <c r="I31" s="48">
        <v>0</v>
      </c>
      <c r="J31" s="48"/>
      <c r="K31" s="48">
        <f>17584413+2255589</f>
        <v>19840002</v>
      </c>
      <c r="L31" s="48"/>
      <c r="M31" s="48">
        <v>0</v>
      </c>
      <c r="N31" s="48"/>
      <c r="O31" s="48">
        <v>1738398</v>
      </c>
      <c r="P31" s="48"/>
      <c r="Q31" s="48">
        <v>0</v>
      </c>
      <c r="R31" s="48"/>
      <c r="S31" s="48">
        <f t="shared" si="1"/>
        <v>54636632</v>
      </c>
      <c r="T31" s="44"/>
      <c r="U31" s="48">
        <v>4104298</v>
      </c>
      <c r="W31" s="44">
        <f>+S31-'Stmt net assets'!O31-U31</f>
        <v>0</v>
      </c>
    </row>
    <row r="32" spans="1:25" s="65" customFormat="1" ht="12.75" customHeight="1">
      <c r="A32" s="35" t="s">
        <v>46</v>
      </c>
      <c r="B32" s="51"/>
      <c r="C32" s="35" t="s">
        <v>47</v>
      </c>
      <c r="D32" s="35"/>
      <c r="E32" s="48">
        <v>7983858</v>
      </c>
      <c r="F32" s="48"/>
      <c r="G32" s="48">
        <v>0</v>
      </c>
      <c r="H32" s="48"/>
      <c r="I32" s="48">
        <v>2200000</v>
      </c>
      <c r="J32" s="48"/>
      <c r="K32" s="48">
        <v>19810500</v>
      </c>
      <c r="L32" s="48"/>
      <c r="M32" s="48">
        <v>0</v>
      </c>
      <c r="N32" s="48"/>
      <c r="O32" s="48">
        <v>1686300</v>
      </c>
      <c r="P32" s="48"/>
      <c r="Q32" s="48">
        <v>0</v>
      </c>
      <c r="R32" s="48"/>
      <c r="S32" s="48">
        <f t="shared" si="1"/>
        <v>31680658</v>
      </c>
      <c r="T32" s="44"/>
      <c r="U32" s="48">
        <f>1995473+2200000</f>
        <v>4195473</v>
      </c>
      <c r="W32" s="44">
        <f>+S32-'Stmt net assets'!O32-U32</f>
        <v>0</v>
      </c>
    </row>
    <row r="33" spans="1:25" s="65" customFormat="1" ht="12.75" customHeight="1">
      <c r="A33" s="35" t="s">
        <v>48</v>
      </c>
      <c r="B33" s="51"/>
      <c r="C33" s="35" t="s">
        <v>27</v>
      </c>
      <c r="D33" s="35"/>
      <c r="E33" s="48">
        <v>8672310</v>
      </c>
      <c r="F33" s="48"/>
      <c r="G33" s="48">
        <v>3166959</v>
      </c>
      <c r="H33" s="48"/>
      <c r="I33" s="48">
        <v>0</v>
      </c>
      <c r="J33" s="48"/>
      <c r="K33" s="48">
        <v>547643</v>
      </c>
      <c r="L33" s="48"/>
      <c r="M33" s="48">
        <v>0</v>
      </c>
      <c r="N33" s="48"/>
      <c r="O33" s="48">
        <v>832619</v>
      </c>
      <c r="P33" s="48"/>
      <c r="Q33" s="48">
        <v>0</v>
      </c>
      <c r="R33" s="48"/>
      <c r="S33" s="48">
        <f t="shared" si="1"/>
        <v>13219531</v>
      </c>
      <c r="T33" s="44"/>
      <c r="U33" s="48">
        <v>1369749</v>
      </c>
      <c r="W33" s="44">
        <f>+S33-'Stmt net assets'!O33-U33</f>
        <v>0</v>
      </c>
    </row>
    <row r="34" spans="1:25" s="65" customFormat="1" ht="12.75" customHeight="1">
      <c r="A34" s="35" t="s">
        <v>49</v>
      </c>
      <c r="B34" s="51"/>
      <c r="C34" s="35" t="s">
        <v>27</v>
      </c>
      <c r="D34" s="35"/>
      <c r="E34" s="48">
        <v>5517388</v>
      </c>
      <c r="F34" s="48"/>
      <c r="G34" s="48">
        <v>2484040</v>
      </c>
      <c r="H34" s="48"/>
      <c r="I34" s="48">
        <v>0</v>
      </c>
      <c r="J34" s="48"/>
      <c r="K34" s="48">
        <f>1382487+170000+179274</f>
        <v>1731761</v>
      </c>
      <c r="L34" s="48"/>
      <c r="M34" s="48">
        <v>0</v>
      </c>
      <c r="N34" s="48"/>
      <c r="O34" s="48">
        <v>1359504</v>
      </c>
      <c r="P34" s="48"/>
      <c r="Q34" s="48">
        <v>0</v>
      </c>
      <c r="R34" s="48"/>
      <c r="S34" s="48">
        <f t="shared" si="1"/>
        <v>11092693</v>
      </c>
      <c r="T34" s="44"/>
      <c r="U34" s="48">
        <v>1642808</v>
      </c>
      <c r="W34" s="44">
        <f>+S34-'Stmt net assets'!O34-U34</f>
        <v>0</v>
      </c>
    </row>
    <row r="35" spans="1:25" s="65" customFormat="1" ht="12.75" customHeight="1">
      <c r="A35" s="35" t="s">
        <v>50</v>
      </c>
      <c r="B35" s="51"/>
      <c r="C35" s="35" t="s">
        <v>27</v>
      </c>
      <c r="D35" s="35"/>
      <c r="E35" s="48">
        <v>1250000</v>
      </c>
      <c r="F35" s="48"/>
      <c r="G35" s="48">
        <v>0</v>
      </c>
      <c r="H35" s="48"/>
      <c r="I35" s="48">
        <v>0</v>
      </c>
      <c r="J35" s="48"/>
      <c r="K35" s="48">
        <f>1900599+92896</f>
        <v>1993495</v>
      </c>
      <c r="L35" s="48"/>
      <c r="M35" s="48">
        <v>222556</v>
      </c>
      <c r="N35" s="48"/>
      <c r="O35" s="48">
        <v>2481611</v>
      </c>
      <c r="P35" s="48"/>
      <c r="Q35" s="48">
        <v>874000</v>
      </c>
      <c r="R35" s="48"/>
      <c r="S35" s="48">
        <f t="shared" si="1"/>
        <v>6821662</v>
      </c>
      <c r="T35" s="44"/>
      <c r="U35" s="48">
        <v>2175929</v>
      </c>
      <c r="W35" s="44">
        <f>+S35-'Stmt net assets'!O35-U35</f>
        <v>0</v>
      </c>
    </row>
    <row r="36" spans="1:25" s="65" customFormat="1" ht="12.75" customHeight="1">
      <c r="A36" s="35" t="s">
        <v>51</v>
      </c>
      <c r="B36" s="51"/>
      <c r="C36" s="35" t="s">
        <v>27</v>
      </c>
      <c r="D36" s="35"/>
      <c r="E36" s="48">
        <v>5369218</v>
      </c>
      <c r="F36" s="48"/>
      <c r="G36" s="48">
        <v>0</v>
      </c>
      <c r="H36" s="48"/>
      <c r="I36" s="48">
        <v>1676000</v>
      </c>
      <c r="J36" s="48"/>
      <c r="K36" s="48">
        <v>274850</v>
      </c>
      <c r="L36" s="48"/>
      <c r="M36" s="48">
        <v>2020079</v>
      </c>
      <c r="N36" s="48"/>
      <c r="O36" s="48">
        <v>1519837</v>
      </c>
      <c r="P36" s="48"/>
      <c r="Q36" s="48">
        <f>49012+6866674</f>
        <v>6915686</v>
      </c>
      <c r="R36" s="48"/>
      <c r="S36" s="48">
        <f t="shared" si="1"/>
        <v>17775670</v>
      </c>
      <c r="T36" s="44"/>
      <c r="U36" s="48">
        <v>919705</v>
      </c>
      <c r="W36" s="44">
        <f>+S36-'Stmt net assets'!O36-U36</f>
        <v>0</v>
      </c>
    </row>
    <row r="37" spans="1:25" s="65" customFormat="1" ht="12.75" customHeight="1">
      <c r="A37" s="35" t="s">
        <v>462</v>
      </c>
      <c r="B37" s="51"/>
      <c r="C37" s="35" t="s">
        <v>66</v>
      </c>
      <c r="D37" s="35"/>
      <c r="E37" s="48">
        <v>0</v>
      </c>
      <c r="F37" s="48"/>
      <c r="G37" s="48">
        <v>0</v>
      </c>
      <c r="H37" s="48"/>
      <c r="I37" s="48">
        <f>750000+980000</f>
        <v>1730000</v>
      </c>
      <c r="J37" s="48"/>
      <c r="K37" s="48">
        <v>15504</v>
      </c>
      <c r="L37" s="48"/>
      <c r="M37" s="48">
        <f>12904+77282</f>
        <v>90186</v>
      </c>
      <c r="N37" s="48"/>
      <c r="O37" s="48">
        <v>109312</v>
      </c>
      <c r="P37" s="48"/>
      <c r="Q37" s="48">
        <v>0</v>
      </c>
      <c r="R37" s="48"/>
      <c r="S37" s="48">
        <f t="shared" si="1"/>
        <v>1945002</v>
      </c>
      <c r="T37" s="44"/>
      <c r="U37" s="48">
        <v>923438</v>
      </c>
      <c r="W37" s="44">
        <f>+S37-'Stmt net assets'!O37-U37</f>
        <v>0</v>
      </c>
    </row>
    <row r="38" spans="1:25" s="65" customFormat="1" ht="12.75" customHeight="1">
      <c r="A38" s="35" t="s">
        <v>52</v>
      </c>
      <c r="B38" s="51"/>
      <c r="C38" s="35" t="s">
        <v>53</v>
      </c>
      <c r="D38" s="35"/>
      <c r="E38" s="48">
        <v>4756836</v>
      </c>
      <c r="F38" s="48"/>
      <c r="G38" s="48">
        <v>1791298</v>
      </c>
      <c r="H38" s="48"/>
      <c r="I38" s="48">
        <v>0</v>
      </c>
      <c r="J38" s="48"/>
      <c r="K38" s="48">
        <v>180360</v>
      </c>
      <c r="L38" s="48"/>
      <c r="M38" s="48">
        <v>153837</v>
      </c>
      <c r="N38" s="48"/>
      <c r="O38" s="48">
        <v>418253</v>
      </c>
      <c r="P38" s="48"/>
      <c r="Q38" s="48">
        <v>185276</v>
      </c>
      <c r="R38" s="48"/>
      <c r="S38" s="48">
        <f t="shared" si="1"/>
        <v>7485860</v>
      </c>
      <c r="T38" s="44"/>
      <c r="U38" s="48">
        <v>768635</v>
      </c>
      <c r="W38" s="44">
        <f>+S38-'Stmt net assets'!O38-U38</f>
        <v>0</v>
      </c>
    </row>
    <row r="39" spans="1:25" s="65" customFormat="1" ht="12.75" customHeight="1">
      <c r="A39" s="35" t="s">
        <v>54</v>
      </c>
      <c r="B39" s="51"/>
      <c r="C39" s="35" t="s">
        <v>55</v>
      </c>
      <c r="D39" s="35"/>
      <c r="E39" s="48">
        <v>0</v>
      </c>
      <c r="F39" s="48"/>
      <c r="G39" s="48">
        <v>0</v>
      </c>
      <c r="H39" s="48"/>
      <c r="I39" s="48">
        <v>1800000</v>
      </c>
      <c r="J39" s="48"/>
      <c r="K39" s="48">
        <v>0</v>
      </c>
      <c r="L39" s="48"/>
      <c r="M39" s="48">
        <v>0</v>
      </c>
      <c r="N39" s="48"/>
      <c r="O39" s="48">
        <v>1003456</v>
      </c>
      <c r="P39" s="48"/>
      <c r="Q39" s="48">
        <v>0</v>
      </c>
      <c r="R39" s="48"/>
      <c r="S39" s="48">
        <f t="shared" si="1"/>
        <v>2803456</v>
      </c>
      <c r="T39" s="44"/>
      <c r="U39" s="48">
        <v>2070158</v>
      </c>
      <c r="W39" s="44">
        <f>+S39-'Stmt net assets'!O39-U39</f>
        <v>0</v>
      </c>
    </row>
    <row r="40" spans="1:25" s="65" customFormat="1" ht="12.75" customHeight="1">
      <c r="A40" s="35" t="s">
        <v>56</v>
      </c>
      <c r="B40" s="51"/>
      <c r="C40" s="35" t="s">
        <v>57</v>
      </c>
      <c r="D40" s="35"/>
      <c r="E40" s="48">
        <v>0</v>
      </c>
      <c r="F40" s="48"/>
      <c r="G40" s="48">
        <v>102000</v>
      </c>
      <c r="H40" s="48"/>
      <c r="I40" s="48">
        <v>0</v>
      </c>
      <c r="J40" s="48"/>
      <c r="K40" s="48">
        <v>180000</v>
      </c>
      <c r="L40" s="48"/>
      <c r="M40" s="48">
        <v>6384</v>
      </c>
      <c r="N40" s="48"/>
      <c r="O40" s="48">
        <v>576742</v>
      </c>
      <c r="P40" s="48"/>
      <c r="Q40" s="48">
        <f>134270+153297</f>
        <v>287567</v>
      </c>
      <c r="R40" s="48"/>
      <c r="S40" s="48">
        <f t="shared" si="1"/>
        <v>1152693</v>
      </c>
      <c r="T40" s="44"/>
      <c r="U40" s="48">
        <v>165192</v>
      </c>
      <c r="W40" s="44">
        <f>+S40-'Stmt net assets'!O40-U40</f>
        <v>0</v>
      </c>
    </row>
    <row r="41" spans="1:25" s="65" customFormat="1" ht="12.75" customHeight="1">
      <c r="A41" s="35" t="s">
        <v>58</v>
      </c>
      <c r="B41" s="51"/>
      <c r="C41" s="35" t="s">
        <v>59</v>
      </c>
      <c r="D41" s="35"/>
      <c r="E41" s="48">
        <v>4087274</v>
      </c>
      <c r="F41" s="48"/>
      <c r="G41" s="48">
        <v>0</v>
      </c>
      <c r="H41" s="48"/>
      <c r="I41" s="48">
        <v>0</v>
      </c>
      <c r="J41" s="48"/>
      <c r="K41" s="48">
        <v>0</v>
      </c>
      <c r="L41" s="48"/>
      <c r="M41" s="48">
        <v>197826</v>
      </c>
      <c r="N41" s="48"/>
      <c r="O41" s="48">
        <v>804393</v>
      </c>
      <c r="P41" s="48"/>
      <c r="Q41" s="48">
        <v>479975</v>
      </c>
      <c r="R41" s="48"/>
      <c r="S41" s="48">
        <f t="shared" si="1"/>
        <v>5569468</v>
      </c>
      <c r="T41" s="44"/>
      <c r="U41" s="48">
        <v>245438</v>
      </c>
      <c r="W41" s="44">
        <f>+S41-'Stmt net assets'!O41-U41</f>
        <v>0</v>
      </c>
    </row>
    <row r="42" spans="1:25" s="65" customFormat="1" ht="12.75" customHeight="1">
      <c r="A42" s="44" t="s">
        <v>476</v>
      </c>
      <c r="B42" s="51"/>
      <c r="C42" s="35" t="s">
        <v>15</v>
      </c>
      <c r="D42" s="35"/>
      <c r="E42" s="48">
        <v>1254470</v>
      </c>
      <c r="F42" s="48"/>
      <c r="G42" s="48">
        <v>0</v>
      </c>
      <c r="H42" s="48"/>
      <c r="I42" s="48">
        <v>0</v>
      </c>
      <c r="J42" s="48"/>
      <c r="K42" s="48">
        <v>0</v>
      </c>
      <c r="L42" s="48"/>
      <c r="M42" s="48">
        <v>25965</v>
      </c>
      <c r="N42" s="48"/>
      <c r="O42" s="48">
        <v>67510</v>
      </c>
      <c r="P42" s="48"/>
      <c r="Q42" s="48">
        <v>0</v>
      </c>
      <c r="R42" s="48"/>
      <c r="S42" s="48">
        <f t="shared" si="1"/>
        <v>1347945</v>
      </c>
      <c r="T42" s="44"/>
      <c r="U42" s="48">
        <v>125882</v>
      </c>
      <c r="W42" s="44">
        <f>+S42-'Stmt net assets'!O42-U42</f>
        <v>0</v>
      </c>
    </row>
    <row r="43" spans="1:25" s="65" customFormat="1" ht="12.75" customHeight="1">
      <c r="A43" s="35" t="s">
        <v>60</v>
      </c>
      <c r="B43" s="51"/>
      <c r="C43" s="35" t="s">
        <v>61</v>
      </c>
      <c r="D43" s="35"/>
      <c r="E43" s="48">
        <v>1150000</v>
      </c>
      <c r="F43" s="48"/>
      <c r="G43" s="48">
        <v>0</v>
      </c>
      <c r="H43" s="48"/>
      <c r="I43" s="48">
        <v>0</v>
      </c>
      <c r="J43" s="48"/>
      <c r="K43" s="48">
        <v>169190</v>
      </c>
      <c r="L43" s="48"/>
      <c r="M43" s="48">
        <v>0</v>
      </c>
      <c r="N43" s="48"/>
      <c r="O43" s="48">
        <v>162610</v>
      </c>
      <c r="P43" s="48"/>
      <c r="Q43" s="48">
        <v>0</v>
      </c>
      <c r="R43" s="48"/>
      <c r="S43" s="48">
        <f t="shared" si="1"/>
        <v>1481800</v>
      </c>
      <c r="T43" s="44"/>
      <c r="U43" s="48">
        <v>1293389</v>
      </c>
      <c r="W43" s="44">
        <f>+S43-'Stmt net assets'!O43-U43</f>
        <v>0</v>
      </c>
    </row>
    <row r="44" spans="1:25" s="65" customFormat="1" ht="12.75" customHeight="1">
      <c r="A44" s="44" t="s">
        <v>62</v>
      </c>
      <c r="B44" s="51"/>
      <c r="C44" s="35" t="s">
        <v>15</v>
      </c>
      <c r="D44" s="35"/>
      <c r="E44" s="48">
        <v>16714810</v>
      </c>
      <c r="F44" s="48"/>
      <c r="G44" s="48">
        <v>0</v>
      </c>
      <c r="H44" s="48"/>
      <c r="I44" s="48">
        <v>0</v>
      </c>
      <c r="J44" s="48"/>
      <c r="K44" s="48">
        <f>877209+686589+53563</f>
        <v>1617361</v>
      </c>
      <c r="L44" s="48"/>
      <c r="M44" s="48">
        <v>938159</v>
      </c>
      <c r="N44" s="48"/>
      <c r="O44" s="48">
        <f>6564504+1206061</f>
        <v>7770565</v>
      </c>
      <c r="P44" s="48"/>
      <c r="Q44" s="48">
        <f>706128+66700</f>
        <v>772828</v>
      </c>
      <c r="R44" s="48"/>
      <c r="S44" s="48">
        <f t="shared" si="1"/>
        <v>27813723</v>
      </c>
      <c r="T44" s="44"/>
      <c r="U44" s="48">
        <f>4361406+196971</f>
        <v>4558377</v>
      </c>
      <c r="W44" s="44">
        <f>+S44-'Stmt net assets'!O44-U44</f>
        <v>0</v>
      </c>
    </row>
    <row r="45" spans="1:25" s="65" customFormat="1" ht="12.75" customHeight="1">
      <c r="A45" s="35" t="s">
        <v>485</v>
      </c>
      <c r="B45" s="51"/>
      <c r="C45" s="35" t="s">
        <v>111</v>
      </c>
      <c r="D45" s="35"/>
      <c r="E45" s="48">
        <v>295000</v>
      </c>
      <c r="F45" s="48"/>
      <c r="G45" s="48">
        <v>304725</v>
      </c>
      <c r="H45" s="48"/>
      <c r="I45" s="48">
        <f>332000+1142000</f>
        <v>1474000</v>
      </c>
      <c r="J45" s="48"/>
      <c r="K45" s="48">
        <v>0</v>
      </c>
      <c r="L45" s="48"/>
      <c r="M45" s="48">
        <v>0</v>
      </c>
      <c r="N45" s="48"/>
      <c r="O45" s="48">
        <v>7379</v>
      </c>
      <c r="P45" s="48"/>
      <c r="Q45" s="48">
        <v>0</v>
      </c>
      <c r="R45" s="48"/>
      <c r="S45" s="48">
        <f t="shared" si="1"/>
        <v>2081104</v>
      </c>
      <c r="T45" s="44"/>
      <c r="U45" s="48">
        <v>1529780</v>
      </c>
      <c r="W45" s="44">
        <f>+S45-'Stmt net assets'!O45-U45</f>
        <v>0</v>
      </c>
    </row>
    <row r="46" spans="1:25" s="65" customFormat="1" ht="12.75" customHeight="1">
      <c r="A46" s="35" t="s">
        <v>63</v>
      </c>
      <c r="B46" s="51"/>
      <c r="C46" s="35" t="s">
        <v>64</v>
      </c>
      <c r="D46" s="35"/>
      <c r="E46" s="48">
        <v>3128000</v>
      </c>
      <c r="F46" s="48"/>
      <c r="G46" s="48">
        <v>0</v>
      </c>
      <c r="H46" s="48"/>
      <c r="I46" s="48">
        <f>1150000+1350000</f>
        <v>2500000</v>
      </c>
      <c r="J46" s="48"/>
      <c r="K46" s="48">
        <v>19117</v>
      </c>
      <c r="L46" s="48"/>
      <c r="M46" s="48">
        <v>0</v>
      </c>
      <c r="N46" s="48"/>
      <c r="O46" s="48">
        <v>413462</v>
      </c>
      <c r="P46" s="48"/>
      <c r="Q46" s="48">
        <v>0</v>
      </c>
      <c r="R46" s="48"/>
      <c r="S46" s="48">
        <f t="shared" si="1"/>
        <v>6060579</v>
      </c>
      <c r="T46" s="44"/>
      <c r="U46" s="48">
        <v>426759</v>
      </c>
      <c r="W46" s="44">
        <f>+S46-'Stmt net assets'!O46-U46</f>
        <v>0</v>
      </c>
    </row>
    <row r="47" spans="1:25" s="65" customFormat="1" ht="12.75" customHeight="1">
      <c r="A47" s="35" t="s">
        <v>65</v>
      </c>
      <c r="B47" s="51"/>
      <c r="C47" s="35" t="s">
        <v>66</v>
      </c>
      <c r="D47" s="35"/>
      <c r="E47" s="48">
        <v>639690</v>
      </c>
      <c r="F47" s="48"/>
      <c r="G47" s="48">
        <v>6339000</v>
      </c>
      <c r="H47" s="48"/>
      <c r="I47" s="48">
        <v>756882</v>
      </c>
      <c r="J47" s="48"/>
      <c r="K47" s="48">
        <v>0</v>
      </c>
      <c r="L47" s="48"/>
      <c r="M47" s="48">
        <v>0</v>
      </c>
      <c r="N47" s="48"/>
      <c r="O47" s="48">
        <v>753001</v>
      </c>
      <c r="P47" s="48"/>
      <c r="Q47" s="48">
        <v>0</v>
      </c>
      <c r="R47" s="48"/>
      <c r="S47" s="48">
        <f t="shared" si="1"/>
        <v>8488573</v>
      </c>
      <c r="T47" s="44"/>
      <c r="U47" s="48">
        <v>607579</v>
      </c>
      <c r="W47" s="44">
        <f>+S47-'Stmt net assets'!O47-U47</f>
        <v>0</v>
      </c>
    </row>
    <row r="48" spans="1:25" s="65" customFormat="1" ht="12.75" customHeight="1">
      <c r="A48" s="64" t="s">
        <v>67</v>
      </c>
      <c r="B48" s="66"/>
      <c r="C48" s="64" t="s">
        <v>375</v>
      </c>
      <c r="D48" s="64"/>
      <c r="E48" s="48">
        <v>915000</v>
      </c>
      <c r="F48" s="48"/>
      <c r="G48" s="48">
        <v>0</v>
      </c>
      <c r="H48" s="48"/>
      <c r="I48" s="48">
        <v>0</v>
      </c>
      <c r="J48" s="48"/>
      <c r="K48" s="48">
        <v>989663</v>
      </c>
      <c r="L48" s="48"/>
      <c r="M48" s="48">
        <v>0</v>
      </c>
      <c r="N48" s="48"/>
      <c r="O48" s="48">
        <v>633378</v>
      </c>
      <c r="P48" s="48"/>
      <c r="Q48" s="48">
        <v>0</v>
      </c>
      <c r="R48" s="48"/>
      <c r="S48" s="48">
        <f t="shared" si="1"/>
        <v>2538041</v>
      </c>
      <c r="T48" s="44"/>
      <c r="U48" s="48">
        <v>471736</v>
      </c>
      <c r="W48" s="44">
        <f>+S48-'Stmt net assets'!O48-U48</f>
        <v>0</v>
      </c>
      <c r="Y48" s="148"/>
    </row>
    <row r="49" spans="1:25" s="65" customFormat="1" ht="12.75" customHeight="1">
      <c r="A49" s="64" t="s">
        <v>68</v>
      </c>
      <c r="B49" s="66"/>
      <c r="C49" s="64" t="s">
        <v>45</v>
      </c>
      <c r="D49" s="64"/>
      <c r="E49" s="48">
        <v>0</v>
      </c>
      <c r="F49" s="48"/>
      <c r="G49" s="48">
        <v>0</v>
      </c>
      <c r="H49" s="48"/>
      <c r="I49" s="48">
        <v>44004</v>
      </c>
      <c r="J49" s="48"/>
      <c r="K49" s="48">
        <v>0</v>
      </c>
      <c r="L49" s="48"/>
      <c r="M49" s="48">
        <v>0</v>
      </c>
      <c r="N49" s="48"/>
      <c r="O49" s="48">
        <v>118998</v>
      </c>
      <c r="P49" s="48"/>
      <c r="Q49" s="48">
        <v>0</v>
      </c>
      <c r="R49" s="48"/>
      <c r="S49" s="48">
        <f t="shared" si="1"/>
        <v>163002</v>
      </c>
      <c r="T49" s="44"/>
      <c r="U49" s="48">
        <v>50085</v>
      </c>
      <c r="W49" s="44">
        <f>+S49-'Stmt net assets'!O49-U49</f>
        <v>0</v>
      </c>
    </row>
    <row r="50" spans="1:25" s="65" customFormat="1" ht="12.75" customHeight="1">
      <c r="A50" s="35" t="s">
        <v>69</v>
      </c>
      <c r="B50" s="51"/>
      <c r="C50" s="35" t="s">
        <v>70</v>
      </c>
      <c r="D50" s="35"/>
      <c r="E50" s="48">
        <f>265000+2081</f>
        <v>267081</v>
      </c>
      <c r="F50" s="48"/>
      <c r="G50" s="48">
        <v>0</v>
      </c>
      <c r="H50" s="48"/>
      <c r="I50" s="48">
        <v>0</v>
      </c>
      <c r="J50" s="48"/>
      <c r="K50" s="48">
        <v>50450</v>
      </c>
      <c r="L50" s="48"/>
      <c r="M50" s="48">
        <v>107864</v>
      </c>
      <c r="N50" s="48"/>
      <c r="O50" s="48">
        <v>2354027</v>
      </c>
      <c r="P50" s="48"/>
      <c r="Q50" s="48">
        <f>511381+395000</f>
        <v>906381</v>
      </c>
      <c r="R50" s="48"/>
      <c r="S50" s="48">
        <f t="shared" si="1"/>
        <v>3685803</v>
      </c>
      <c r="T50" s="44"/>
      <c r="U50" s="48">
        <v>1256539</v>
      </c>
      <c r="W50" s="44">
        <f>+S50-'Stmt net assets'!O50-U50</f>
        <v>0</v>
      </c>
    </row>
    <row r="51" spans="1:25" s="65" customFormat="1" ht="12.75" customHeight="1">
      <c r="A51" s="35" t="s">
        <v>71</v>
      </c>
      <c r="B51" s="51"/>
      <c r="C51" s="35" t="s">
        <v>45</v>
      </c>
      <c r="D51" s="35"/>
      <c r="E51" s="48">
        <v>485618000</v>
      </c>
      <c r="F51" s="48"/>
      <c r="G51" s="48">
        <v>0</v>
      </c>
      <c r="H51" s="48"/>
      <c r="I51" s="48">
        <v>0</v>
      </c>
      <c r="J51" s="48"/>
      <c r="K51" s="48">
        <v>2818000</v>
      </c>
      <c r="L51" s="48"/>
      <c r="M51" s="48">
        <v>460000</v>
      </c>
      <c r="N51" s="48"/>
      <c r="O51" s="48">
        <v>102285000</v>
      </c>
      <c r="P51" s="48"/>
      <c r="Q51" s="48">
        <f>47190000+75415000+55282000+1543000</f>
        <v>179430000</v>
      </c>
      <c r="R51" s="48"/>
      <c r="S51" s="48">
        <f t="shared" si="1"/>
        <v>770611000</v>
      </c>
      <c r="T51" s="44"/>
      <c r="U51" s="48">
        <v>114603000</v>
      </c>
      <c r="W51" s="44">
        <f>+S51-'Stmt net assets'!O51-U51</f>
        <v>0</v>
      </c>
    </row>
    <row r="52" spans="1:25" s="65" customFormat="1" ht="12.75" customHeight="1">
      <c r="A52" s="44" t="s">
        <v>463</v>
      </c>
      <c r="B52" s="51"/>
      <c r="C52" s="44" t="s">
        <v>464</v>
      </c>
      <c r="D52" s="44"/>
      <c r="E52" s="48">
        <v>3655024</v>
      </c>
      <c r="F52" s="48"/>
      <c r="G52" s="48">
        <v>0</v>
      </c>
      <c r="H52" s="48"/>
      <c r="I52" s="48">
        <v>0</v>
      </c>
      <c r="J52" s="48"/>
      <c r="K52" s="48">
        <v>0</v>
      </c>
      <c r="L52" s="48"/>
      <c r="M52" s="48">
        <v>76400</v>
      </c>
      <c r="N52" s="48"/>
      <c r="O52" s="48">
        <v>414044</v>
      </c>
      <c r="P52" s="48"/>
      <c r="Q52" s="48">
        <v>0</v>
      </c>
      <c r="R52" s="48"/>
      <c r="S52" s="48">
        <f t="shared" si="1"/>
        <v>4145468</v>
      </c>
      <c r="T52" s="44"/>
      <c r="U52" s="48">
        <v>601615</v>
      </c>
      <c r="W52" s="44">
        <f>+S52-'Stmt net assets'!O52-U52</f>
        <v>0</v>
      </c>
      <c r="Y52" s="148"/>
    </row>
    <row r="53" spans="1:25" s="65" customFormat="1" ht="12.75" customHeight="1">
      <c r="A53" s="35" t="s">
        <v>72</v>
      </c>
      <c r="B53" s="51"/>
      <c r="C53" s="35" t="s">
        <v>66</v>
      </c>
      <c r="D53" s="35"/>
      <c r="E53" s="48">
        <v>5604576</v>
      </c>
      <c r="F53" s="48"/>
      <c r="G53" s="48">
        <v>0</v>
      </c>
      <c r="H53" s="48"/>
      <c r="I53" s="48">
        <v>0</v>
      </c>
      <c r="J53" s="48"/>
      <c r="K53" s="48">
        <v>0</v>
      </c>
      <c r="L53" s="48"/>
      <c r="M53" s="48">
        <v>355847</v>
      </c>
      <c r="N53" s="48"/>
      <c r="O53" s="48">
        <v>201547</v>
      </c>
      <c r="P53" s="48"/>
      <c r="Q53" s="48">
        <v>0</v>
      </c>
      <c r="R53" s="48"/>
      <c r="S53" s="48">
        <f t="shared" si="1"/>
        <v>6161970</v>
      </c>
      <c r="T53" s="44"/>
      <c r="U53" s="48">
        <v>488405</v>
      </c>
      <c r="W53" s="44">
        <f>+S53-'Stmt net assets'!O53-U53</f>
        <v>0</v>
      </c>
    </row>
    <row r="54" spans="1:25" s="65" customFormat="1" ht="12.75" customHeight="1">
      <c r="A54" s="35" t="s">
        <v>73</v>
      </c>
      <c r="C54" s="35" t="s">
        <v>27</v>
      </c>
      <c r="D54" s="35"/>
      <c r="E54" s="48">
        <v>304800000</v>
      </c>
      <c r="F54" s="48"/>
      <c r="G54" s="48">
        <v>0</v>
      </c>
      <c r="H54" s="48"/>
      <c r="I54" s="48">
        <v>1500000</v>
      </c>
      <c r="J54" s="48"/>
      <c r="K54" s="48">
        <v>0</v>
      </c>
      <c r="L54" s="48"/>
      <c r="M54" s="48">
        <v>8937000</v>
      </c>
      <c r="N54" s="48"/>
      <c r="O54" s="48">
        <v>51284000</v>
      </c>
      <c r="P54" s="48"/>
      <c r="Q54" s="48">
        <v>413154000</v>
      </c>
      <c r="R54" s="48"/>
      <c r="S54" s="48">
        <f t="shared" si="1"/>
        <v>779675000</v>
      </c>
      <c r="T54" s="44"/>
      <c r="U54" s="48">
        <v>82446000</v>
      </c>
      <c r="W54" s="44">
        <f>+S54-'Stmt net assets'!O54-U54</f>
        <v>0</v>
      </c>
    </row>
    <row r="55" spans="1:25" s="65" customFormat="1" ht="12.75" customHeight="1">
      <c r="A55" s="35" t="s">
        <v>74</v>
      </c>
      <c r="B55" s="51"/>
      <c r="C55" s="35" t="s">
        <v>27</v>
      </c>
      <c r="D55" s="35"/>
      <c r="E55" s="48">
        <v>12890498</v>
      </c>
      <c r="F55" s="48"/>
      <c r="G55" s="48">
        <v>0</v>
      </c>
      <c r="H55" s="48"/>
      <c r="I55" s="48">
        <v>0</v>
      </c>
      <c r="J55" s="48"/>
      <c r="K55" s="48">
        <v>1399070</v>
      </c>
      <c r="L55" s="48"/>
      <c r="M55" s="48">
        <v>521013</v>
      </c>
      <c r="N55" s="48"/>
      <c r="O55" s="48">
        <v>6258359</v>
      </c>
      <c r="P55" s="48"/>
      <c r="Q55" s="48">
        <v>235000</v>
      </c>
      <c r="R55" s="48"/>
      <c r="S55" s="48">
        <f t="shared" si="1"/>
        <v>21303940</v>
      </c>
      <c r="T55" s="44"/>
      <c r="U55" s="48">
        <v>4508337</v>
      </c>
      <c r="W55" s="44">
        <f>+S55-'Stmt net assets'!O55-U55</f>
        <v>0</v>
      </c>
    </row>
    <row r="56" spans="1:25" s="66" customFormat="1" ht="12.75" customHeight="1">
      <c r="A56" s="35" t="s">
        <v>75</v>
      </c>
      <c r="B56" s="51"/>
      <c r="C56" s="35" t="s">
        <v>76</v>
      </c>
      <c r="D56" s="35"/>
      <c r="E56" s="48">
        <v>2365000</v>
      </c>
      <c r="F56" s="48"/>
      <c r="G56" s="48">
        <v>0</v>
      </c>
      <c r="H56" s="48"/>
      <c r="I56" s="48">
        <v>1700000</v>
      </c>
      <c r="J56" s="48"/>
      <c r="K56" s="48">
        <v>335477</v>
      </c>
      <c r="L56" s="48"/>
      <c r="M56" s="48">
        <v>0</v>
      </c>
      <c r="N56" s="48"/>
      <c r="O56" s="48">
        <v>145071</v>
      </c>
      <c r="P56" s="48"/>
      <c r="Q56" s="48">
        <v>70243</v>
      </c>
      <c r="R56" s="48"/>
      <c r="S56" s="48">
        <f t="shared" si="1"/>
        <v>4615791</v>
      </c>
      <c r="T56" s="44"/>
      <c r="U56" s="48">
        <v>520503</v>
      </c>
      <c r="V56" s="65"/>
      <c r="W56" s="44">
        <f>+S56-'Stmt net assets'!O56-U56</f>
        <v>0</v>
      </c>
    </row>
    <row r="57" spans="1:25" s="65" customFormat="1" ht="12.75" customHeight="1">
      <c r="A57" s="35" t="s">
        <v>77</v>
      </c>
      <c r="B57" s="51"/>
      <c r="C57" s="35" t="s">
        <v>43</v>
      </c>
      <c r="D57" s="35"/>
      <c r="E57" s="48">
        <v>938971000</v>
      </c>
      <c r="F57" s="48"/>
      <c r="G57" s="48">
        <v>0</v>
      </c>
      <c r="H57" s="48"/>
      <c r="I57" s="48">
        <v>11126000</v>
      </c>
      <c r="J57" s="48"/>
      <c r="K57" s="48">
        <v>6720000</v>
      </c>
      <c r="L57" s="48"/>
      <c r="M57" s="48">
        <v>2000000</v>
      </c>
      <c r="N57" s="48"/>
      <c r="O57" s="48">
        <f>21254000+53470000</f>
        <v>74724000</v>
      </c>
      <c r="P57" s="48"/>
      <c r="Q57" s="48">
        <v>61246000</v>
      </c>
      <c r="R57" s="48"/>
      <c r="S57" s="48">
        <f t="shared" si="1"/>
        <v>1094787000</v>
      </c>
      <c r="T57" s="44"/>
      <c r="U57" s="48">
        <f>89824000+53470000</f>
        <v>143294000</v>
      </c>
      <c r="W57" s="44">
        <f>+S57-'Stmt net assets'!O57-U57</f>
        <v>0</v>
      </c>
      <c r="Y57" s="65">
        <f>2000+25849+902390</f>
        <v>930239</v>
      </c>
    </row>
    <row r="58" spans="1:25" s="65" customFormat="1" ht="12.75" customHeight="1">
      <c r="A58" s="35" t="s">
        <v>94</v>
      </c>
      <c r="B58" s="51"/>
      <c r="C58" s="35" t="s">
        <v>94</v>
      </c>
      <c r="D58" s="35"/>
      <c r="E58" s="48">
        <v>0</v>
      </c>
      <c r="F58" s="48"/>
      <c r="G58" s="48">
        <v>0</v>
      </c>
      <c r="H58" s="48"/>
      <c r="I58" s="48">
        <v>0</v>
      </c>
      <c r="J58" s="48"/>
      <c r="K58" s="48">
        <v>0</v>
      </c>
      <c r="L58" s="48"/>
      <c r="M58" s="48">
        <v>0</v>
      </c>
      <c r="N58" s="48"/>
      <c r="O58" s="48">
        <v>135670</v>
      </c>
      <c r="P58" s="48"/>
      <c r="Q58" s="48">
        <v>0</v>
      </c>
      <c r="R58" s="48"/>
      <c r="S58" s="48">
        <f t="shared" si="1"/>
        <v>135670</v>
      </c>
      <c r="T58" s="44"/>
      <c r="U58" s="48">
        <v>52229</v>
      </c>
      <c r="W58" s="44">
        <f>+S58-'Stmt net assets'!O58-U58</f>
        <v>0</v>
      </c>
      <c r="Y58" s="148"/>
    </row>
    <row r="59" spans="1:25" s="65" customFormat="1" ht="12.75" customHeight="1">
      <c r="A59" s="35" t="s">
        <v>78</v>
      </c>
      <c r="B59" s="51"/>
      <c r="C59" s="35" t="s">
        <v>19</v>
      </c>
      <c r="D59" s="35"/>
      <c r="E59" s="48">
        <v>940000</v>
      </c>
      <c r="F59" s="48"/>
      <c r="G59" s="48">
        <v>879237</v>
      </c>
      <c r="H59" s="48"/>
      <c r="I59" s="48">
        <v>125000</v>
      </c>
      <c r="J59" s="48"/>
      <c r="K59" s="48">
        <f>1193481+22930</f>
        <v>1216411</v>
      </c>
      <c r="L59" s="48"/>
      <c r="M59" s="48">
        <v>80649</v>
      </c>
      <c r="N59" s="48"/>
      <c r="O59" s="48">
        <v>589878</v>
      </c>
      <c r="P59" s="48"/>
      <c r="Q59" s="48">
        <v>0</v>
      </c>
      <c r="R59" s="48"/>
      <c r="S59" s="48">
        <f t="shared" si="1"/>
        <v>3831175</v>
      </c>
      <c r="T59" s="44"/>
      <c r="U59" s="48">
        <v>636896</v>
      </c>
      <c r="W59" s="44">
        <f>+S59-'Stmt net assets'!O59-U59</f>
        <v>0</v>
      </c>
    </row>
    <row r="60" spans="1:25" s="65" customFormat="1" ht="12.75" customHeight="1">
      <c r="A60" s="35" t="s">
        <v>79</v>
      </c>
      <c r="C60" s="35" t="s">
        <v>80</v>
      </c>
      <c r="D60" s="35"/>
      <c r="E60" s="48">
        <v>0</v>
      </c>
      <c r="F60" s="48"/>
      <c r="G60" s="48">
        <v>0</v>
      </c>
      <c r="H60" s="48"/>
      <c r="I60" s="48">
        <v>0</v>
      </c>
      <c r="J60" s="48"/>
      <c r="K60" s="48">
        <v>0</v>
      </c>
      <c r="L60" s="48"/>
      <c r="M60" s="48">
        <v>0</v>
      </c>
      <c r="N60" s="48"/>
      <c r="O60" s="48">
        <v>257426</v>
      </c>
      <c r="P60" s="48"/>
      <c r="Q60" s="48">
        <v>0</v>
      </c>
      <c r="R60" s="48"/>
      <c r="S60" s="48">
        <f t="shared" si="1"/>
        <v>257426</v>
      </c>
      <c r="T60" s="44"/>
      <c r="U60" s="48">
        <v>47815</v>
      </c>
      <c r="W60" s="44">
        <f>+S60-'Stmt net assets'!O60-U60</f>
        <v>0</v>
      </c>
    </row>
    <row r="61" spans="1:25" s="66" customFormat="1" ht="12.75" customHeight="1">
      <c r="A61" s="35" t="s">
        <v>81</v>
      </c>
      <c r="B61" s="51"/>
      <c r="C61" s="35" t="s">
        <v>81</v>
      </c>
      <c r="D61" s="35"/>
      <c r="E61" s="48">
        <v>0</v>
      </c>
      <c r="F61" s="48"/>
      <c r="G61" s="48">
        <v>0</v>
      </c>
      <c r="H61" s="48"/>
      <c r="I61" s="48">
        <v>0</v>
      </c>
      <c r="J61" s="48"/>
      <c r="K61" s="48">
        <v>232103</v>
      </c>
      <c r="L61" s="48"/>
      <c r="M61" s="48">
        <v>0</v>
      </c>
      <c r="N61" s="48"/>
      <c r="O61" s="48">
        <v>684323</v>
      </c>
      <c r="P61" s="48"/>
      <c r="Q61" s="48">
        <v>0</v>
      </c>
      <c r="R61" s="48"/>
      <c r="S61" s="48">
        <f t="shared" si="1"/>
        <v>916426</v>
      </c>
      <c r="T61" s="44"/>
      <c r="U61" s="48">
        <v>141482</v>
      </c>
      <c r="V61" s="65"/>
      <c r="W61" s="44">
        <f>+S61-'Stmt net assets'!O61-U61</f>
        <v>0</v>
      </c>
    </row>
    <row r="62" spans="1:25" s="125" customFormat="1" ht="12.75" hidden="1" customHeight="1">
      <c r="A62" s="122" t="s">
        <v>465</v>
      </c>
      <c r="B62" s="122"/>
      <c r="C62" s="122" t="s">
        <v>57</v>
      </c>
      <c r="D62" s="126"/>
      <c r="E62" s="130">
        <v>0</v>
      </c>
      <c r="F62" s="130"/>
      <c r="G62" s="130">
        <v>0</v>
      </c>
      <c r="H62" s="130"/>
      <c r="I62" s="130">
        <v>0</v>
      </c>
      <c r="J62" s="130"/>
      <c r="K62" s="130">
        <v>0</v>
      </c>
      <c r="L62" s="130"/>
      <c r="M62" s="130">
        <v>0</v>
      </c>
      <c r="N62" s="130"/>
      <c r="O62" s="130">
        <v>0</v>
      </c>
      <c r="P62" s="130"/>
      <c r="Q62" s="130">
        <v>0</v>
      </c>
      <c r="R62" s="130"/>
      <c r="S62" s="130">
        <f t="shared" si="1"/>
        <v>0</v>
      </c>
      <c r="T62" s="121"/>
      <c r="U62" s="130">
        <v>0</v>
      </c>
      <c r="W62" s="121">
        <f>+S62-'Stmt net assets'!O62-U62</f>
        <v>0</v>
      </c>
    </row>
    <row r="63" spans="1:25" s="65" customFormat="1" ht="12.75" customHeight="1">
      <c r="A63" s="35" t="s">
        <v>82</v>
      </c>
      <c r="B63" s="51"/>
      <c r="C63" s="35" t="s">
        <v>13</v>
      </c>
      <c r="D63" s="35"/>
      <c r="E63" s="48">
        <v>5231547</v>
      </c>
      <c r="F63" s="48"/>
      <c r="G63" s="48">
        <v>52000</v>
      </c>
      <c r="H63" s="48"/>
      <c r="I63" s="48">
        <v>0</v>
      </c>
      <c r="J63" s="48"/>
      <c r="K63" s="48">
        <v>0</v>
      </c>
      <c r="L63" s="48"/>
      <c r="M63" s="48">
        <v>1972798</v>
      </c>
      <c r="N63" s="48"/>
      <c r="O63" s="48">
        <v>6516917</v>
      </c>
      <c r="P63" s="48"/>
      <c r="Q63" s="48">
        <v>1374446</v>
      </c>
      <c r="R63" s="48"/>
      <c r="S63" s="48">
        <f t="shared" si="1"/>
        <v>15147708</v>
      </c>
      <c r="T63" s="44"/>
      <c r="U63" s="48">
        <v>3492836</v>
      </c>
      <c r="W63" s="44">
        <f>+S63-'Stmt net assets'!O63-U63</f>
        <v>0</v>
      </c>
    </row>
    <row r="64" spans="1:25" s="65" customFormat="1" ht="12.75" customHeight="1">
      <c r="A64" s="64"/>
      <c r="B64" s="66"/>
      <c r="C64" s="64"/>
      <c r="D64" s="64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4"/>
      <c r="U64" s="48" t="s">
        <v>484</v>
      </c>
      <c r="W64" s="44"/>
    </row>
    <row r="65" spans="1:24" s="65" customFormat="1" ht="12.75" customHeight="1">
      <c r="A65" s="35" t="s">
        <v>83</v>
      </c>
      <c r="B65" s="51"/>
      <c r="C65" s="35" t="s">
        <v>66</v>
      </c>
      <c r="D65" s="35"/>
      <c r="E65" s="68">
        <f>52818927+40650000</f>
        <v>93468927</v>
      </c>
      <c r="F65" s="68"/>
      <c r="G65" s="68">
        <v>211800</v>
      </c>
      <c r="H65" s="68"/>
      <c r="I65" s="68">
        <v>0</v>
      </c>
      <c r="J65" s="68"/>
      <c r="K65" s="68">
        <f>175161+2860000</f>
        <v>3035161</v>
      </c>
      <c r="L65" s="68"/>
      <c r="M65" s="68">
        <v>0</v>
      </c>
      <c r="N65" s="68"/>
      <c r="O65" s="68">
        <v>8625160</v>
      </c>
      <c r="P65" s="68"/>
      <c r="Q65" s="68">
        <f>15470+5076856+182342-970956+556178</f>
        <v>4859890</v>
      </c>
      <c r="R65" s="68"/>
      <c r="S65" s="68">
        <f t="shared" si="1"/>
        <v>110200938</v>
      </c>
      <c r="T65" s="46"/>
      <c r="U65" s="68">
        <v>15052041</v>
      </c>
      <c r="W65" s="44">
        <f>+S65-'Stmt net assets'!O65-U65</f>
        <v>0</v>
      </c>
    </row>
    <row r="66" spans="1:24" s="65" customFormat="1" ht="12.75" customHeight="1">
      <c r="A66" s="35" t="s">
        <v>84</v>
      </c>
      <c r="B66" s="51"/>
      <c r="C66" s="35" t="s">
        <v>45</v>
      </c>
      <c r="D66" s="35"/>
      <c r="E66" s="48">
        <v>2421520</v>
      </c>
      <c r="F66" s="48"/>
      <c r="G66" s="48">
        <v>0</v>
      </c>
      <c r="H66" s="48"/>
      <c r="I66" s="48">
        <v>0</v>
      </c>
      <c r="J66" s="48"/>
      <c r="K66" s="48">
        <v>132507</v>
      </c>
      <c r="L66" s="48"/>
      <c r="M66" s="48">
        <v>36996</v>
      </c>
      <c r="N66" s="48"/>
      <c r="O66" s="48">
        <v>147235</v>
      </c>
      <c r="P66" s="48"/>
      <c r="Q66" s="48">
        <v>99839</v>
      </c>
      <c r="R66" s="48"/>
      <c r="S66" s="48">
        <f t="shared" si="1"/>
        <v>2838097</v>
      </c>
      <c r="T66" s="44"/>
      <c r="U66" s="48">
        <v>224313</v>
      </c>
      <c r="W66" s="44">
        <f>+S66-'Stmt net assets'!O66-U66</f>
        <v>0</v>
      </c>
    </row>
    <row r="67" spans="1:24" s="65" customFormat="1" ht="12.75" customHeight="1">
      <c r="A67" s="35" t="s">
        <v>85</v>
      </c>
      <c r="B67" s="51"/>
      <c r="C67" s="35" t="s">
        <v>85</v>
      </c>
      <c r="D67" s="35"/>
      <c r="E67" s="48">
        <v>40000</v>
      </c>
      <c r="F67" s="48"/>
      <c r="G67" s="48">
        <v>106815</v>
      </c>
      <c r="H67" s="48"/>
      <c r="I67" s="48">
        <v>0</v>
      </c>
      <c r="J67" s="48"/>
      <c r="K67" s="48">
        <v>0</v>
      </c>
      <c r="L67" s="48"/>
      <c r="M67" s="48">
        <v>1765</v>
      </c>
      <c r="N67" s="48"/>
      <c r="O67" s="48">
        <v>640997</v>
      </c>
      <c r="P67" s="48"/>
      <c r="Q67" s="48">
        <v>0</v>
      </c>
      <c r="R67" s="48"/>
      <c r="S67" s="48">
        <f t="shared" si="1"/>
        <v>789577</v>
      </c>
      <c r="T67" s="44"/>
      <c r="U67" s="48">
        <v>391222</v>
      </c>
      <c r="W67" s="44">
        <f>+S67-'Stmt net assets'!O67-U67</f>
        <v>0</v>
      </c>
    </row>
    <row r="68" spans="1:24" s="65" customFormat="1" ht="12.75" customHeight="1">
      <c r="A68" s="35" t="s">
        <v>86</v>
      </c>
      <c r="B68" s="51"/>
      <c r="C68" s="35" t="s">
        <v>86</v>
      </c>
      <c r="D68" s="35"/>
      <c r="E68" s="48">
        <f>3890000+2692834+153724-7181</f>
        <v>6729377</v>
      </c>
      <c r="F68" s="48"/>
      <c r="G68" s="48">
        <v>0</v>
      </c>
      <c r="H68" s="48"/>
      <c r="I68" s="48">
        <v>0</v>
      </c>
      <c r="J68" s="48"/>
      <c r="K68" s="48">
        <v>0</v>
      </c>
      <c r="L68" s="48"/>
      <c r="M68" s="48">
        <v>0</v>
      </c>
      <c r="N68" s="48"/>
      <c r="O68" s="48">
        <v>4968695</v>
      </c>
      <c r="P68" s="48"/>
      <c r="Q68" s="48">
        <f>19620000+289387</f>
        <v>19909387</v>
      </c>
      <c r="R68" s="48"/>
      <c r="S68" s="48">
        <f t="shared" si="1"/>
        <v>31607459</v>
      </c>
      <c r="T68" s="44"/>
      <c r="U68" s="48">
        <v>1637618</v>
      </c>
      <c r="W68" s="44">
        <f>+S68-'Stmt net assets'!O68-U68</f>
        <v>0</v>
      </c>
    </row>
    <row r="69" spans="1:24" s="66" customFormat="1" ht="12.75" customHeight="1">
      <c r="A69" s="64" t="s">
        <v>87</v>
      </c>
      <c r="C69" s="64" t="s">
        <v>88</v>
      </c>
      <c r="D69" s="64"/>
      <c r="E69" s="48">
        <v>0</v>
      </c>
      <c r="F69" s="48"/>
      <c r="G69" s="48">
        <v>0</v>
      </c>
      <c r="H69" s="48"/>
      <c r="I69" s="48">
        <v>0</v>
      </c>
      <c r="J69" s="48"/>
      <c r="K69" s="48">
        <v>0</v>
      </c>
      <c r="L69" s="48"/>
      <c r="M69" s="48">
        <v>30404</v>
      </c>
      <c r="N69" s="48"/>
      <c r="O69" s="48">
        <v>420374</v>
      </c>
      <c r="P69" s="48"/>
      <c r="Q69" s="48">
        <v>0</v>
      </c>
      <c r="R69" s="48"/>
      <c r="S69" s="48">
        <f t="shared" si="0"/>
        <v>450778</v>
      </c>
      <c r="T69" s="44"/>
      <c r="U69" s="48">
        <v>181772</v>
      </c>
      <c r="W69" s="46">
        <f>+S69-'Stmt net assets'!O69-U69</f>
        <v>0</v>
      </c>
    </row>
    <row r="70" spans="1:24" s="65" customFormat="1" ht="12.75" customHeight="1">
      <c r="A70" s="35" t="s">
        <v>395</v>
      </c>
      <c r="C70" s="35" t="s">
        <v>89</v>
      </c>
      <c r="D70" s="35"/>
      <c r="E70" s="48">
        <v>0</v>
      </c>
      <c r="F70" s="48"/>
      <c r="G70" s="48">
        <v>0</v>
      </c>
      <c r="H70" s="48"/>
      <c r="I70" s="48">
        <v>2640000</v>
      </c>
      <c r="J70" s="48"/>
      <c r="K70" s="48">
        <v>530860</v>
      </c>
      <c r="L70" s="48"/>
      <c r="M70" s="48">
        <v>0</v>
      </c>
      <c r="N70" s="48"/>
      <c r="O70" s="48">
        <v>1231416</v>
      </c>
      <c r="P70" s="48"/>
      <c r="Q70" s="48">
        <v>273072</v>
      </c>
      <c r="R70" s="48"/>
      <c r="S70" s="48">
        <f t="shared" si="0"/>
        <v>4675348</v>
      </c>
      <c r="T70" s="44"/>
      <c r="U70" s="48">
        <v>139303</v>
      </c>
      <c r="W70" s="44">
        <f>+S70-'Stmt net assets'!O70-U70</f>
        <v>0</v>
      </c>
    </row>
    <row r="71" spans="1:24" s="107" customFormat="1" ht="12.75" customHeight="1">
      <c r="A71" s="35" t="s">
        <v>90</v>
      </c>
      <c r="B71" s="96"/>
      <c r="C71" s="35" t="s">
        <v>43</v>
      </c>
      <c r="D71" s="35"/>
      <c r="E71" s="48">
        <f>38615000+1012635-1168818</f>
        <v>38458817</v>
      </c>
      <c r="F71" s="48"/>
      <c r="G71" s="48">
        <v>0</v>
      </c>
      <c r="H71" s="48"/>
      <c r="I71" s="48">
        <v>0</v>
      </c>
      <c r="J71" s="48"/>
      <c r="K71" s="48">
        <v>7148006</v>
      </c>
      <c r="L71" s="48"/>
      <c r="M71" s="48">
        <v>0</v>
      </c>
      <c r="N71" s="48"/>
      <c r="O71" s="48">
        <v>3715946</v>
      </c>
      <c r="P71" s="48"/>
      <c r="Q71" s="48">
        <f>835000+2398659</f>
        <v>3233659</v>
      </c>
      <c r="R71" s="48"/>
      <c r="S71" s="48">
        <f t="shared" si="0"/>
        <v>52556428</v>
      </c>
      <c r="T71" s="44"/>
      <c r="U71" s="48">
        <v>6200627</v>
      </c>
      <c r="W71" s="44">
        <f>+S71-'Stmt net assets'!O71-U71</f>
        <v>0</v>
      </c>
    </row>
    <row r="72" spans="1:24" s="125" customFormat="1" ht="12.75" hidden="1" customHeight="1">
      <c r="A72" s="122" t="s">
        <v>488</v>
      </c>
      <c r="B72" s="122"/>
      <c r="C72" s="122" t="s">
        <v>27</v>
      </c>
      <c r="D72" s="126"/>
      <c r="E72" s="130">
        <v>0</v>
      </c>
      <c r="F72" s="130"/>
      <c r="G72" s="130">
        <v>0</v>
      </c>
      <c r="H72" s="130"/>
      <c r="I72" s="130">
        <v>0</v>
      </c>
      <c r="J72" s="130"/>
      <c r="K72" s="130">
        <v>0</v>
      </c>
      <c r="L72" s="130"/>
      <c r="M72" s="130">
        <v>0</v>
      </c>
      <c r="N72" s="130"/>
      <c r="O72" s="130">
        <v>0</v>
      </c>
      <c r="P72" s="130"/>
      <c r="Q72" s="130">
        <v>0</v>
      </c>
      <c r="R72" s="130"/>
      <c r="S72" s="130">
        <f t="shared" si="0"/>
        <v>0</v>
      </c>
      <c r="T72" s="121"/>
      <c r="U72" s="130">
        <v>0</v>
      </c>
      <c r="W72" s="121">
        <f>+S72-'Stmt net assets'!O72-U72</f>
        <v>0</v>
      </c>
    </row>
    <row r="73" spans="1:24" s="65" customFormat="1" ht="12.75" customHeight="1">
      <c r="A73" s="44" t="s">
        <v>93</v>
      </c>
      <c r="B73" s="47"/>
      <c r="C73" s="44" t="s">
        <v>94</v>
      </c>
      <c r="D73" s="35"/>
      <c r="E73" s="48">
        <v>0</v>
      </c>
      <c r="F73" s="48"/>
      <c r="G73" s="48">
        <v>0</v>
      </c>
      <c r="H73" s="48"/>
      <c r="I73" s="48">
        <v>0</v>
      </c>
      <c r="J73" s="48"/>
      <c r="K73" s="48">
        <f>166216+297478+136763+587952+1244510</f>
        <v>2432919</v>
      </c>
      <c r="L73" s="48"/>
      <c r="M73" s="48">
        <v>50254</v>
      </c>
      <c r="N73" s="48"/>
      <c r="O73" s="48">
        <v>388934</v>
      </c>
      <c r="P73" s="48"/>
      <c r="Q73" s="48">
        <v>828101</v>
      </c>
      <c r="R73" s="48"/>
      <c r="S73" s="48">
        <f t="shared" si="0"/>
        <v>3700208</v>
      </c>
      <c r="T73" s="44"/>
      <c r="U73" s="48">
        <v>333437</v>
      </c>
      <c r="W73" s="44">
        <f>+S73-'Stmt net assets'!O73-U73</f>
        <v>0</v>
      </c>
      <c r="X73" s="107"/>
    </row>
    <row r="74" spans="1:24" s="65" customFormat="1" ht="12.75" customHeight="1">
      <c r="A74" s="35" t="s">
        <v>95</v>
      </c>
      <c r="C74" s="35" t="s">
        <v>94</v>
      </c>
      <c r="D74" s="35"/>
      <c r="E74" s="48">
        <v>0</v>
      </c>
      <c r="F74" s="48"/>
      <c r="G74" s="48">
        <v>0</v>
      </c>
      <c r="H74" s="48"/>
      <c r="I74" s="48">
        <v>108188</v>
      </c>
      <c r="J74" s="48"/>
      <c r="K74" s="48">
        <f>273858+264792+452088</f>
        <v>990738</v>
      </c>
      <c r="L74" s="48"/>
      <c r="M74" s="48">
        <v>4269</v>
      </c>
      <c r="N74" s="48"/>
      <c r="O74" s="48">
        <v>228297</v>
      </c>
      <c r="P74" s="48"/>
      <c r="Q74" s="48">
        <v>0</v>
      </c>
      <c r="R74" s="48"/>
      <c r="S74" s="48">
        <f t="shared" ref="S74:S129" si="2">SUM(E74:Q74)</f>
        <v>1331492</v>
      </c>
      <c r="T74" s="44"/>
      <c r="U74" s="48">
        <v>187259</v>
      </c>
      <c r="W74" s="44">
        <f>+S74-'Stmt net assets'!O74-U74</f>
        <v>0</v>
      </c>
    </row>
    <row r="75" spans="1:24" s="125" customFormat="1" ht="12.75" hidden="1" customHeight="1">
      <c r="A75" s="126" t="s">
        <v>91</v>
      </c>
      <c r="B75" s="124"/>
      <c r="C75" s="126" t="s">
        <v>92</v>
      </c>
      <c r="D75" s="126"/>
      <c r="E75" s="130">
        <v>13555000</v>
      </c>
      <c r="F75" s="130"/>
      <c r="G75" s="130">
        <v>0</v>
      </c>
      <c r="H75" s="130"/>
      <c r="I75" s="130">
        <v>0</v>
      </c>
      <c r="J75" s="130"/>
      <c r="K75" s="130">
        <f>246259+164756</f>
        <v>411015</v>
      </c>
      <c r="L75" s="130"/>
      <c r="M75" s="130">
        <v>42290</v>
      </c>
      <c r="N75" s="130"/>
      <c r="O75" s="130">
        <v>1879879</v>
      </c>
      <c r="P75" s="130"/>
      <c r="Q75" s="130">
        <v>0</v>
      </c>
      <c r="R75" s="130"/>
      <c r="S75" s="130">
        <f t="shared" si="2"/>
        <v>15888184</v>
      </c>
      <c r="T75" s="121"/>
      <c r="U75" s="130">
        <f>745000+342736</f>
        <v>1087736</v>
      </c>
      <c r="W75" s="121">
        <f>+S75-'Stmt net assets'!O75-U75</f>
        <v>14800448</v>
      </c>
    </row>
    <row r="76" spans="1:24" s="65" customFormat="1" ht="12.75" customHeight="1">
      <c r="A76" s="35" t="s">
        <v>96</v>
      </c>
      <c r="B76" s="51"/>
      <c r="C76" s="35" t="s">
        <v>97</v>
      </c>
      <c r="D76" s="35"/>
      <c r="E76" s="48">
        <v>805827</v>
      </c>
      <c r="F76" s="48"/>
      <c r="G76" s="48">
        <v>0</v>
      </c>
      <c r="H76" s="48"/>
      <c r="I76" s="48">
        <v>0</v>
      </c>
      <c r="J76" s="48"/>
      <c r="K76" s="48">
        <f>467500+356250</f>
        <v>823750</v>
      </c>
      <c r="L76" s="48"/>
      <c r="M76" s="48">
        <v>0</v>
      </c>
      <c r="N76" s="48"/>
      <c r="O76" s="48">
        <v>591003</v>
      </c>
      <c r="P76" s="48"/>
      <c r="Q76" s="48">
        <v>259811</v>
      </c>
      <c r="R76" s="48"/>
      <c r="S76" s="48">
        <f t="shared" si="2"/>
        <v>2480391</v>
      </c>
      <c r="T76" s="44"/>
      <c r="U76" s="48">
        <v>436940</v>
      </c>
      <c r="W76" s="44">
        <f>+S76-'Stmt net assets'!O76-U76</f>
        <v>0</v>
      </c>
    </row>
    <row r="77" spans="1:24" s="65" customFormat="1" ht="12.75" customHeight="1">
      <c r="A77" s="35" t="s">
        <v>98</v>
      </c>
      <c r="B77" s="51"/>
      <c r="C77" s="35" t="s">
        <v>17</v>
      </c>
      <c r="D77" s="35"/>
      <c r="E77" s="48">
        <v>24581362</v>
      </c>
      <c r="F77" s="48"/>
      <c r="G77" s="48">
        <v>3491873</v>
      </c>
      <c r="H77" s="48"/>
      <c r="I77" s="48">
        <v>5130000</v>
      </c>
      <c r="J77" s="48"/>
      <c r="K77" s="48">
        <v>3646585</v>
      </c>
      <c r="L77" s="48"/>
      <c r="M77" s="48">
        <v>0</v>
      </c>
      <c r="N77" s="48"/>
      <c r="O77" s="48">
        <v>4952640</v>
      </c>
      <c r="P77" s="48"/>
      <c r="Q77" s="48">
        <v>0</v>
      </c>
      <c r="R77" s="48"/>
      <c r="S77" s="48">
        <f t="shared" si="2"/>
        <v>41802460</v>
      </c>
      <c r="T77" s="44"/>
      <c r="U77" s="48">
        <f>2412328+5130000</f>
        <v>7542328</v>
      </c>
      <c r="W77" s="44">
        <f>+S77-'Stmt net assets'!O77-U77</f>
        <v>0</v>
      </c>
      <c r="X77" s="107"/>
    </row>
    <row r="78" spans="1:24" s="65" customFormat="1" ht="12.75" customHeight="1">
      <c r="A78" s="35" t="s">
        <v>99</v>
      </c>
      <c r="B78" s="51"/>
      <c r="C78" s="35" t="s">
        <v>66</v>
      </c>
      <c r="D78" s="35"/>
      <c r="E78" s="48">
        <v>0</v>
      </c>
      <c r="F78" s="48"/>
      <c r="G78" s="48">
        <v>0</v>
      </c>
      <c r="H78" s="48"/>
      <c r="I78" s="48">
        <v>0</v>
      </c>
      <c r="J78" s="48"/>
      <c r="K78" s="48">
        <v>183562</v>
      </c>
      <c r="L78" s="48"/>
      <c r="M78" s="48">
        <v>0</v>
      </c>
      <c r="N78" s="48"/>
      <c r="O78" s="48">
        <v>470694</v>
      </c>
      <c r="P78" s="48"/>
      <c r="Q78" s="48">
        <v>0</v>
      </c>
      <c r="R78" s="48"/>
      <c r="S78" s="48">
        <f t="shared" si="2"/>
        <v>654256</v>
      </c>
      <c r="T78" s="44"/>
      <c r="U78" s="48">
        <v>325392</v>
      </c>
      <c r="W78" s="44">
        <f>+S78-'Stmt net assets'!O78-U78</f>
        <v>0</v>
      </c>
    </row>
    <row r="79" spans="1:24" s="65" customFormat="1" ht="12.75" customHeight="1">
      <c r="A79" s="35" t="s">
        <v>100</v>
      </c>
      <c r="B79" s="51"/>
      <c r="C79" s="35" t="s">
        <v>27</v>
      </c>
      <c r="D79" s="35"/>
      <c r="E79" s="48">
        <v>23232081</v>
      </c>
      <c r="F79" s="48"/>
      <c r="G79" s="48">
        <v>995000</v>
      </c>
      <c r="H79" s="48"/>
      <c r="I79" s="48">
        <v>4311278</v>
      </c>
      <c r="J79" s="48"/>
      <c r="K79" s="48">
        <v>1586856</v>
      </c>
      <c r="L79" s="48"/>
      <c r="M79" s="48">
        <v>473890</v>
      </c>
      <c r="N79" s="48"/>
      <c r="O79" s="48">
        <v>8229171</v>
      </c>
      <c r="P79" s="48"/>
      <c r="Q79" s="48">
        <f>995000+875880</f>
        <v>1870880</v>
      </c>
      <c r="R79" s="48"/>
      <c r="S79" s="48">
        <f t="shared" si="2"/>
        <v>40699156</v>
      </c>
      <c r="T79" s="44"/>
      <c r="U79" s="48">
        <v>7793416</v>
      </c>
      <c r="W79" s="44">
        <f>+S79-'Stmt net assets'!O79-U79</f>
        <v>0</v>
      </c>
    </row>
    <row r="80" spans="1:24" s="65" customFormat="1" ht="12" customHeight="1">
      <c r="A80" s="35" t="s">
        <v>101</v>
      </c>
      <c r="B80" s="51"/>
      <c r="C80" s="35" t="s">
        <v>30</v>
      </c>
      <c r="D80" s="35"/>
      <c r="E80" s="48">
        <v>570583</v>
      </c>
      <c r="F80" s="48"/>
      <c r="G80" s="48">
        <v>1437000</v>
      </c>
      <c r="H80" s="48"/>
      <c r="I80" s="48">
        <v>710000</v>
      </c>
      <c r="J80" s="48"/>
      <c r="K80" s="48">
        <v>0</v>
      </c>
      <c r="L80" s="48"/>
      <c r="M80" s="48">
        <v>527564</v>
      </c>
      <c r="N80" s="48"/>
      <c r="O80" s="48">
        <v>1081782</v>
      </c>
      <c r="P80" s="48"/>
      <c r="Q80" s="48">
        <v>4802583</v>
      </c>
      <c r="R80" s="48"/>
      <c r="S80" s="48">
        <f t="shared" si="2"/>
        <v>9129512</v>
      </c>
      <c r="T80" s="44"/>
      <c r="U80" s="48">
        <v>2606697</v>
      </c>
      <c r="W80" s="44">
        <f>+S80-'Stmt net assets'!O80-U80</f>
        <v>300</v>
      </c>
    </row>
    <row r="81" spans="1:23" s="65" customFormat="1" ht="12.75" customHeight="1">
      <c r="A81" s="35" t="s">
        <v>102</v>
      </c>
      <c r="B81" s="51"/>
      <c r="C81" s="35" t="s">
        <v>103</v>
      </c>
      <c r="D81" s="35"/>
      <c r="E81" s="48">
        <v>24832967</v>
      </c>
      <c r="F81" s="48"/>
      <c r="G81" s="48">
        <v>0</v>
      </c>
      <c r="H81" s="48"/>
      <c r="I81" s="48">
        <v>0</v>
      </c>
      <c r="J81" s="48"/>
      <c r="K81" s="48">
        <v>0</v>
      </c>
      <c r="L81" s="48"/>
      <c r="M81" s="48">
        <f>348831-73549</f>
        <v>275282</v>
      </c>
      <c r="N81" s="48"/>
      <c r="O81" s="48">
        <v>3868470</v>
      </c>
      <c r="P81" s="48"/>
      <c r="Q81" s="48">
        <v>0</v>
      </c>
      <c r="R81" s="48"/>
      <c r="S81" s="48">
        <f t="shared" si="2"/>
        <v>28976719</v>
      </c>
      <c r="T81" s="44"/>
      <c r="U81" s="48">
        <v>1779673</v>
      </c>
      <c r="W81" s="44">
        <f>+S81-'Stmt net assets'!O81-U81</f>
        <v>0</v>
      </c>
    </row>
    <row r="82" spans="1:23" s="65" customFormat="1" ht="12.75" customHeight="1">
      <c r="A82" s="35" t="s">
        <v>104</v>
      </c>
      <c r="B82" s="51"/>
      <c r="C82" s="35" t="s">
        <v>13</v>
      </c>
      <c r="D82" s="35"/>
      <c r="E82" s="48">
        <v>6160000</v>
      </c>
      <c r="F82" s="48"/>
      <c r="G82" s="48">
        <v>185000</v>
      </c>
      <c r="H82" s="48"/>
      <c r="I82" s="48">
        <v>0</v>
      </c>
      <c r="J82" s="48"/>
      <c r="K82" s="48">
        <v>318349</v>
      </c>
      <c r="L82" s="48"/>
      <c r="M82" s="48">
        <v>0</v>
      </c>
      <c r="N82" s="48"/>
      <c r="O82" s="48">
        <v>1417747</v>
      </c>
      <c r="P82" s="48"/>
      <c r="Q82" s="48">
        <v>0</v>
      </c>
      <c r="R82" s="48"/>
      <c r="S82" s="48">
        <f t="shared" si="2"/>
        <v>8081096</v>
      </c>
      <c r="T82" s="44"/>
      <c r="U82" s="48">
        <v>1520575</v>
      </c>
      <c r="W82" s="44">
        <f>+S82-'Stmt net assets'!O82-U82</f>
        <v>0</v>
      </c>
    </row>
    <row r="83" spans="1:23" s="65" customFormat="1" ht="12.75" customHeight="1">
      <c r="A83" s="35" t="s">
        <v>105</v>
      </c>
      <c r="B83" s="51"/>
      <c r="C83" s="35" t="s">
        <v>27</v>
      </c>
      <c r="D83" s="35"/>
      <c r="E83" s="48">
        <v>22678198</v>
      </c>
      <c r="F83" s="48"/>
      <c r="G83" s="48">
        <v>0</v>
      </c>
      <c r="H83" s="48"/>
      <c r="I83" s="48">
        <v>1100000</v>
      </c>
      <c r="J83" s="48"/>
      <c r="K83" s="48">
        <f>188188+738372+334025+263965</f>
        <v>1524550</v>
      </c>
      <c r="L83" s="48"/>
      <c r="M83" s="48">
        <v>271513</v>
      </c>
      <c r="N83" s="48"/>
      <c r="O83" s="48">
        <v>1696855</v>
      </c>
      <c r="P83" s="48"/>
      <c r="Q83" s="48">
        <v>0</v>
      </c>
      <c r="R83" s="48"/>
      <c r="S83" s="48">
        <f t="shared" si="2"/>
        <v>27271116</v>
      </c>
      <c r="T83" s="44"/>
      <c r="U83" s="48">
        <v>1757592</v>
      </c>
      <c r="W83" s="44">
        <f>+S83-'Stmt net assets'!O83-U83</f>
        <v>0</v>
      </c>
    </row>
    <row r="84" spans="1:23" s="65" customFormat="1" ht="12.75" customHeight="1">
      <c r="A84" s="35" t="s">
        <v>106</v>
      </c>
      <c r="B84" s="51"/>
      <c r="C84" s="35" t="s">
        <v>107</v>
      </c>
      <c r="D84" s="35"/>
      <c r="E84" s="48">
        <f>9400000+46264-42400-71286</f>
        <v>9332578</v>
      </c>
      <c r="F84" s="48"/>
      <c r="G84" s="48">
        <v>34145</v>
      </c>
      <c r="H84" s="48"/>
      <c r="I84" s="48">
        <v>0</v>
      </c>
      <c r="J84" s="48"/>
      <c r="K84" s="48">
        <v>213189</v>
      </c>
      <c r="L84" s="48"/>
      <c r="M84" s="48">
        <v>0</v>
      </c>
      <c r="N84" s="48"/>
      <c r="O84" s="48">
        <v>3852567</v>
      </c>
      <c r="P84" s="48"/>
      <c r="Q84" s="48">
        <v>1131741</v>
      </c>
      <c r="R84" s="48"/>
      <c r="S84" s="48">
        <f t="shared" si="2"/>
        <v>14564220</v>
      </c>
      <c r="T84" s="44"/>
      <c r="U84" s="48">
        <v>2341025</v>
      </c>
      <c r="W84" s="44">
        <f>+S84-'Stmt net assets'!O84-U84</f>
        <v>0</v>
      </c>
    </row>
    <row r="85" spans="1:23" s="65" customFormat="1" ht="12.75" customHeight="1">
      <c r="A85" s="35" t="s">
        <v>108</v>
      </c>
      <c r="B85" s="51"/>
      <c r="C85" s="35" t="s">
        <v>45</v>
      </c>
      <c r="D85" s="35"/>
      <c r="E85" s="48">
        <v>2165000</v>
      </c>
      <c r="F85" s="48"/>
      <c r="G85" s="48">
        <v>0</v>
      </c>
      <c r="H85" s="48"/>
      <c r="I85" s="48">
        <v>0</v>
      </c>
      <c r="J85" s="48"/>
      <c r="K85" s="48">
        <v>11720</v>
      </c>
      <c r="L85" s="48"/>
      <c r="M85" s="48">
        <v>0</v>
      </c>
      <c r="N85" s="48"/>
      <c r="O85" s="48">
        <v>542029</v>
      </c>
      <c r="P85" s="48"/>
      <c r="Q85" s="48">
        <v>0</v>
      </c>
      <c r="R85" s="48"/>
      <c r="S85" s="48">
        <f t="shared" si="2"/>
        <v>2718749</v>
      </c>
      <c r="T85" s="44"/>
      <c r="U85" s="48">
        <v>324159</v>
      </c>
      <c r="W85" s="44">
        <f>+S85-'Stmt net assets'!O85-U85</f>
        <v>0</v>
      </c>
    </row>
    <row r="86" spans="1:23" s="65" customFormat="1" ht="12.75" customHeight="1">
      <c r="A86" s="35" t="s">
        <v>109</v>
      </c>
      <c r="C86" s="35" t="s">
        <v>110</v>
      </c>
      <c r="D86" s="35"/>
      <c r="E86" s="48">
        <v>0</v>
      </c>
      <c r="F86" s="48"/>
      <c r="G86" s="48">
        <v>200618</v>
      </c>
      <c r="H86" s="48"/>
      <c r="I86" s="48">
        <v>0</v>
      </c>
      <c r="J86" s="48"/>
      <c r="K86" s="48">
        <v>176997</v>
      </c>
      <c r="L86" s="48"/>
      <c r="M86" s="48">
        <v>126471</v>
      </c>
      <c r="N86" s="48"/>
      <c r="O86" s="48">
        <v>1162215</v>
      </c>
      <c r="P86" s="48"/>
      <c r="Q86" s="48">
        <v>0</v>
      </c>
      <c r="R86" s="48"/>
      <c r="S86" s="48">
        <f t="shared" si="2"/>
        <v>1666301</v>
      </c>
      <c r="T86" s="44"/>
      <c r="U86" s="48">
        <v>499077</v>
      </c>
      <c r="W86" s="44">
        <f>+S86-'Stmt net assets'!O86-U86</f>
        <v>0</v>
      </c>
    </row>
    <row r="87" spans="1:23" s="65" customFormat="1" ht="12.75" customHeight="1">
      <c r="A87" s="44" t="s">
        <v>43</v>
      </c>
      <c r="C87" s="35" t="s">
        <v>111</v>
      </c>
      <c r="D87" s="35"/>
      <c r="E87" s="48">
        <v>6263352</v>
      </c>
      <c r="F87" s="48"/>
      <c r="G87" s="48">
        <v>2088000</v>
      </c>
      <c r="H87" s="48"/>
      <c r="I87" s="48">
        <v>287500</v>
      </c>
      <c r="J87" s="48"/>
      <c r="K87" s="48">
        <v>0</v>
      </c>
      <c r="L87" s="48"/>
      <c r="M87" s="48">
        <v>0</v>
      </c>
      <c r="N87" s="48"/>
      <c r="O87" s="48">
        <v>65381</v>
      </c>
      <c r="P87" s="48"/>
      <c r="Q87" s="48">
        <v>961590</v>
      </c>
      <c r="R87" s="48"/>
      <c r="S87" s="48">
        <f t="shared" si="2"/>
        <v>9665823</v>
      </c>
      <c r="T87" s="44"/>
      <c r="U87" s="48">
        <v>838930</v>
      </c>
      <c r="W87" s="44">
        <f>+S87-'Stmt net assets'!O87-U87</f>
        <v>0</v>
      </c>
    </row>
    <row r="88" spans="1:23" s="65" customFormat="1" ht="12.75" customHeight="1">
      <c r="A88" s="35" t="s">
        <v>112</v>
      </c>
      <c r="B88" s="51"/>
      <c r="C88" s="35" t="s">
        <v>76</v>
      </c>
      <c r="D88" s="35"/>
      <c r="E88" s="48">
        <f>2765000+79035-116014</f>
        <v>2728021</v>
      </c>
      <c r="F88" s="48"/>
      <c r="G88" s="48">
        <v>0</v>
      </c>
      <c r="H88" s="48"/>
      <c r="I88" s="48">
        <v>0</v>
      </c>
      <c r="J88" s="48"/>
      <c r="K88" s="48">
        <v>0</v>
      </c>
      <c r="L88" s="48"/>
      <c r="M88" s="48">
        <v>0</v>
      </c>
      <c r="N88" s="48"/>
      <c r="O88" s="48">
        <v>829024</v>
      </c>
      <c r="P88" s="48"/>
      <c r="Q88" s="48">
        <v>741537</v>
      </c>
      <c r="R88" s="48"/>
      <c r="S88" s="48">
        <f t="shared" si="2"/>
        <v>4298582</v>
      </c>
      <c r="T88" s="44"/>
      <c r="U88" s="48">
        <v>433100</v>
      </c>
      <c r="W88" s="44">
        <f>+S88-'Stmt net assets'!O88-U88</f>
        <v>0</v>
      </c>
    </row>
    <row r="89" spans="1:23" s="65" customFormat="1" ht="12.75" customHeight="1">
      <c r="A89" s="35" t="s">
        <v>113</v>
      </c>
      <c r="B89" s="51"/>
      <c r="C89" s="35" t="s">
        <v>43</v>
      </c>
      <c r="D89" s="35"/>
      <c r="E89" s="48">
        <v>19879610</v>
      </c>
      <c r="F89" s="48"/>
      <c r="G89" s="48">
        <v>0</v>
      </c>
      <c r="H89" s="48"/>
      <c r="I89" s="48">
        <v>0</v>
      </c>
      <c r="J89" s="48"/>
      <c r="K89" s="48">
        <f>622138+1036320</f>
        <v>1658458</v>
      </c>
      <c r="L89" s="48"/>
      <c r="M89" s="48">
        <v>0</v>
      </c>
      <c r="N89" s="48"/>
      <c r="O89" s="48">
        <v>2199516</v>
      </c>
      <c r="P89" s="48"/>
      <c r="Q89" s="48">
        <v>0</v>
      </c>
      <c r="R89" s="48"/>
      <c r="S89" s="48">
        <f t="shared" si="2"/>
        <v>23737584</v>
      </c>
      <c r="T89" s="44"/>
      <c r="U89" s="48">
        <v>1562807</v>
      </c>
      <c r="W89" s="44">
        <f>+S89-'Stmt net assets'!O89-U89</f>
        <v>0</v>
      </c>
    </row>
    <row r="90" spans="1:23" s="65" customFormat="1" ht="12.75" customHeight="1">
      <c r="A90" s="35" t="s">
        <v>489</v>
      </c>
      <c r="B90" s="51"/>
      <c r="C90" s="35" t="s">
        <v>57</v>
      </c>
      <c r="D90" s="35"/>
      <c r="E90" s="48">
        <v>1434000</v>
      </c>
      <c r="F90" s="48"/>
      <c r="G90" s="48">
        <v>0</v>
      </c>
      <c r="H90" s="48"/>
      <c r="I90" s="48">
        <v>0</v>
      </c>
      <c r="J90" s="48"/>
      <c r="K90" s="48">
        <v>117782</v>
      </c>
      <c r="L90" s="48"/>
      <c r="M90" s="48">
        <v>0</v>
      </c>
      <c r="N90" s="48"/>
      <c r="O90" s="48">
        <v>704994</v>
      </c>
      <c r="P90" s="48"/>
      <c r="Q90" s="48">
        <f>25406+96298</f>
        <v>121704</v>
      </c>
      <c r="R90" s="48"/>
      <c r="S90" s="48">
        <f t="shared" si="2"/>
        <v>2378480</v>
      </c>
      <c r="T90" s="44"/>
      <c r="U90" s="48">
        <v>672161</v>
      </c>
      <c r="W90" s="44">
        <f>+S90-'Stmt net assets'!O90-U90</f>
        <v>0</v>
      </c>
    </row>
    <row r="91" spans="1:23" s="65" customFormat="1" ht="12.75" customHeight="1">
      <c r="A91" s="35" t="s">
        <v>114</v>
      </c>
      <c r="B91" s="51"/>
      <c r="C91" s="35" t="s">
        <v>27</v>
      </c>
      <c r="D91" s="35"/>
      <c r="E91" s="48">
        <v>30083746</v>
      </c>
      <c r="F91" s="48"/>
      <c r="G91" s="48">
        <v>735607</v>
      </c>
      <c r="H91" s="48"/>
      <c r="I91" s="48">
        <v>0</v>
      </c>
      <c r="J91" s="48"/>
      <c r="K91" s="48">
        <v>0</v>
      </c>
      <c r="L91" s="48"/>
      <c r="M91" s="48">
        <v>0</v>
      </c>
      <c r="N91" s="48"/>
      <c r="O91" s="48">
        <v>4587534</v>
      </c>
      <c r="P91" s="48"/>
      <c r="Q91" s="48">
        <f>378315+606065</f>
        <v>984380</v>
      </c>
      <c r="R91" s="48"/>
      <c r="S91" s="48">
        <f t="shared" si="2"/>
        <v>36391267</v>
      </c>
      <c r="T91" s="44"/>
      <c r="U91" s="48">
        <v>2985514</v>
      </c>
      <c r="W91" s="44">
        <f>+S91-'Stmt net assets'!O91-U91</f>
        <v>0</v>
      </c>
    </row>
    <row r="92" spans="1:23" s="65" customFormat="1" ht="12.75" customHeight="1">
      <c r="A92" s="35" t="s">
        <v>115</v>
      </c>
      <c r="C92" s="35" t="s">
        <v>19</v>
      </c>
      <c r="D92" s="35"/>
      <c r="E92" s="48">
        <v>2000103</v>
      </c>
      <c r="F92" s="48"/>
      <c r="G92" s="48">
        <v>460000</v>
      </c>
      <c r="H92" s="48"/>
      <c r="I92" s="48">
        <v>0</v>
      </c>
      <c r="J92" s="48"/>
      <c r="K92" s="48">
        <v>458511</v>
      </c>
      <c r="L92" s="48"/>
      <c r="M92" s="48">
        <v>1573</v>
      </c>
      <c r="N92" s="48"/>
      <c r="O92" s="48">
        <v>166284</v>
      </c>
      <c r="P92" s="48"/>
      <c r="Q92" s="48">
        <v>0</v>
      </c>
      <c r="R92" s="48"/>
      <c r="S92" s="48">
        <f t="shared" si="2"/>
        <v>3086471</v>
      </c>
      <c r="T92" s="44"/>
      <c r="U92" s="48">
        <v>449444</v>
      </c>
      <c r="W92" s="44">
        <f>+S92-'Stmt net assets'!O92-U92</f>
        <v>0</v>
      </c>
    </row>
    <row r="93" spans="1:23" s="65" customFormat="1" ht="12.75" customHeight="1">
      <c r="A93" s="35" t="s">
        <v>116</v>
      </c>
      <c r="B93" s="51"/>
      <c r="C93" s="35" t="s">
        <v>80</v>
      </c>
      <c r="D93" s="35"/>
      <c r="E93" s="48">
        <v>0</v>
      </c>
      <c r="F93" s="48"/>
      <c r="G93" s="48">
        <v>0</v>
      </c>
      <c r="H93" s="48"/>
      <c r="I93" s="48">
        <v>0</v>
      </c>
      <c r="J93" s="48"/>
      <c r="K93" s="48">
        <v>77354</v>
      </c>
      <c r="L93" s="48"/>
      <c r="M93" s="48">
        <v>0</v>
      </c>
      <c r="N93" s="48"/>
      <c r="O93" s="48">
        <v>536473</v>
      </c>
      <c r="P93" s="48"/>
      <c r="Q93" s="48">
        <v>259591</v>
      </c>
      <c r="R93" s="48"/>
      <c r="S93" s="48">
        <f t="shared" si="2"/>
        <v>873418</v>
      </c>
      <c r="T93" s="44"/>
      <c r="U93" s="48">
        <v>81470</v>
      </c>
      <c r="W93" s="44">
        <f>+S93-'Stmt net assets'!O93-U93</f>
        <v>0</v>
      </c>
    </row>
    <row r="94" spans="1:23" s="65" customFormat="1" ht="12.75" customHeight="1">
      <c r="A94" s="44" t="s">
        <v>117</v>
      </c>
      <c r="B94" s="51"/>
      <c r="C94" s="35" t="s">
        <v>43</v>
      </c>
      <c r="D94" s="35"/>
      <c r="E94" s="48">
        <v>0</v>
      </c>
      <c r="F94" s="48"/>
      <c r="G94" s="48">
        <v>0</v>
      </c>
      <c r="H94" s="48"/>
      <c r="I94" s="48">
        <v>0</v>
      </c>
      <c r="J94" s="48"/>
      <c r="K94" s="48">
        <v>1199184</v>
      </c>
      <c r="L94" s="48"/>
      <c r="M94" s="48">
        <v>54210</v>
      </c>
      <c r="N94" s="48"/>
      <c r="O94" s="48">
        <v>789994</v>
      </c>
      <c r="P94" s="48"/>
      <c r="Q94" s="48">
        <v>0</v>
      </c>
      <c r="R94" s="48"/>
      <c r="S94" s="48">
        <f t="shared" si="2"/>
        <v>2043388</v>
      </c>
      <c r="T94" s="44"/>
      <c r="U94" s="48">
        <v>574905</v>
      </c>
      <c r="W94" s="44">
        <f>+S94-'Stmt net assets'!O94-U94</f>
        <v>0</v>
      </c>
    </row>
    <row r="95" spans="1:23" s="65" customFormat="1" ht="12.75" customHeight="1">
      <c r="A95" s="35" t="s">
        <v>118</v>
      </c>
      <c r="B95" s="51"/>
      <c r="C95" s="35" t="s">
        <v>13</v>
      </c>
      <c r="D95" s="35"/>
      <c r="E95" s="48">
        <v>45321099</v>
      </c>
      <c r="F95" s="48"/>
      <c r="G95" s="48">
        <v>0</v>
      </c>
      <c r="H95" s="48"/>
      <c r="I95" s="48">
        <v>0</v>
      </c>
      <c r="J95" s="48"/>
      <c r="K95" s="48">
        <v>0</v>
      </c>
      <c r="L95" s="48"/>
      <c r="M95" s="48">
        <v>0</v>
      </c>
      <c r="N95" s="48"/>
      <c r="O95" s="48">
        <v>1228914</v>
      </c>
      <c r="P95" s="48"/>
      <c r="Q95" s="48">
        <v>0</v>
      </c>
      <c r="R95" s="48"/>
      <c r="S95" s="48">
        <f t="shared" si="2"/>
        <v>46550013</v>
      </c>
      <c r="T95" s="44"/>
      <c r="U95" s="48">
        <v>1631155</v>
      </c>
      <c r="W95" s="44">
        <f>+S95-'Stmt net assets'!O95-U95</f>
        <v>0</v>
      </c>
    </row>
    <row r="96" spans="1:23" s="65" customFormat="1" ht="12.75" customHeight="1">
      <c r="A96" s="35" t="s">
        <v>120</v>
      </c>
      <c r="B96" s="51"/>
      <c r="C96" s="35" t="s">
        <v>121</v>
      </c>
      <c r="D96" s="35"/>
      <c r="E96" s="48">
        <f>1690000+2413-61020+111000+835000</f>
        <v>2577393</v>
      </c>
      <c r="F96" s="48"/>
      <c r="G96" s="48">
        <v>0</v>
      </c>
      <c r="H96" s="48"/>
      <c r="I96" s="48">
        <v>0</v>
      </c>
      <c r="J96" s="48"/>
      <c r="K96" s="48">
        <v>259735</v>
      </c>
      <c r="L96" s="48"/>
      <c r="M96" s="48">
        <f>280400+70437</f>
        <v>350837</v>
      </c>
      <c r="N96" s="48"/>
      <c r="O96" s="48">
        <v>448241</v>
      </c>
      <c r="P96" s="48"/>
      <c r="Q96" s="48">
        <v>54000</v>
      </c>
      <c r="R96" s="48"/>
      <c r="S96" s="48">
        <f t="shared" si="2"/>
        <v>3690206</v>
      </c>
      <c r="T96" s="44"/>
      <c r="U96" s="48">
        <v>484719</v>
      </c>
      <c r="W96" s="44">
        <f>+S96-'Stmt net assets'!O96-U96</f>
        <v>0</v>
      </c>
    </row>
    <row r="97" spans="1:25" s="65" customFormat="1" ht="12.75" customHeight="1">
      <c r="A97" s="35" t="s">
        <v>122</v>
      </c>
      <c r="B97" s="51"/>
      <c r="C97" s="35" t="s">
        <v>43</v>
      </c>
      <c r="D97" s="35"/>
      <c r="E97" s="48">
        <v>17410958</v>
      </c>
      <c r="F97" s="48"/>
      <c r="G97" s="48">
        <v>0</v>
      </c>
      <c r="H97" s="48"/>
      <c r="I97" s="48">
        <v>0</v>
      </c>
      <c r="J97" s="48"/>
      <c r="K97" s="48">
        <v>4001188</v>
      </c>
      <c r="L97" s="48"/>
      <c r="M97" s="48">
        <v>99226</v>
      </c>
      <c r="N97" s="48"/>
      <c r="O97" s="48">
        <v>1394090</v>
      </c>
      <c r="P97" s="48"/>
      <c r="Q97" s="48">
        <v>15350000</v>
      </c>
      <c r="R97" s="48"/>
      <c r="S97" s="48">
        <f t="shared" si="2"/>
        <v>38255462</v>
      </c>
      <c r="T97" s="44"/>
      <c r="U97" s="48">
        <v>2181219</v>
      </c>
      <c r="W97" s="44">
        <f>+S97-'Stmt net assets'!O97-U97</f>
        <v>0</v>
      </c>
    </row>
    <row r="98" spans="1:25" s="65" customFormat="1" ht="12.75" customHeight="1">
      <c r="A98" s="44" t="s">
        <v>45</v>
      </c>
      <c r="B98" s="51"/>
      <c r="C98" s="35" t="s">
        <v>103</v>
      </c>
      <c r="D98" s="35"/>
      <c r="E98" s="48">
        <f>29820000+8806</f>
        <v>29828806</v>
      </c>
      <c r="F98" s="48"/>
      <c r="G98" s="48">
        <v>1650000</v>
      </c>
      <c r="H98" s="48"/>
      <c r="I98" s="48">
        <v>0</v>
      </c>
      <c r="J98" s="48"/>
      <c r="K98" s="48">
        <v>0</v>
      </c>
      <c r="L98" s="48"/>
      <c r="M98" s="48">
        <v>0</v>
      </c>
      <c r="N98" s="48"/>
      <c r="O98" s="48">
        <v>7058686</v>
      </c>
      <c r="P98" s="48"/>
      <c r="Q98" s="48">
        <v>0</v>
      </c>
      <c r="R98" s="48"/>
      <c r="S98" s="48">
        <f t="shared" si="2"/>
        <v>38537492</v>
      </c>
      <c r="T98" s="44"/>
      <c r="U98" s="48">
        <v>4888590</v>
      </c>
      <c r="W98" s="44">
        <f>+S98-'Stmt net assets'!O98-U98</f>
        <v>0</v>
      </c>
    </row>
    <row r="99" spans="1:25" s="65" customFormat="1" ht="12.75" customHeight="1">
      <c r="A99" s="44" t="s">
        <v>123</v>
      </c>
      <c r="B99" s="51"/>
      <c r="C99" s="35" t="s">
        <v>45</v>
      </c>
      <c r="D99" s="35"/>
      <c r="E99" s="48">
        <f>2095000+1150000+660000+84296</f>
        <v>3989296</v>
      </c>
      <c r="F99" s="48"/>
      <c r="G99" s="48">
        <v>0</v>
      </c>
      <c r="H99" s="48"/>
      <c r="I99" s="48">
        <v>0</v>
      </c>
      <c r="J99" s="48"/>
      <c r="K99" s="48">
        <f>366134+555141+401713</f>
        <v>1322988</v>
      </c>
      <c r="L99" s="48"/>
      <c r="M99" s="48">
        <v>1260466</v>
      </c>
      <c r="N99" s="48"/>
      <c r="O99" s="48">
        <v>609964</v>
      </c>
      <c r="P99" s="48"/>
      <c r="Q99" s="48">
        <v>0</v>
      </c>
      <c r="R99" s="48"/>
      <c r="S99" s="48">
        <f t="shared" si="2"/>
        <v>7182714</v>
      </c>
      <c r="T99" s="44"/>
      <c r="U99" s="48">
        <v>592297</v>
      </c>
      <c r="W99" s="44">
        <f>+S99-'Stmt net assets'!O99-U99</f>
        <v>0</v>
      </c>
    </row>
    <row r="100" spans="1:25" s="65" customFormat="1" ht="12.75" customHeight="1">
      <c r="A100" s="64" t="s">
        <v>124</v>
      </c>
      <c r="B100" s="66"/>
      <c r="C100" s="64" t="s">
        <v>125</v>
      </c>
      <c r="D100" s="64"/>
      <c r="E100" s="48">
        <v>3735000</v>
      </c>
      <c r="F100" s="48"/>
      <c r="G100" s="48">
        <v>0</v>
      </c>
      <c r="H100" s="48"/>
      <c r="I100" s="48">
        <v>0</v>
      </c>
      <c r="J100" s="48"/>
      <c r="K100" s="48">
        <v>0</v>
      </c>
      <c r="L100" s="48"/>
      <c r="M100" s="48">
        <v>5371</v>
      </c>
      <c r="N100" s="48"/>
      <c r="O100" s="48">
        <v>781794</v>
      </c>
      <c r="P100" s="48"/>
      <c r="Q100" s="48">
        <v>0</v>
      </c>
      <c r="R100" s="48"/>
      <c r="S100" s="48">
        <f t="shared" si="2"/>
        <v>4522165</v>
      </c>
      <c r="T100" s="44"/>
      <c r="U100" s="48">
        <v>347991</v>
      </c>
      <c r="W100" s="44">
        <f>+S100-'Stmt net assets'!O100-U100</f>
        <v>0</v>
      </c>
    </row>
    <row r="101" spans="1:25" s="65" customFormat="1" ht="12.75" customHeight="1">
      <c r="A101" s="35" t="s">
        <v>126</v>
      </c>
      <c r="B101" s="51"/>
      <c r="C101" s="35" t="s">
        <v>27</v>
      </c>
      <c r="D101" s="35"/>
      <c r="E101" s="48">
        <f>7459296+63914</f>
        <v>7523210</v>
      </c>
      <c r="F101" s="48"/>
      <c r="G101" s="48">
        <v>3260703</v>
      </c>
      <c r="H101" s="48"/>
      <c r="I101" s="48">
        <v>0</v>
      </c>
      <c r="J101" s="48"/>
      <c r="K101" s="48">
        <v>2418275</v>
      </c>
      <c r="L101" s="48"/>
      <c r="M101" s="48">
        <v>0</v>
      </c>
      <c r="N101" s="48"/>
      <c r="O101" s="48">
        <v>1182649</v>
      </c>
      <c r="P101" s="48"/>
      <c r="Q101" s="48">
        <v>0</v>
      </c>
      <c r="R101" s="48"/>
      <c r="S101" s="48">
        <f t="shared" si="2"/>
        <v>14384837</v>
      </c>
      <c r="T101" s="44"/>
      <c r="U101" s="48">
        <v>1590476</v>
      </c>
      <c r="W101" s="44">
        <f>+S101-'Stmt net assets'!O101-U101</f>
        <v>0</v>
      </c>
    </row>
    <row r="102" spans="1:25" s="65" customFormat="1" ht="12.75" customHeight="1">
      <c r="A102" s="35" t="s">
        <v>127</v>
      </c>
      <c r="B102" s="51"/>
      <c r="C102" s="35" t="s">
        <v>43</v>
      </c>
      <c r="D102" s="35"/>
      <c r="E102" s="48">
        <f>48652193+1761564</f>
        <v>50413757</v>
      </c>
      <c r="F102" s="48"/>
      <c r="G102" s="48">
        <v>0</v>
      </c>
      <c r="H102" s="48"/>
      <c r="I102" s="48">
        <v>5300000</v>
      </c>
      <c r="J102" s="48"/>
      <c r="K102" s="48">
        <v>2216777</v>
      </c>
      <c r="L102" s="48"/>
      <c r="M102" s="48">
        <v>6168683</v>
      </c>
      <c r="N102" s="48"/>
      <c r="O102" s="48">
        <v>1813026</v>
      </c>
      <c r="P102" s="48"/>
      <c r="Q102" s="48">
        <v>0</v>
      </c>
      <c r="R102" s="48"/>
      <c r="S102" s="48">
        <f t="shared" si="2"/>
        <v>65912243</v>
      </c>
      <c r="T102" s="44"/>
      <c r="U102" s="48">
        <v>9068155</v>
      </c>
      <c r="W102" s="44">
        <f>+S102-'Stmt net assets'!O102-U102</f>
        <v>0</v>
      </c>
    </row>
    <row r="103" spans="1:25" s="65" customFormat="1" ht="12.75" customHeight="1">
      <c r="A103" s="35" t="s">
        <v>128</v>
      </c>
      <c r="B103" s="51"/>
      <c r="C103" s="35" t="s">
        <v>119</v>
      </c>
      <c r="D103" s="35"/>
      <c r="E103" s="48">
        <f>590000+2645000</f>
        <v>3235000</v>
      </c>
      <c r="F103" s="48"/>
      <c r="G103" s="48">
        <v>0</v>
      </c>
      <c r="H103" s="48"/>
      <c r="I103" s="48">
        <v>0</v>
      </c>
      <c r="J103" s="48"/>
      <c r="K103" s="48">
        <v>0</v>
      </c>
      <c r="L103" s="48"/>
      <c r="M103" s="48">
        <v>34135</v>
      </c>
      <c r="N103" s="48"/>
      <c r="O103" s="48">
        <v>359004</v>
      </c>
      <c r="P103" s="48"/>
      <c r="Q103" s="48">
        <v>0</v>
      </c>
      <c r="R103" s="48"/>
      <c r="S103" s="48">
        <f t="shared" si="2"/>
        <v>3628139</v>
      </c>
      <c r="T103" s="44"/>
      <c r="U103" s="48">
        <v>199646</v>
      </c>
      <c r="W103" s="44">
        <f>+S103-'Stmt net assets'!O103-U103</f>
        <v>0</v>
      </c>
    </row>
    <row r="104" spans="1:25" s="66" customFormat="1" ht="12.75" customHeight="1">
      <c r="A104" s="35" t="s">
        <v>129</v>
      </c>
      <c r="B104" s="51"/>
      <c r="C104" s="35" t="s">
        <v>80</v>
      </c>
      <c r="D104" s="35"/>
      <c r="E104" s="48">
        <v>3200000</v>
      </c>
      <c r="F104" s="48"/>
      <c r="G104" s="48">
        <v>0</v>
      </c>
      <c r="H104" s="48"/>
      <c r="I104" s="48">
        <v>0</v>
      </c>
      <c r="J104" s="48"/>
      <c r="K104" s="48">
        <v>0</v>
      </c>
      <c r="L104" s="48"/>
      <c r="M104" s="48">
        <v>49100</v>
      </c>
      <c r="N104" s="48"/>
      <c r="O104" s="48">
        <v>254556</v>
      </c>
      <c r="P104" s="48"/>
      <c r="Q104" s="48">
        <v>0</v>
      </c>
      <c r="R104" s="48"/>
      <c r="S104" s="48">
        <f t="shared" si="2"/>
        <v>3503656</v>
      </c>
      <c r="T104" s="44"/>
      <c r="U104" s="48">
        <v>545094</v>
      </c>
      <c r="V104" s="65"/>
      <c r="W104" s="44">
        <f>+S104-'Stmt net assets'!O104-U104</f>
        <v>0</v>
      </c>
    </row>
    <row r="105" spans="1:25" s="65" customFormat="1" ht="12.75" customHeight="1">
      <c r="A105" s="35" t="s">
        <v>130</v>
      </c>
      <c r="B105" s="51"/>
      <c r="C105" s="35" t="s">
        <v>66</v>
      </c>
      <c r="D105" s="35"/>
      <c r="E105" s="48">
        <v>12552952</v>
      </c>
      <c r="F105" s="48"/>
      <c r="G105" s="48">
        <v>13510000</v>
      </c>
      <c r="H105" s="48"/>
      <c r="I105" s="48">
        <v>0</v>
      </c>
      <c r="J105" s="48"/>
      <c r="K105" s="48">
        <v>2633089</v>
      </c>
      <c r="L105" s="48"/>
      <c r="M105" s="48">
        <v>591772</v>
      </c>
      <c r="N105" s="48"/>
      <c r="O105" s="48">
        <v>1651295</v>
      </c>
      <c r="P105" s="48"/>
      <c r="Q105" s="48">
        <v>0</v>
      </c>
      <c r="R105" s="48"/>
      <c r="S105" s="48">
        <f t="shared" si="2"/>
        <v>30939108</v>
      </c>
      <c r="T105" s="44"/>
      <c r="U105" s="48">
        <v>3072700</v>
      </c>
      <c r="W105" s="44">
        <f>+S105-'Stmt net assets'!O105-U105</f>
        <v>0</v>
      </c>
    </row>
    <row r="106" spans="1:25" s="65" customFormat="1" ht="12.75" customHeight="1">
      <c r="A106" s="35" t="s">
        <v>131</v>
      </c>
      <c r="B106" s="51"/>
      <c r="C106" s="35" t="s">
        <v>13</v>
      </c>
      <c r="D106" s="35"/>
      <c r="E106" s="48">
        <v>22250049</v>
      </c>
      <c r="F106" s="48"/>
      <c r="G106" s="48">
        <v>1425930</v>
      </c>
      <c r="H106" s="48"/>
      <c r="I106" s="48">
        <v>0</v>
      </c>
      <c r="J106" s="48"/>
      <c r="K106" s="48">
        <v>140121</v>
      </c>
      <c r="L106" s="48"/>
      <c r="M106" s="48">
        <v>75065</v>
      </c>
      <c r="N106" s="48"/>
      <c r="O106" s="48">
        <v>1923545</v>
      </c>
      <c r="P106" s="48"/>
      <c r="Q106" s="48">
        <v>0</v>
      </c>
      <c r="R106" s="48"/>
      <c r="S106" s="48">
        <f t="shared" si="2"/>
        <v>25814710</v>
      </c>
      <c r="T106" s="44"/>
      <c r="U106" s="48">
        <v>3635333</v>
      </c>
      <c r="W106" s="44">
        <f>+S106-'Stmt net assets'!O106-U106</f>
        <v>0</v>
      </c>
    </row>
    <row r="107" spans="1:25" s="65" customFormat="1" ht="12.75" customHeight="1">
      <c r="A107" s="35" t="s">
        <v>38</v>
      </c>
      <c r="B107" s="51"/>
      <c r="C107" s="35" t="s">
        <v>132</v>
      </c>
      <c r="D107" s="35"/>
      <c r="E107" s="48">
        <v>1542288</v>
      </c>
      <c r="F107" s="48"/>
      <c r="G107" s="48">
        <v>0</v>
      </c>
      <c r="H107" s="48"/>
      <c r="I107" s="48">
        <v>465000</v>
      </c>
      <c r="J107" s="48"/>
      <c r="K107" s="48">
        <v>0</v>
      </c>
      <c r="L107" s="48"/>
      <c r="M107" s="48">
        <v>33827</v>
      </c>
      <c r="N107" s="48"/>
      <c r="O107" s="48">
        <v>549627</v>
      </c>
      <c r="P107" s="48"/>
      <c r="Q107" s="48">
        <v>0</v>
      </c>
      <c r="R107" s="48"/>
      <c r="S107" s="48">
        <f t="shared" si="2"/>
        <v>2590742</v>
      </c>
      <c r="T107" s="44"/>
      <c r="U107" s="48">
        <v>391420</v>
      </c>
      <c r="W107" s="44">
        <f>+S107-'Stmt net assets'!O107-U107</f>
        <v>0</v>
      </c>
    </row>
    <row r="108" spans="1:25" s="65" customFormat="1" ht="12.75" customHeight="1">
      <c r="A108" s="35" t="s">
        <v>133</v>
      </c>
      <c r="B108" s="51"/>
      <c r="C108" s="35" t="s">
        <v>27</v>
      </c>
      <c r="D108" s="35"/>
      <c r="E108" s="48">
        <v>23983905</v>
      </c>
      <c r="F108" s="48"/>
      <c r="G108" s="48">
        <v>522222</v>
      </c>
      <c r="H108" s="48"/>
      <c r="I108" s="48">
        <f>7700000+14681</f>
        <v>7714681</v>
      </c>
      <c r="J108" s="48"/>
      <c r="K108" s="48">
        <v>23685</v>
      </c>
      <c r="L108" s="48"/>
      <c r="M108" s="48">
        <v>0</v>
      </c>
      <c r="N108" s="48"/>
      <c r="O108" s="48">
        <v>786724</v>
      </c>
      <c r="P108" s="48"/>
      <c r="Q108" s="48">
        <f>59874+181899+114704</f>
        <v>356477</v>
      </c>
      <c r="R108" s="48"/>
      <c r="S108" s="48">
        <f t="shared" si="2"/>
        <v>33387694</v>
      </c>
      <c r="T108" s="44"/>
      <c r="U108" s="48">
        <v>1911515</v>
      </c>
      <c r="W108" s="44">
        <f>+S108-'Stmt net assets'!O108-U108</f>
        <v>0</v>
      </c>
    </row>
    <row r="109" spans="1:25" s="65" customFormat="1" ht="12.75" customHeight="1">
      <c r="A109" s="35" t="s">
        <v>482</v>
      </c>
      <c r="B109" s="51"/>
      <c r="C109" s="35" t="s">
        <v>45</v>
      </c>
      <c r="D109" s="35"/>
      <c r="E109" s="48">
        <v>3416200</v>
      </c>
      <c r="F109" s="48"/>
      <c r="G109" s="48">
        <v>0</v>
      </c>
      <c r="H109" s="48"/>
      <c r="I109" s="48">
        <v>0</v>
      </c>
      <c r="J109" s="48"/>
      <c r="K109" s="48">
        <v>0</v>
      </c>
      <c r="L109" s="48"/>
      <c r="M109" s="48">
        <v>0</v>
      </c>
      <c r="N109" s="48"/>
      <c r="O109" s="48">
        <v>1519138</v>
      </c>
      <c r="P109" s="48"/>
      <c r="Q109" s="48">
        <v>0</v>
      </c>
      <c r="R109" s="48"/>
      <c r="S109" s="48">
        <f t="shared" si="2"/>
        <v>4935338</v>
      </c>
      <c r="T109" s="44"/>
      <c r="U109" s="48">
        <v>969238</v>
      </c>
      <c r="W109" s="44">
        <f>+S109-'Stmt net assets'!O109-U109</f>
        <v>0</v>
      </c>
    </row>
    <row r="110" spans="1:25" s="65" customFormat="1" ht="12.75" customHeight="1">
      <c r="A110" s="35" t="s">
        <v>136</v>
      </c>
      <c r="B110" s="51"/>
      <c r="C110" s="35" t="s">
        <v>136</v>
      </c>
      <c r="D110" s="35"/>
      <c r="E110" s="48">
        <v>0</v>
      </c>
      <c r="F110" s="48"/>
      <c r="G110" s="48">
        <v>0</v>
      </c>
      <c r="H110" s="48"/>
      <c r="I110" s="48">
        <v>469741</v>
      </c>
      <c r="J110" s="48"/>
      <c r="K110" s="48">
        <v>0</v>
      </c>
      <c r="L110" s="48"/>
      <c r="M110" s="48">
        <v>0</v>
      </c>
      <c r="N110" s="48"/>
      <c r="O110" s="48">
        <v>558520</v>
      </c>
      <c r="P110" s="48"/>
      <c r="Q110" s="48">
        <v>34685</v>
      </c>
      <c r="R110" s="48"/>
      <c r="S110" s="48">
        <f t="shared" si="2"/>
        <v>1062946</v>
      </c>
      <c r="T110" s="44"/>
      <c r="U110" s="48">
        <v>200747</v>
      </c>
      <c r="W110" s="44">
        <f>+S110-'Stmt net assets'!O110-U110</f>
        <v>0</v>
      </c>
      <c r="Y110" s="108"/>
    </row>
    <row r="111" spans="1:25" s="65" customFormat="1" ht="12.75" customHeight="1">
      <c r="A111" s="35" t="s">
        <v>137</v>
      </c>
      <c r="B111" s="51"/>
      <c r="C111" s="35" t="s">
        <v>22</v>
      </c>
      <c r="D111" s="35"/>
      <c r="E111" s="48">
        <v>1530000</v>
      </c>
      <c r="F111" s="48"/>
      <c r="G111" s="48">
        <v>361000</v>
      </c>
      <c r="H111" s="48"/>
      <c r="I111" s="48">
        <v>0</v>
      </c>
      <c r="J111" s="48"/>
      <c r="K111" s="48">
        <v>246026</v>
      </c>
      <c r="L111" s="48"/>
      <c r="M111" s="48">
        <v>0</v>
      </c>
      <c r="N111" s="48"/>
      <c r="O111" s="48">
        <v>1071347</v>
      </c>
      <c r="P111" s="48"/>
      <c r="Q111" s="48">
        <v>0</v>
      </c>
      <c r="R111" s="48"/>
      <c r="S111" s="48">
        <f t="shared" si="2"/>
        <v>3208373</v>
      </c>
      <c r="T111" s="44"/>
      <c r="U111" s="48">
        <v>1023249</v>
      </c>
      <c r="W111" s="44">
        <f>+S111-'Stmt net assets'!O111-U111</f>
        <v>0</v>
      </c>
    </row>
    <row r="112" spans="1:25" s="65" customFormat="1" ht="12.75" hidden="1" customHeight="1">
      <c r="A112" s="35" t="s">
        <v>138</v>
      </c>
      <c r="B112" s="51"/>
      <c r="C112" s="35" t="s">
        <v>139</v>
      </c>
      <c r="D112" s="35"/>
      <c r="E112" s="48">
        <v>0</v>
      </c>
      <c r="F112" s="48"/>
      <c r="G112" s="48">
        <v>0</v>
      </c>
      <c r="H112" s="48"/>
      <c r="I112" s="48">
        <v>0</v>
      </c>
      <c r="J112" s="48"/>
      <c r="K112" s="48">
        <v>0</v>
      </c>
      <c r="L112" s="48"/>
      <c r="M112" s="48">
        <v>0</v>
      </c>
      <c r="N112" s="48"/>
      <c r="O112" s="48">
        <v>0</v>
      </c>
      <c r="P112" s="48"/>
      <c r="Q112" s="48">
        <v>0</v>
      </c>
      <c r="R112" s="48"/>
      <c r="S112" s="48">
        <f t="shared" si="2"/>
        <v>0</v>
      </c>
      <c r="T112" s="44"/>
      <c r="U112" s="48">
        <v>0</v>
      </c>
      <c r="W112" s="44">
        <f>+S112-'Stmt net assets'!O112-U112</f>
        <v>0</v>
      </c>
    </row>
    <row r="113" spans="1:23" s="66" customFormat="1" ht="12.75" customHeight="1">
      <c r="A113" s="35" t="s">
        <v>140</v>
      </c>
      <c r="B113" s="51"/>
      <c r="C113" s="35" t="s">
        <v>66</v>
      </c>
      <c r="D113" s="35"/>
      <c r="E113" s="48">
        <v>14963217</v>
      </c>
      <c r="F113" s="48"/>
      <c r="G113" s="48">
        <v>271783</v>
      </c>
      <c r="H113" s="48"/>
      <c r="I113" s="48">
        <v>0</v>
      </c>
      <c r="J113" s="48"/>
      <c r="K113" s="48">
        <v>0</v>
      </c>
      <c r="L113" s="48"/>
      <c r="M113" s="48">
        <v>0</v>
      </c>
      <c r="N113" s="48"/>
      <c r="O113" s="48">
        <v>4459957</v>
      </c>
      <c r="P113" s="48"/>
      <c r="Q113" s="48">
        <v>2100914</v>
      </c>
      <c r="R113" s="48"/>
      <c r="S113" s="48">
        <f t="shared" si="2"/>
        <v>21795871</v>
      </c>
      <c r="T113" s="44"/>
      <c r="U113" s="48">
        <v>3604175</v>
      </c>
      <c r="V113" s="65"/>
      <c r="W113" s="44">
        <f>+S113-'Stmt net assets'!O113-U113</f>
        <v>0</v>
      </c>
    </row>
    <row r="114" spans="1:23" s="66" customFormat="1" ht="12.75" customHeight="1">
      <c r="A114" s="35" t="s">
        <v>478</v>
      </c>
      <c r="B114" s="51"/>
      <c r="C114" s="35" t="s">
        <v>92</v>
      </c>
      <c r="D114" s="35"/>
      <c r="E114" s="48">
        <v>2918636</v>
      </c>
      <c r="F114" s="48"/>
      <c r="G114" s="48">
        <v>0</v>
      </c>
      <c r="H114" s="48"/>
      <c r="I114" s="48">
        <v>1515000</v>
      </c>
      <c r="J114" s="48"/>
      <c r="K114" s="48">
        <v>59062</v>
      </c>
      <c r="L114" s="48"/>
      <c r="M114" s="48">
        <v>0</v>
      </c>
      <c r="N114" s="48"/>
      <c r="O114" s="48">
        <v>228871</v>
      </c>
      <c r="P114" s="48"/>
      <c r="Q114" s="48">
        <v>0</v>
      </c>
      <c r="R114" s="48"/>
      <c r="S114" s="48">
        <f t="shared" si="2"/>
        <v>4721569</v>
      </c>
      <c r="T114" s="44"/>
      <c r="U114" s="48">
        <v>247954</v>
      </c>
      <c r="V114" s="65"/>
      <c r="W114" s="44">
        <f>+S114-'Stmt net assets'!O114-U114</f>
        <v>0</v>
      </c>
    </row>
    <row r="115" spans="1:23" s="65" customFormat="1" ht="12.75" customHeight="1">
      <c r="A115" s="64" t="s">
        <v>141</v>
      </c>
      <c r="B115" s="66"/>
      <c r="C115" s="64" t="s">
        <v>27</v>
      </c>
      <c r="D115" s="64"/>
      <c r="E115" s="48">
        <v>26987433</v>
      </c>
      <c r="F115" s="48"/>
      <c r="G115" s="48">
        <v>0</v>
      </c>
      <c r="H115" s="48"/>
      <c r="I115" s="48">
        <v>7771000</v>
      </c>
      <c r="J115" s="48"/>
      <c r="K115" s="48">
        <v>246400</v>
      </c>
      <c r="L115" s="48"/>
      <c r="M115" s="48">
        <v>5574518</v>
      </c>
      <c r="N115" s="48"/>
      <c r="O115" s="48">
        <v>5615278</v>
      </c>
      <c r="P115" s="48"/>
      <c r="Q115" s="48">
        <v>861927</v>
      </c>
      <c r="R115" s="48"/>
      <c r="S115" s="48">
        <f t="shared" si="2"/>
        <v>47056556</v>
      </c>
      <c r="T115" s="44"/>
      <c r="U115" s="48">
        <v>6357575</v>
      </c>
      <c r="W115" s="44">
        <f>+S115-'Stmt net assets'!O115-U115</f>
        <v>0</v>
      </c>
    </row>
    <row r="116" spans="1:23" s="125" customFormat="1" ht="12.75" hidden="1" customHeight="1">
      <c r="A116" s="126" t="s">
        <v>142</v>
      </c>
      <c r="B116" s="124"/>
      <c r="C116" s="126" t="s">
        <v>102</v>
      </c>
      <c r="D116" s="126"/>
      <c r="E116" s="130">
        <v>0</v>
      </c>
      <c r="F116" s="130"/>
      <c r="G116" s="130">
        <v>0</v>
      </c>
      <c r="H116" s="130"/>
      <c r="I116" s="130">
        <v>0</v>
      </c>
      <c r="J116" s="130"/>
      <c r="K116" s="130">
        <v>0</v>
      </c>
      <c r="L116" s="130"/>
      <c r="M116" s="130">
        <v>0</v>
      </c>
      <c r="N116" s="130"/>
      <c r="O116" s="130">
        <v>0</v>
      </c>
      <c r="P116" s="130"/>
      <c r="Q116" s="130">
        <v>0</v>
      </c>
      <c r="R116" s="130"/>
      <c r="S116" s="130">
        <f t="shared" si="2"/>
        <v>0</v>
      </c>
      <c r="T116" s="121"/>
      <c r="U116" s="130">
        <v>0</v>
      </c>
      <c r="W116" s="121">
        <f>+S116-'Stmt net assets'!O116-U116</f>
        <v>0</v>
      </c>
    </row>
    <row r="117" spans="1:23" s="65" customFormat="1" ht="12.75" customHeight="1">
      <c r="A117" s="64" t="s">
        <v>143</v>
      </c>
      <c r="B117" s="66"/>
      <c r="C117" s="64" t="s">
        <v>111</v>
      </c>
      <c r="D117" s="64"/>
      <c r="E117" s="48">
        <v>6058568</v>
      </c>
      <c r="F117" s="48"/>
      <c r="G117" s="48">
        <v>87401</v>
      </c>
      <c r="H117" s="48"/>
      <c r="I117" s="48">
        <v>0</v>
      </c>
      <c r="J117" s="48"/>
      <c r="K117" s="48">
        <v>0</v>
      </c>
      <c r="L117" s="48"/>
      <c r="M117" s="48">
        <v>31595</v>
      </c>
      <c r="N117" s="48"/>
      <c r="O117" s="48">
        <v>1124579</v>
      </c>
      <c r="P117" s="48"/>
      <c r="Q117" s="48">
        <v>19130</v>
      </c>
      <c r="R117" s="48"/>
      <c r="S117" s="48">
        <f t="shared" si="2"/>
        <v>7321273</v>
      </c>
      <c r="T117" s="44"/>
      <c r="U117" s="48">
        <v>806771</v>
      </c>
      <c r="W117" s="44">
        <f>+S117-'Stmt net assets'!O117-U117</f>
        <v>0</v>
      </c>
    </row>
    <row r="118" spans="1:23" s="65" customFormat="1" ht="12.75" customHeight="1">
      <c r="A118" s="35" t="s">
        <v>144</v>
      </c>
      <c r="B118" s="51"/>
      <c r="C118" s="35" t="s">
        <v>88</v>
      </c>
      <c r="D118" s="35"/>
      <c r="E118" s="48">
        <v>1805701</v>
      </c>
      <c r="F118" s="48"/>
      <c r="G118" s="48">
        <v>0</v>
      </c>
      <c r="H118" s="48"/>
      <c r="I118" s="48">
        <v>605010</v>
      </c>
      <c r="J118" s="48"/>
      <c r="K118" s="48">
        <v>0</v>
      </c>
      <c r="L118" s="48"/>
      <c r="M118" s="48">
        <f>158119+104409</f>
        <v>262528</v>
      </c>
      <c r="N118" s="48"/>
      <c r="O118" s="48">
        <v>2528687</v>
      </c>
      <c r="P118" s="48"/>
      <c r="Q118" s="48">
        <v>110000</v>
      </c>
      <c r="R118" s="48"/>
      <c r="S118" s="48">
        <f t="shared" si="2"/>
        <v>5311926</v>
      </c>
      <c r="T118" s="44"/>
      <c r="U118" s="48">
        <v>952871</v>
      </c>
      <c r="W118" s="44">
        <f>+S118-'Stmt net assets'!O118-U118</f>
        <v>0</v>
      </c>
    </row>
    <row r="119" spans="1:23" s="65" customFormat="1" ht="12.75" customHeight="1">
      <c r="A119" s="35" t="s">
        <v>36</v>
      </c>
      <c r="B119" s="51"/>
      <c r="C119" s="35" t="s">
        <v>145</v>
      </c>
      <c r="D119" s="35"/>
      <c r="E119" s="48">
        <v>237575</v>
      </c>
      <c r="F119" s="48"/>
      <c r="G119" s="48">
        <v>0</v>
      </c>
      <c r="H119" s="48"/>
      <c r="I119" s="48">
        <v>0</v>
      </c>
      <c r="J119" s="48"/>
      <c r="K119" s="48">
        <v>0</v>
      </c>
      <c r="L119" s="48"/>
      <c r="M119" s="48">
        <v>275948</v>
      </c>
      <c r="N119" s="48"/>
      <c r="O119" s="48">
        <v>299604</v>
      </c>
      <c r="P119" s="48"/>
      <c r="Q119" s="48">
        <v>0</v>
      </c>
      <c r="R119" s="48"/>
      <c r="S119" s="48">
        <f t="shared" si="2"/>
        <v>813127</v>
      </c>
      <c r="T119" s="44"/>
      <c r="U119" s="48">
        <v>215045</v>
      </c>
      <c r="W119" s="44">
        <f>+S119-'Stmt net assets'!O119-U119</f>
        <v>0</v>
      </c>
    </row>
    <row r="120" spans="1:23" s="65" customFormat="1" ht="12.75" customHeight="1">
      <c r="A120" s="35"/>
      <c r="C120" s="35"/>
      <c r="D120" s="35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4"/>
      <c r="U120" s="48" t="s">
        <v>484</v>
      </c>
      <c r="W120" s="44"/>
    </row>
    <row r="121" spans="1:23" s="65" customFormat="1" ht="12.75" customHeight="1">
      <c r="A121" s="35" t="s">
        <v>146</v>
      </c>
      <c r="B121" s="51"/>
      <c r="C121" s="35" t="s">
        <v>147</v>
      </c>
      <c r="D121" s="35"/>
      <c r="E121" s="68">
        <f>199500+82000+2800000</f>
        <v>3081500</v>
      </c>
      <c r="F121" s="68"/>
      <c r="G121" s="68">
        <v>21000</v>
      </c>
      <c r="H121" s="68"/>
      <c r="I121" s="68">
        <v>0</v>
      </c>
      <c r="J121" s="68"/>
      <c r="K121" s="68">
        <f>53532+205317+461934+1260362</f>
        <v>1981145</v>
      </c>
      <c r="L121" s="68"/>
      <c r="M121" s="68">
        <v>0</v>
      </c>
      <c r="N121" s="68"/>
      <c r="O121" s="68">
        <v>303500</v>
      </c>
      <c r="P121" s="68"/>
      <c r="Q121" s="68">
        <v>59830</v>
      </c>
      <c r="R121" s="68"/>
      <c r="S121" s="68">
        <f t="shared" si="2"/>
        <v>5446975</v>
      </c>
      <c r="T121" s="46"/>
      <c r="U121" s="68">
        <v>385744</v>
      </c>
      <c r="W121" s="44">
        <f>+S121-'Stmt net assets'!O121-U121</f>
        <v>0</v>
      </c>
    </row>
    <row r="122" spans="1:23" s="65" customFormat="1" ht="12.75" customHeight="1">
      <c r="A122" s="35" t="s">
        <v>17</v>
      </c>
      <c r="B122" s="51"/>
      <c r="C122" s="35" t="s">
        <v>17</v>
      </c>
      <c r="D122" s="35"/>
      <c r="E122" s="48">
        <v>33839835</v>
      </c>
      <c r="F122" s="48"/>
      <c r="G122" s="48">
        <v>1058225</v>
      </c>
      <c r="H122" s="48"/>
      <c r="I122" s="48">
        <v>300000</v>
      </c>
      <c r="J122" s="48"/>
      <c r="K122" s="48">
        <f>4095000+2296943+2543125+1880578+540340</f>
        <v>11355986</v>
      </c>
      <c r="L122" s="48"/>
      <c r="M122" s="48">
        <v>1566213</v>
      </c>
      <c r="N122" s="48"/>
      <c r="O122" s="48">
        <v>6466706</v>
      </c>
      <c r="P122" s="48"/>
      <c r="Q122" s="48">
        <v>846427</v>
      </c>
      <c r="R122" s="48"/>
      <c r="S122" s="48">
        <f t="shared" si="2"/>
        <v>55433392</v>
      </c>
      <c r="T122" s="44"/>
      <c r="U122" s="48">
        <v>4623885</v>
      </c>
      <c r="W122" s="44">
        <f>+S122-'Stmt net assets'!O122-U122</f>
        <v>0</v>
      </c>
    </row>
    <row r="123" spans="1:23" s="65" customFormat="1" ht="12.75" customHeight="1">
      <c r="A123" s="35" t="s">
        <v>148</v>
      </c>
      <c r="B123" s="51"/>
      <c r="C123" s="35" t="s">
        <v>15</v>
      </c>
      <c r="D123" s="35"/>
      <c r="E123" s="48">
        <v>254000</v>
      </c>
      <c r="F123" s="48"/>
      <c r="G123" s="48">
        <v>0</v>
      </c>
      <c r="H123" s="48"/>
      <c r="I123" s="48">
        <v>0</v>
      </c>
      <c r="J123" s="48"/>
      <c r="K123" s="48">
        <v>0</v>
      </c>
      <c r="L123" s="48"/>
      <c r="M123" s="48">
        <v>0</v>
      </c>
      <c r="N123" s="48"/>
      <c r="O123" s="48">
        <v>161001</v>
      </c>
      <c r="P123" s="48"/>
      <c r="Q123" s="48">
        <v>43094</v>
      </c>
      <c r="R123" s="48"/>
      <c r="S123" s="48">
        <f t="shared" si="2"/>
        <v>458095</v>
      </c>
      <c r="T123" s="44"/>
      <c r="U123" s="48">
        <v>111461</v>
      </c>
      <c r="W123" s="44">
        <f>+S123-'Stmt net assets'!O123-U123</f>
        <v>0</v>
      </c>
    </row>
    <row r="124" spans="1:23" s="65" customFormat="1" ht="12.75" customHeight="1">
      <c r="A124" s="35" t="s">
        <v>149</v>
      </c>
      <c r="B124" s="51"/>
      <c r="C124" s="35" t="s">
        <v>45</v>
      </c>
      <c r="D124" s="35"/>
      <c r="E124" s="48">
        <v>3568665</v>
      </c>
      <c r="F124" s="48"/>
      <c r="G124" s="48">
        <v>0</v>
      </c>
      <c r="H124" s="48"/>
      <c r="I124" s="48">
        <v>0</v>
      </c>
      <c r="J124" s="48"/>
      <c r="K124" s="48">
        <v>2259616</v>
      </c>
      <c r="L124" s="48"/>
      <c r="M124" s="48">
        <v>0</v>
      </c>
      <c r="N124" s="48"/>
      <c r="O124" s="48">
        <v>780649</v>
      </c>
      <c r="P124" s="48"/>
      <c r="Q124" s="48">
        <v>32588</v>
      </c>
      <c r="R124" s="48"/>
      <c r="S124" s="48">
        <f t="shared" si="2"/>
        <v>6641518</v>
      </c>
      <c r="T124" s="44"/>
      <c r="U124" s="48">
        <v>795630</v>
      </c>
      <c r="W124" s="44">
        <f>+S124-'Stmt net assets'!O124-U124</f>
        <v>0</v>
      </c>
    </row>
    <row r="125" spans="1:23" s="65" customFormat="1" ht="12.75" customHeight="1">
      <c r="A125" s="35" t="s">
        <v>150</v>
      </c>
      <c r="B125" s="51"/>
      <c r="C125" s="35" t="s">
        <v>27</v>
      </c>
      <c r="D125" s="35"/>
      <c r="E125" s="48">
        <v>1680000</v>
      </c>
      <c r="F125" s="48"/>
      <c r="G125" s="48">
        <v>0</v>
      </c>
      <c r="H125" s="48"/>
      <c r="I125" s="48">
        <v>1000000</v>
      </c>
      <c r="J125" s="48"/>
      <c r="K125" s="48">
        <v>0</v>
      </c>
      <c r="L125" s="48"/>
      <c r="M125" s="48">
        <v>94</v>
      </c>
      <c r="N125" s="48"/>
      <c r="O125" s="48">
        <v>1166341</v>
      </c>
      <c r="P125" s="48"/>
      <c r="Q125" s="48">
        <v>0</v>
      </c>
      <c r="R125" s="48"/>
      <c r="S125" s="48">
        <f t="shared" si="2"/>
        <v>3846435</v>
      </c>
      <c r="T125" s="44"/>
      <c r="U125" s="48">
        <v>1386875</v>
      </c>
      <c r="W125" s="44">
        <f>+S125-'Stmt net assets'!O125-U125</f>
        <v>0</v>
      </c>
    </row>
    <row r="126" spans="1:23" s="65" customFormat="1" ht="12.75" customHeight="1">
      <c r="A126" s="35" t="s">
        <v>151</v>
      </c>
      <c r="C126" s="35" t="s">
        <v>13</v>
      </c>
      <c r="D126" s="35"/>
      <c r="E126" s="48">
        <f>11095000+146680-8808</f>
        <v>11232872</v>
      </c>
      <c r="F126" s="48"/>
      <c r="G126" s="48">
        <v>1509100</v>
      </c>
      <c r="H126" s="48"/>
      <c r="I126" s="48">
        <v>0</v>
      </c>
      <c r="J126" s="48"/>
      <c r="K126" s="48">
        <v>560139</v>
      </c>
      <c r="L126" s="48"/>
      <c r="M126" s="48">
        <v>111766</v>
      </c>
      <c r="N126" s="48"/>
      <c r="O126" s="48">
        <v>593157</v>
      </c>
      <c r="P126" s="48"/>
      <c r="Q126" s="48">
        <v>0</v>
      </c>
      <c r="R126" s="48"/>
      <c r="S126" s="48">
        <f t="shared" si="2"/>
        <v>14007034</v>
      </c>
      <c r="T126" s="44"/>
      <c r="U126" s="48">
        <v>1295610</v>
      </c>
      <c r="W126" s="44">
        <f>+S126-'Stmt net assets'!O126-U126</f>
        <v>0</v>
      </c>
    </row>
    <row r="127" spans="1:23" s="65" customFormat="1" ht="12.75" customHeight="1">
      <c r="A127" s="35" t="s">
        <v>481</v>
      </c>
      <c r="C127" s="35" t="s">
        <v>45</v>
      </c>
      <c r="D127" s="35"/>
      <c r="E127" s="48">
        <v>285000</v>
      </c>
      <c r="F127" s="48"/>
      <c r="G127" s="48">
        <v>0</v>
      </c>
      <c r="H127" s="48"/>
      <c r="I127" s="48">
        <v>1200000</v>
      </c>
      <c r="J127" s="48"/>
      <c r="K127" s="48">
        <v>0</v>
      </c>
      <c r="L127" s="48"/>
      <c r="M127" s="48">
        <v>0</v>
      </c>
      <c r="N127" s="48"/>
      <c r="O127" s="48">
        <v>155519</v>
      </c>
      <c r="P127" s="48"/>
      <c r="Q127" s="48">
        <v>0</v>
      </c>
      <c r="R127" s="48"/>
      <c r="S127" s="48">
        <f t="shared" si="2"/>
        <v>1640519</v>
      </c>
      <c r="T127" s="44"/>
      <c r="U127" s="48">
        <v>1603325</v>
      </c>
      <c r="W127" s="44">
        <f>+S127-'Stmt net assets'!O127-U127</f>
        <v>0</v>
      </c>
    </row>
    <row r="128" spans="1:23" s="65" customFormat="1" ht="12.75" customHeight="1">
      <c r="A128" s="35" t="s">
        <v>152</v>
      </c>
      <c r="B128" s="51"/>
      <c r="C128" s="35" t="s">
        <v>153</v>
      </c>
      <c r="D128" s="35"/>
      <c r="E128" s="48">
        <v>5365000</v>
      </c>
      <c r="F128" s="48"/>
      <c r="G128" s="48">
        <v>0</v>
      </c>
      <c r="H128" s="48"/>
      <c r="I128" s="48">
        <v>300000</v>
      </c>
      <c r="J128" s="48"/>
      <c r="K128" s="48">
        <v>0</v>
      </c>
      <c r="L128" s="48"/>
      <c r="M128" s="48">
        <v>0</v>
      </c>
      <c r="N128" s="48"/>
      <c r="O128" s="48">
        <v>4728411</v>
      </c>
      <c r="P128" s="48"/>
      <c r="Q128" s="48">
        <v>1186338</v>
      </c>
      <c r="R128" s="48"/>
      <c r="S128" s="48">
        <f t="shared" si="2"/>
        <v>11579749</v>
      </c>
      <c r="T128" s="44"/>
      <c r="U128" s="48">
        <v>1951630</v>
      </c>
      <c r="W128" s="44">
        <f>+S128-'Stmt net assets'!O128-U128</f>
        <v>0</v>
      </c>
    </row>
    <row r="129" spans="1:30" s="65" customFormat="1" ht="12.75" customHeight="1">
      <c r="A129" s="35" t="s">
        <v>154</v>
      </c>
      <c r="B129" s="51"/>
      <c r="C129" s="35" t="s">
        <v>27</v>
      </c>
      <c r="D129" s="35"/>
      <c r="E129" s="48">
        <v>15576959</v>
      </c>
      <c r="F129" s="48"/>
      <c r="G129" s="48">
        <v>0</v>
      </c>
      <c r="H129" s="48"/>
      <c r="I129" s="48">
        <v>0</v>
      </c>
      <c r="J129" s="48"/>
      <c r="K129" s="48">
        <f>1228285+1313477</f>
        <v>2541762</v>
      </c>
      <c r="L129" s="48"/>
      <c r="M129" s="48">
        <v>307600</v>
      </c>
      <c r="N129" s="48"/>
      <c r="O129" s="48">
        <v>2963507</v>
      </c>
      <c r="P129" s="48"/>
      <c r="Q129" s="48">
        <v>347648</v>
      </c>
      <c r="R129" s="48"/>
      <c r="S129" s="48">
        <f t="shared" si="2"/>
        <v>21737476</v>
      </c>
      <c r="T129" s="44"/>
      <c r="U129" s="48">
        <v>1760535</v>
      </c>
      <c r="W129" s="44">
        <f>+S129-'Stmt net assets'!O129-U129</f>
        <v>0</v>
      </c>
    </row>
    <row r="130" spans="1:30" s="66" customFormat="1" ht="12.75" customHeight="1">
      <c r="A130" s="64" t="s">
        <v>155</v>
      </c>
      <c r="C130" s="64" t="s">
        <v>40</v>
      </c>
      <c r="D130" s="64"/>
      <c r="E130" s="48">
        <v>120500</v>
      </c>
      <c r="F130" s="48"/>
      <c r="G130" s="48">
        <v>0</v>
      </c>
      <c r="H130" s="48"/>
      <c r="I130" s="48">
        <v>494000</v>
      </c>
      <c r="J130" s="48"/>
      <c r="K130" s="48">
        <f>66419+410200</f>
        <v>476619</v>
      </c>
      <c r="L130" s="48"/>
      <c r="M130" s="48">
        <v>0</v>
      </c>
      <c r="N130" s="48"/>
      <c r="O130" s="48">
        <v>724767</v>
      </c>
      <c r="P130" s="48"/>
      <c r="Q130" s="48">
        <v>87947</v>
      </c>
      <c r="R130" s="48"/>
      <c r="S130" s="48">
        <f t="shared" ref="S130:S146" si="3">SUM(E130:Q130)</f>
        <v>1903833</v>
      </c>
      <c r="T130" s="44"/>
      <c r="U130" s="48">
        <v>140561</v>
      </c>
      <c r="W130" s="46">
        <f>+S130-'Stmt net assets'!O130-U130</f>
        <v>0</v>
      </c>
    </row>
    <row r="131" spans="1:30" s="125" customFormat="1" ht="12.75" hidden="1" customHeight="1">
      <c r="A131" s="126" t="s">
        <v>156</v>
      </c>
      <c r="C131" s="126" t="s">
        <v>156</v>
      </c>
      <c r="D131" s="126"/>
      <c r="E131" s="130">
        <v>0</v>
      </c>
      <c r="F131" s="130"/>
      <c r="G131" s="130">
        <v>0</v>
      </c>
      <c r="H131" s="130"/>
      <c r="I131" s="130">
        <v>0</v>
      </c>
      <c r="J131" s="130"/>
      <c r="K131" s="130">
        <v>0</v>
      </c>
      <c r="L131" s="130"/>
      <c r="M131" s="130">
        <v>0</v>
      </c>
      <c r="N131" s="130"/>
      <c r="O131" s="130">
        <v>0</v>
      </c>
      <c r="P131" s="130"/>
      <c r="Q131" s="130">
        <v>0</v>
      </c>
      <c r="R131" s="130"/>
      <c r="S131" s="130">
        <f t="shared" si="3"/>
        <v>0</v>
      </c>
      <c r="T131" s="121"/>
      <c r="U131" s="130">
        <v>0</v>
      </c>
      <c r="W131" s="121">
        <f>+S131-'Stmt net assets'!O131-U131</f>
        <v>0</v>
      </c>
      <c r="Y131" s="125">
        <f>11659632+312501-4333331</f>
        <v>7638802</v>
      </c>
      <c r="AA131" s="125">
        <f>5160000+765000+5734632</f>
        <v>11659632</v>
      </c>
    </row>
    <row r="132" spans="1:30" s="65" customFormat="1" ht="12.75" customHeight="1">
      <c r="A132" s="35" t="s">
        <v>157</v>
      </c>
      <c r="B132" s="51"/>
      <c r="C132" s="35" t="s">
        <v>33</v>
      </c>
      <c r="D132" s="35"/>
      <c r="E132" s="48">
        <v>0</v>
      </c>
      <c r="F132" s="48"/>
      <c r="G132" s="48">
        <v>0</v>
      </c>
      <c r="H132" s="48"/>
      <c r="I132" s="48">
        <f>125744+138000</f>
        <v>263744</v>
      </c>
      <c r="J132" s="48"/>
      <c r="K132" s="48">
        <v>6268</v>
      </c>
      <c r="L132" s="48"/>
      <c r="M132" s="48">
        <v>0</v>
      </c>
      <c r="N132" s="48"/>
      <c r="O132" s="48">
        <v>79523</v>
      </c>
      <c r="P132" s="48"/>
      <c r="Q132" s="48">
        <v>177413</v>
      </c>
      <c r="R132" s="48"/>
      <c r="S132" s="48">
        <f t="shared" si="3"/>
        <v>526948</v>
      </c>
      <c r="T132" s="44"/>
      <c r="U132" s="48">
        <v>162977</v>
      </c>
      <c r="W132" s="44">
        <f>+S132-'Stmt net assets'!O132-U132</f>
        <v>0</v>
      </c>
      <c r="AA132" s="65">
        <v>312501</v>
      </c>
    </row>
    <row r="133" spans="1:30" s="65" customFormat="1" ht="12.75" customHeight="1">
      <c r="A133" s="35" t="s">
        <v>158</v>
      </c>
      <c r="B133" s="51"/>
      <c r="C133" s="35" t="s">
        <v>159</v>
      </c>
      <c r="D133" s="35"/>
      <c r="E133" s="48">
        <v>6532491</v>
      </c>
      <c r="F133" s="48"/>
      <c r="G133" s="48">
        <v>0</v>
      </c>
      <c r="H133" s="48"/>
      <c r="I133" s="48">
        <v>0</v>
      </c>
      <c r="J133" s="48"/>
      <c r="K133" s="48">
        <v>0</v>
      </c>
      <c r="L133" s="48"/>
      <c r="M133" s="48">
        <v>237184</v>
      </c>
      <c r="N133" s="48"/>
      <c r="O133" s="48">
        <v>889105</v>
      </c>
      <c r="P133" s="48"/>
      <c r="Q133" s="48">
        <v>0</v>
      </c>
      <c r="R133" s="48"/>
      <c r="S133" s="48">
        <f t="shared" si="3"/>
        <v>7658780</v>
      </c>
      <c r="T133" s="44"/>
      <c r="U133" s="48">
        <v>1163229</v>
      </c>
      <c r="W133" s="44">
        <f>+S133-'Stmt net assets'!O133-U133</f>
        <v>0</v>
      </c>
      <c r="AA133" s="65">
        <f>-2083230-565588-2250101</f>
        <v>-4898919</v>
      </c>
    </row>
    <row r="134" spans="1:30" s="66" customFormat="1" ht="12.75" customHeight="1">
      <c r="A134" s="64" t="s">
        <v>160</v>
      </c>
      <c r="C134" s="64" t="s">
        <v>111</v>
      </c>
      <c r="D134" s="64"/>
      <c r="E134" s="48">
        <v>23025000</v>
      </c>
      <c r="F134" s="48"/>
      <c r="G134" s="48">
        <v>70000</v>
      </c>
      <c r="H134" s="48"/>
      <c r="I134" s="48">
        <v>0</v>
      </c>
      <c r="J134" s="48"/>
      <c r="K134" s="48">
        <v>0</v>
      </c>
      <c r="L134" s="48"/>
      <c r="M134" s="48">
        <v>0</v>
      </c>
      <c r="N134" s="48"/>
      <c r="O134" s="48">
        <v>1264461</v>
      </c>
      <c r="P134" s="48"/>
      <c r="Q134" s="48">
        <v>17749672</v>
      </c>
      <c r="R134" s="48"/>
      <c r="S134" s="48">
        <f t="shared" si="3"/>
        <v>42109133</v>
      </c>
      <c r="T134" s="44"/>
      <c r="U134" s="48">
        <v>2692621</v>
      </c>
      <c r="V134" s="65"/>
      <c r="W134" s="44">
        <f>+S134-'Stmt net assets'!O134-U134</f>
        <v>0</v>
      </c>
      <c r="X134" s="65"/>
      <c r="Y134" s="65"/>
      <c r="Z134" s="65"/>
      <c r="AA134" s="65">
        <f>SUM(AA131:AA133)</f>
        <v>7073214</v>
      </c>
      <c r="AB134" s="65"/>
      <c r="AC134" s="65"/>
      <c r="AD134" s="65"/>
    </row>
    <row r="135" spans="1:30" s="65" customFormat="1" ht="12.75" customHeight="1">
      <c r="A135" s="35" t="s">
        <v>161</v>
      </c>
      <c r="C135" s="35" t="s">
        <v>15</v>
      </c>
      <c r="D135" s="35"/>
      <c r="E135" s="48">
        <v>17182615</v>
      </c>
      <c r="F135" s="48"/>
      <c r="G135" s="48">
        <v>0</v>
      </c>
      <c r="H135" s="48"/>
      <c r="I135" s="48">
        <v>0</v>
      </c>
      <c r="J135" s="48"/>
      <c r="K135" s="48">
        <v>2107867</v>
      </c>
      <c r="L135" s="48"/>
      <c r="M135" s="48">
        <v>132047</v>
      </c>
      <c r="N135" s="48"/>
      <c r="O135" s="48">
        <v>3077309</v>
      </c>
      <c r="P135" s="48"/>
      <c r="Q135" s="48">
        <f>1405688+700000</f>
        <v>2105688</v>
      </c>
      <c r="R135" s="48"/>
      <c r="S135" s="48">
        <f t="shared" si="3"/>
        <v>24605526</v>
      </c>
      <c r="T135" s="44"/>
      <c r="U135" s="48">
        <v>1313023</v>
      </c>
      <c r="W135" s="44">
        <f>+S135-'Stmt net assets'!O135-U135</f>
        <v>0</v>
      </c>
      <c r="AA135" s="65">
        <f>3076770+199412+1798810</f>
        <v>5074992</v>
      </c>
    </row>
    <row r="136" spans="1:30" s="65" customFormat="1" ht="12.75" customHeight="1">
      <c r="A136" s="35" t="s">
        <v>162</v>
      </c>
      <c r="B136" s="51"/>
      <c r="C136" s="35" t="s">
        <v>163</v>
      </c>
      <c r="D136" s="35"/>
      <c r="E136" s="48">
        <v>21275000</v>
      </c>
      <c r="F136" s="48"/>
      <c r="G136" s="48">
        <v>444440</v>
      </c>
      <c r="H136" s="48"/>
      <c r="I136" s="48">
        <v>0</v>
      </c>
      <c r="J136" s="48"/>
      <c r="K136" s="48">
        <v>161213</v>
      </c>
      <c r="L136" s="48"/>
      <c r="M136" s="48">
        <v>0</v>
      </c>
      <c r="N136" s="48"/>
      <c r="O136" s="48">
        <v>2106512</v>
      </c>
      <c r="P136" s="48"/>
      <c r="Q136" s="48">
        <f>59657+53213</f>
        <v>112870</v>
      </c>
      <c r="R136" s="48"/>
      <c r="S136" s="48">
        <f t="shared" si="3"/>
        <v>24100035</v>
      </c>
      <c r="T136" s="44"/>
      <c r="U136" s="48">
        <v>1913213</v>
      </c>
      <c r="W136" s="44">
        <f>+S136-'Stmt net assets'!O136-U136</f>
        <v>0</v>
      </c>
      <c r="Y136" s="65">
        <f>+S136-U136</f>
        <v>22186822</v>
      </c>
      <c r="AA136" s="65">
        <f>3076770+55000+825554</f>
        <v>3957324</v>
      </c>
    </row>
    <row r="137" spans="1:30" s="65" customFormat="1" ht="12.75" customHeight="1">
      <c r="A137" s="35" t="s">
        <v>164</v>
      </c>
      <c r="C137" s="35" t="s">
        <v>27</v>
      </c>
      <c r="D137" s="35"/>
      <c r="E137" s="48">
        <v>0</v>
      </c>
      <c r="F137" s="48"/>
      <c r="G137" s="48">
        <v>0</v>
      </c>
      <c r="H137" s="48"/>
      <c r="I137" s="48">
        <v>3000000</v>
      </c>
      <c r="J137" s="48"/>
      <c r="K137" s="48">
        <v>1658486</v>
      </c>
      <c r="L137" s="48"/>
      <c r="M137" s="48">
        <v>0</v>
      </c>
      <c r="N137" s="48"/>
      <c r="O137" s="48">
        <v>2873852</v>
      </c>
      <c r="P137" s="48"/>
      <c r="Q137" s="48">
        <v>556190</v>
      </c>
      <c r="R137" s="48"/>
      <c r="S137" s="48">
        <f t="shared" si="3"/>
        <v>8088528</v>
      </c>
      <c r="T137" s="44"/>
      <c r="U137" s="48">
        <v>964207</v>
      </c>
      <c r="W137" s="44">
        <f>+S137-'Stmt net assets'!O137-U137</f>
        <v>0</v>
      </c>
      <c r="AA137" s="65">
        <f>5160000-2083230</f>
        <v>3076770</v>
      </c>
    </row>
    <row r="138" spans="1:30" s="65" customFormat="1" ht="11.25" customHeight="1">
      <c r="A138" s="35" t="s">
        <v>53</v>
      </c>
      <c r="B138" s="51"/>
      <c r="C138" s="35" t="s">
        <v>53</v>
      </c>
      <c r="D138" s="35"/>
      <c r="E138" s="48">
        <v>13845000</v>
      </c>
      <c r="F138" s="48"/>
      <c r="G138" s="48">
        <v>801098</v>
      </c>
      <c r="H138" s="48"/>
      <c r="I138" s="48">
        <v>0</v>
      </c>
      <c r="J138" s="48"/>
      <c r="K138" s="48">
        <v>131716</v>
      </c>
      <c r="L138" s="48"/>
      <c r="M138" s="48">
        <v>0</v>
      </c>
      <c r="N138" s="48"/>
      <c r="O138" s="48">
        <v>575366</v>
      </c>
      <c r="P138" s="48"/>
      <c r="Q138" s="48">
        <v>386667</v>
      </c>
      <c r="R138" s="48"/>
      <c r="S138" s="48">
        <f t="shared" si="3"/>
        <v>15739847</v>
      </c>
      <c r="T138" s="44"/>
      <c r="U138" s="48">
        <v>557916</v>
      </c>
      <c r="W138" s="44">
        <f>+S138-'Stmt net assets'!O138-U138</f>
        <v>0</v>
      </c>
      <c r="AA138" s="65">
        <f>765000-565588</f>
        <v>199412</v>
      </c>
    </row>
    <row r="139" spans="1:30" s="65" customFormat="1" ht="12.75" customHeight="1">
      <c r="A139" s="35" t="s">
        <v>165</v>
      </c>
      <c r="B139" s="51"/>
      <c r="C139" s="35" t="s">
        <v>92</v>
      </c>
      <c r="D139" s="35"/>
      <c r="E139" s="48">
        <f>18292526+19243</f>
        <v>18311769</v>
      </c>
      <c r="F139" s="48"/>
      <c r="G139" s="48">
        <v>11597474</v>
      </c>
      <c r="H139" s="48"/>
      <c r="I139" s="48">
        <v>0</v>
      </c>
      <c r="J139" s="48"/>
      <c r="K139" s="48">
        <v>607346</v>
      </c>
      <c r="L139" s="48"/>
      <c r="M139" s="48">
        <v>0</v>
      </c>
      <c r="N139" s="48"/>
      <c r="O139" s="48">
        <v>3692502</v>
      </c>
      <c r="P139" s="48"/>
      <c r="Q139" s="48">
        <v>0</v>
      </c>
      <c r="R139" s="48"/>
      <c r="S139" s="48">
        <f t="shared" si="3"/>
        <v>34209091</v>
      </c>
      <c r="T139" s="44"/>
      <c r="U139" s="48">
        <v>4235281</v>
      </c>
      <c r="W139" s="44">
        <f>+S139-'Stmt net assets'!O139-U139</f>
        <v>0</v>
      </c>
      <c r="AA139" s="65">
        <f>757312-172404</f>
        <v>584908</v>
      </c>
    </row>
    <row r="140" spans="1:30" s="65" customFormat="1" ht="12.75" customHeight="1">
      <c r="A140" s="35" t="s">
        <v>166</v>
      </c>
      <c r="B140" s="51"/>
      <c r="C140" s="35" t="s">
        <v>92</v>
      </c>
      <c r="D140" s="35"/>
      <c r="E140" s="48">
        <v>0</v>
      </c>
      <c r="F140" s="48"/>
      <c r="G140" s="48">
        <v>0</v>
      </c>
      <c r="H140" s="48"/>
      <c r="I140" s="48">
        <v>0</v>
      </c>
      <c r="J140" s="48"/>
      <c r="K140" s="48">
        <f>375845+1842140+624284</f>
        <v>2842269</v>
      </c>
      <c r="L140" s="48"/>
      <c r="M140" s="48">
        <v>0</v>
      </c>
      <c r="N140" s="48"/>
      <c r="O140" s="48">
        <v>383239</v>
      </c>
      <c r="P140" s="48"/>
      <c r="Q140" s="48">
        <v>0</v>
      </c>
      <c r="R140" s="48"/>
      <c r="S140" s="48">
        <f t="shared" si="3"/>
        <v>3225508</v>
      </c>
      <c r="T140" s="44"/>
      <c r="U140" s="48">
        <v>1463546</v>
      </c>
      <c r="W140" s="44">
        <f>+S140-'Stmt net assets'!O140-U140</f>
        <v>0</v>
      </c>
      <c r="AA140" s="65">
        <f>80127-6410</f>
        <v>73717</v>
      </c>
    </row>
    <row r="141" spans="1:30" s="65" customFormat="1" ht="12.75" customHeight="1">
      <c r="A141" s="35" t="s">
        <v>167</v>
      </c>
      <c r="B141" s="51"/>
      <c r="C141" s="35" t="s">
        <v>66</v>
      </c>
      <c r="D141" s="35"/>
      <c r="E141" s="48">
        <v>6905781</v>
      </c>
      <c r="F141" s="48"/>
      <c r="G141" s="48">
        <v>0</v>
      </c>
      <c r="H141" s="48"/>
      <c r="I141" s="48">
        <v>0</v>
      </c>
      <c r="J141" s="48"/>
      <c r="K141" s="48">
        <v>0</v>
      </c>
      <c r="L141" s="48"/>
      <c r="M141" s="48">
        <v>0</v>
      </c>
      <c r="N141" s="48"/>
      <c r="O141" s="48">
        <v>1474539</v>
      </c>
      <c r="P141" s="48"/>
      <c r="Q141" s="48">
        <v>230711</v>
      </c>
      <c r="R141" s="48"/>
      <c r="S141" s="48">
        <f t="shared" si="3"/>
        <v>8611031</v>
      </c>
      <c r="T141" s="44"/>
      <c r="U141" s="48">
        <v>1208403</v>
      </c>
      <c r="W141" s="44">
        <f>+S141-'Stmt net assets'!O141-U141</f>
        <v>0</v>
      </c>
      <c r="AA141" s="65">
        <f>378213-71287</f>
        <v>306926</v>
      </c>
    </row>
    <row r="142" spans="1:30" s="65" customFormat="1" ht="12.75" customHeight="1">
      <c r="A142" s="44" t="s">
        <v>168</v>
      </c>
      <c r="B142" s="66"/>
      <c r="C142" s="64" t="s">
        <v>27</v>
      </c>
      <c r="D142" s="64"/>
      <c r="E142" s="48">
        <v>9459967</v>
      </c>
      <c r="F142" s="48"/>
      <c r="G142" s="48">
        <v>1098379</v>
      </c>
      <c r="H142" s="48"/>
      <c r="I142" s="48">
        <v>0</v>
      </c>
      <c r="J142" s="48"/>
      <c r="K142" s="48">
        <v>607682</v>
      </c>
      <c r="L142" s="48"/>
      <c r="M142" s="48">
        <f>56179+117479+112875</f>
        <v>286533</v>
      </c>
      <c r="N142" s="48"/>
      <c r="O142" s="48">
        <v>2779714</v>
      </c>
      <c r="P142" s="48"/>
      <c r="Q142" s="48">
        <v>0</v>
      </c>
      <c r="R142" s="48"/>
      <c r="S142" s="48">
        <f t="shared" si="3"/>
        <v>14232275</v>
      </c>
      <c r="T142" s="44"/>
      <c r="U142" s="48">
        <v>3525975</v>
      </c>
      <c r="W142" s="44">
        <f>+S142-'Stmt net assets'!O142-U142</f>
        <v>0</v>
      </c>
      <c r="AA142" s="65">
        <v>39581</v>
      </c>
    </row>
    <row r="143" spans="1:30" s="65" customFormat="1" ht="12.75" customHeight="1">
      <c r="A143" s="35" t="s">
        <v>169</v>
      </c>
      <c r="B143" s="51"/>
      <c r="C143" s="35" t="s">
        <v>103</v>
      </c>
      <c r="D143" s="35"/>
      <c r="E143" s="48">
        <v>30664230</v>
      </c>
      <c r="F143" s="48"/>
      <c r="G143" s="48">
        <v>2374642</v>
      </c>
      <c r="H143" s="48"/>
      <c r="I143" s="48">
        <v>0</v>
      </c>
      <c r="J143" s="48"/>
      <c r="K143" s="48">
        <v>0</v>
      </c>
      <c r="L143" s="48"/>
      <c r="M143" s="48">
        <v>0</v>
      </c>
      <c r="N143" s="48"/>
      <c r="O143" s="48">
        <v>5102875</v>
      </c>
      <c r="P143" s="48"/>
      <c r="Q143" s="48">
        <v>2930702</v>
      </c>
      <c r="R143" s="48"/>
      <c r="S143" s="48">
        <f t="shared" si="3"/>
        <v>41072449</v>
      </c>
      <c r="T143" s="44"/>
      <c r="U143" s="48">
        <v>4179400</v>
      </c>
      <c r="W143" s="44">
        <f>+S143-'Stmt net assets'!O143-U143</f>
        <v>0</v>
      </c>
      <c r="AA143" s="65">
        <f>4479399+312501-2000000</f>
        <v>2791900</v>
      </c>
    </row>
    <row r="144" spans="1:30" s="65" customFormat="1" ht="12.75" customHeight="1">
      <c r="A144" s="35" t="s">
        <v>170</v>
      </c>
      <c r="B144" s="51"/>
      <c r="C144" s="35" t="s">
        <v>171</v>
      </c>
      <c r="D144" s="35"/>
      <c r="E144" s="48">
        <v>2970542</v>
      </c>
      <c r="F144" s="48"/>
      <c r="G144" s="48">
        <v>0</v>
      </c>
      <c r="H144" s="48"/>
      <c r="I144" s="48">
        <v>0</v>
      </c>
      <c r="J144" s="48"/>
      <c r="K144" s="48">
        <v>0</v>
      </c>
      <c r="L144" s="48"/>
      <c r="M144" s="48">
        <v>0</v>
      </c>
      <c r="N144" s="48"/>
      <c r="O144" s="48">
        <v>238169</v>
      </c>
      <c r="P144" s="48"/>
      <c r="Q144" s="48">
        <v>0</v>
      </c>
      <c r="R144" s="48"/>
      <c r="S144" s="48">
        <f t="shared" si="3"/>
        <v>3208711</v>
      </c>
      <c r="T144" s="44"/>
      <c r="U144" s="48">
        <v>447376</v>
      </c>
      <c r="W144" s="44">
        <f>+S144-'Stmt net assets'!O144-U144</f>
        <v>0</v>
      </c>
      <c r="AA144" s="65">
        <f>4479399+312501-2000000</f>
        <v>2791900</v>
      </c>
    </row>
    <row r="145" spans="1:27" s="65" customFormat="1" ht="12.75" customHeight="1">
      <c r="A145" s="35" t="s">
        <v>172</v>
      </c>
      <c r="B145" s="51"/>
      <c r="C145" s="35" t="s">
        <v>103</v>
      </c>
      <c r="D145" s="35"/>
      <c r="E145" s="48">
        <v>12038009</v>
      </c>
      <c r="F145" s="48"/>
      <c r="G145" s="48">
        <v>626200</v>
      </c>
      <c r="H145" s="48"/>
      <c r="I145" s="48">
        <v>0</v>
      </c>
      <c r="J145" s="48"/>
      <c r="K145" s="48">
        <v>0</v>
      </c>
      <c r="L145" s="48"/>
      <c r="M145" s="48">
        <v>271408</v>
      </c>
      <c r="N145" s="48"/>
      <c r="O145" s="48">
        <v>136268</v>
      </c>
      <c r="P145" s="48"/>
      <c r="Q145" s="48">
        <v>1695000</v>
      </c>
      <c r="R145" s="48"/>
      <c r="S145" s="48">
        <f t="shared" si="3"/>
        <v>14766885</v>
      </c>
      <c r="T145" s="44"/>
      <c r="U145" s="48">
        <v>1092305</v>
      </c>
      <c r="W145" s="44">
        <f>+S145-'Stmt net assets'!O145-U145</f>
        <v>0</v>
      </c>
      <c r="AA145" s="65">
        <f>584908+73717+306926+39581+2791900</f>
        <v>3797032</v>
      </c>
    </row>
    <row r="146" spans="1:27" s="65" customFormat="1" ht="12.75" customHeight="1">
      <c r="A146" s="35" t="s">
        <v>66</v>
      </c>
      <c r="B146" s="51"/>
      <c r="C146" s="35" t="s">
        <v>45</v>
      </c>
      <c r="D146" s="35"/>
      <c r="E146" s="48">
        <v>3745390</v>
      </c>
      <c r="F146" s="48"/>
      <c r="G146" s="48">
        <v>110931</v>
      </c>
      <c r="H146" s="48"/>
      <c r="I146" s="48">
        <v>0</v>
      </c>
      <c r="J146" s="48"/>
      <c r="K146" s="48">
        <v>0</v>
      </c>
      <c r="L146" s="48"/>
      <c r="M146" s="48">
        <v>0</v>
      </c>
      <c r="N146" s="48"/>
      <c r="O146" s="48">
        <v>782091</v>
      </c>
      <c r="P146" s="48"/>
      <c r="Q146" s="48">
        <v>0</v>
      </c>
      <c r="R146" s="48"/>
      <c r="S146" s="48">
        <f t="shared" si="3"/>
        <v>4638412</v>
      </c>
      <c r="T146" s="44"/>
      <c r="U146" s="48">
        <v>942841</v>
      </c>
      <c r="W146" s="44">
        <f>+S146-'Stmt net assets'!O146-U146</f>
        <v>0</v>
      </c>
      <c r="AA146" s="65">
        <f>3797032+199412+3076770</f>
        <v>7073214</v>
      </c>
    </row>
    <row r="147" spans="1:27" s="65" customFormat="1" ht="12.75" customHeight="1">
      <c r="A147" s="35" t="s">
        <v>173</v>
      </c>
      <c r="B147" s="51"/>
      <c r="C147" s="35" t="s">
        <v>66</v>
      </c>
      <c r="D147" s="35"/>
      <c r="E147" s="48">
        <f>5805000+90963</f>
        <v>5895963</v>
      </c>
      <c r="F147" s="48"/>
      <c r="G147" s="48">
        <v>0</v>
      </c>
      <c r="H147" s="48"/>
      <c r="I147" s="48">
        <v>0</v>
      </c>
      <c r="J147" s="48"/>
      <c r="K147" s="48">
        <v>591160</v>
      </c>
      <c r="L147" s="48"/>
      <c r="M147" s="48">
        <v>424020</v>
      </c>
      <c r="N147" s="48"/>
      <c r="O147" s="48">
        <v>2970826</v>
      </c>
      <c r="P147" s="48"/>
      <c r="Q147" s="48">
        <v>0</v>
      </c>
      <c r="R147" s="48"/>
      <c r="S147" s="48">
        <f t="shared" ref="S147:S189" si="4">SUM(E147:Q147)</f>
        <v>9881969</v>
      </c>
      <c r="T147" s="44"/>
      <c r="U147" s="48">
        <v>847857</v>
      </c>
      <c r="W147" s="44">
        <f>+S147-'Stmt net assets'!O147-U147</f>
        <v>0</v>
      </c>
    </row>
    <row r="148" spans="1:27" s="65" customFormat="1" ht="12.75" customHeight="1">
      <c r="A148" s="35" t="s">
        <v>174</v>
      </c>
      <c r="B148" s="51"/>
      <c r="C148" s="35" t="s">
        <v>45</v>
      </c>
      <c r="D148" s="35"/>
      <c r="E148" s="48">
        <v>961000</v>
      </c>
      <c r="F148" s="48"/>
      <c r="G148" s="48">
        <v>0</v>
      </c>
      <c r="H148" s="48"/>
      <c r="I148" s="48">
        <v>761467</v>
      </c>
      <c r="J148" s="48"/>
      <c r="K148" s="48">
        <v>113880</v>
      </c>
      <c r="L148" s="48"/>
      <c r="M148" s="48">
        <v>9448</v>
      </c>
      <c r="N148" s="48"/>
      <c r="O148" s="48">
        <v>142266</v>
      </c>
      <c r="P148" s="48"/>
      <c r="Q148" s="48">
        <v>46052</v>
      </c>
      <c r="R148" s="48"/>
      <c r="S148" s="48">
        <f t="shared" si="4"/>
        <v>2034113</v>
      </c>
      <c r="T148" s="44"/>
      <c r="U148" s="48">
        <v>166845</v>
      </c>
      <c r="W148" s="44">
        <f>+S148-'Stmt net assets'!O148-U148</f>
        <v>0</v>
      </c>
    </row>
    <row r="149" spans="1:27" s="65" customFormat="1" ht="12.75" customHeight="1">
      <c r="A149" s="35" t="s">
        <v>175</v>
      </c>
      <c r="B149" s="51"/>
      <c r="C149" s="35" t="s">
        <v>176</v>
      </c>
      <c r="D149" s="35"/>
      <c r="E149" s="48">
        <v>6881718</v>
      </c>
      <c r="F149" s="48"/>
      <c r="G149" s="48">
        <v>0</v>
      </c>
      <c r="H149" s="48"/>
      <c r="I149" s="48">
        <v>0</v>
      </c>
      <c r="J149" s="48"/>
      <c r="K149" s="48">
        <v>419375</v>
      </c>
      <c r="L149" s="48"/>
      <c r="M149" s="48">
        <v>0</v>
      </c>
      <c r="N149" s="48"/>
      <c r="O149" s="48">
        <v>1017622</v>
      </c>
      <c r="P149" s="48"/>
      <c r="Q149" s="48">
        <v>421356</v>
      </c>
      <c r="R149" s="48"/>
      <c r="S149" s="48">
        <f t="shared" si="4"/>
        <v>8740071</v>
      </c>
      <c r="T149" s="44"/>
      <c r="U149" s="48">
        <v>710814</v>
      </c>
      <c r="W149" s="44">
        <f>+S149-'Stmt net assets'!O149-U149</f>
        <v>0</v>
      </c>
    </row>
    <row r="150" spans="1:27" s="65" customFormat="1" ht="12.75" customHeight="1">
      <c r="A150" s="35" t="s">
        <v>177</v>
      </c>
      <c r="B150" s="51"/>
      <c r="C150" s="35" t="s">
        <v>13</v>
      </c>
      <c r="D150" s="35"/>
      <c r="E150" s="48">
        <f>1258941-141995-141059</f>
        <v>975887</v>
      </c>
      <c r="F150" s="48"/>
      <c r="G150" s="48">
        <v>0</v>
      </c>
      <c r="H150" s="48"/>
      <c r="I150" s="48">
        <v>0</v>
      </c>
      <c r="J150" s="48"/>
      <c r="K150" s="48">
        <v>0</v>
      </c>
      <c r="L150" s="48"/>
      <c r="M150" s="48">
        <v>141995</v>
      </c>
      <c r="N150" s="48"/>
      <c r="O150" s="48">
        <v>141059</v>
      </c>
      <c r="P150" s="48"/>
      <c r="Q150" s="48">
        <v>0</v>
      </c>
      <c r="R150" s="48"/>
      <c r="S150" s="48">
        <f t="shared" si="4"/>
        <v>1258941</v>
      </c>
      <c r="T150" s="44"/>
      <c r="U150" s="48">
        <v>372880</v>
      </c>
      <c r="W150" s="44">
        <f>+S150-'Stmt net assets'!O150-U150</f>
        <v>0</v>
      </c>
    </row>
    <row r="151" spans="1:27" s="66" customFormat="1" ht="12.75" customHeight="1">
      <c r="A151" s="35" t="s">
        <v>178</v>
      </c>
      <c r="B151" s="51"/>
      <c r="C151" s="35" t="s">
        <v>179</v>
      </c>
      <c r="D151" s="35"/>
      <c r="E151" s="48">
        <v>1315000</v>
      </c>
      <c r="F151" s="48"/>
      <c r="G151" s="48">
        <v>308953</v>
      </c>
      <c r="H151" s="48"/>
      <c r="I151" s="48">
        <v>0</v>
      </c>
      <c r="J151" s="48"/>
      <c r="K151" s="48">
        <v>86461</v>
      </c>
      <c r="L151" s="48"/>
      <c r="M151" s="48">
        <v>0</v>
      </c>
      <c r="N151" s="48"/>
      <c r="O151" s="48">
        <v>689507</v>
      </c>
      <c r="P151" s="48"/>
      <c r="Q151" s="48">
        <v>0</v>
      </c>
      <c r="R151" s="48"/>
      <c r="S151" s="48">
        <f t="shared" si="4"/>
        <v>2399921</v>
      </c>
      <c r="T151" s="44"/>
      <c r="U151" s="48">
        <v>446842</v>
      </c>
      <c r="V151" s="65"/>
      <c r="W151" s="44">
        <f>+S151-'Stmt net assets'!O151-U151</f>
        <v>0</v>
      </c>
    </row>
    <row r="152" spans="1:27" s="65" customFormat="1" ht="12.75" customHeight="1">
      <c r="A152" s="35" t="s">
        <v>180</v>
      </c>
      <c r="B152" s="51"/>
      <c r="C152" s="35" t="s">
        <v>20</v>
      </c>
      <c r="D152" s="35"/>
      <c r="E152" s="48">
        <v>0</v>
      </c>
      <c r="F152" s="48"/>
      <c r="G152" s="48">
        <v>0</v>
      </c>
      <c r="H152" s="48"/>
      <c r="I152" s="48">
        <v>250000</v>
      </c>
      <c r="J152" s="48"/>
      <c r="K152" s="48">
        <f>24594+157132</f>
        <v>181726</v>
      </c>
      <c r="L152" s="48"/>
      <c r="M152" s="48">
        <v>218755</v>
      </c>
      <c r="N152" s="48"/>
      <c r="O152" s="48">
        <v>64782</v>
      </c>
      <c r="P152" s="48"/>
      <c r="Q152" s="48">
        <v>71890</v>
      </c>
      <c r="R152" s="48"/>
      <c r="S152" s="48">
        <f t="shared" si="4"/>
        <v>787153</v>
      </c>
      <c r="T152" s="44"/>
      <c r="U152" s="48">
        <v>105092</v>
      </c>
      <c r="W152" s="44">
        <f>+S152-'Stmt net assets'!O152-U152</f>
        <v>0</v>
      </c>
    </row>
    <row r="153" spans="1:27" s="65" customFormat="1" ht="12.75" customHeight="1">
      <c r="A153" s="35" t="s">
        <v>182</v>
      </c>
      <c r="C153" s="35" t="s">
        <v>183</v>
      </c>
      <c r="D153" s="35"/>
      <c r="E153" s="48">
        <f>2538538-48225</f>
        <v>2490313</v>
      </c>
      <c r="F153" s="48"/>
      <c r="G153" s="48">
        <v>0</v>
      </c>
      <c r="H153" s="48"/>
      <c r="I153" s="48">
        <v>0</v>
      </c>
      <c r="J153" s="48"/>
      <c r="K153" s="48">
        <v>0</v>
      </c>
      <c r="L153" s="48"/>
      <c r="M153" s="48">
        <v>0</v>
      </c>
      <c r="N153" s="48"/>
      <c r="O153" s="48">
        <v>48225</v>
      </c>
      <c r="P153" s="48"/>
      <c r="Q153" s="48">
        <v>0</v>
      </c>
      <c r="R153" s="48"/>
      <c r="S153" s="48">
        <f t="shared" si="4"/>
        <v>2538538</v>
      </c>
      <c r="T153" s="44"/>
      <c r="U153" s="48">
        <v>442910</v>
      </c>
      <c r="W153" s="44">
        <f>+S153-'Stmt net assets'!O153-U153</f>
        <v>0</v>
      </c>
    </row>
    <row r="154" spans="1:27" s="65" customFormat="1" ht="12.75" customHeight="1">
      <c r="A154" s="35" t="s">
        <v>487</v>
      </c>
      <c r="B154" s="51"/>
      <c r="C154" s="35" t="s">
        <v>13</v>
      </c>
      <c r="D154" s="35"/>
      <c r="E154" s="48">
        <v>0</v>
      </c>
      <c r="F154" s="48"/>
      <c r="G154" s="48">
        <v>0</v>
      </c>
      <c r="H154" s="48"/>
      <c r="I154" s="48">
        <v>0</v>
      </c>
      <c r="J154" s="48"/>
      <c r="K154" s="48">
        <v>0</v>
      </c>
      <c r="L154" s="48"/>
      <c r="M154" s="48">
        <v>85449</v>
      </c>
      <c r="N154" s="48"/>
      <c r="O154" s="48">
        <v>617899</v>
      </c>
      <c r="P154" s="48"/>
      <c r="Q154" s="48">
        <v>0</v>
      </c>
      <c r="R154" s="48"/>
      <c r="S154" s="48">
        <f t="shared" si="4"/>
        <v>703348</v>
      </c>
      <c r="T154" s="44"/>
      <c r="U154" s="48">
        <v>124920</v>
      </c>
      <c r="W154" s="44">
        <f>+S154-'Stmt net assets'!O154-U154</f>
        <v>0</v>
      </c>
    </row>
    <row r="155" spans="1:27" s="65" customFormat="1" ht="12.75" customHeight="1">
      <c r="A155" s="35" t="s">
        <v>184</v>
      </c>
      <c r="B155" s="51"/>
      <c r="C155" s="35" t="s">
        <v>89</v>
      </c>
      <c r="D155" s="35"/>
      <c r="E155" s="48">
        <v>1755000</v>
      </c>
      <c r="F155" s="48"/>
      <c r="G155" s="48">
        <v>0</v>
      </c>
      <c r="H155" s="48"/>
      <c r="I155" s="48">
        <v>0</v>
      </c>
      <c r="J155" s="48"/>
      <c r="K155" s="48">
        <v>0</v>
      </c>
      <c r="L155" s="48"/>
      <c r="M155" s="48">
        <v>76575</v>
      </c>
      <c r="N155" s="48"/>
      <c r="O155" s="48">
        <v>1109368</v>
      </c>
      <c r="P155" s="48"/>
      <c r="Q155" s="48">
        <v>0</v>
      </c>
      <c r="R155" s="48"/>
      <c r="S155" s="48">
        <f t="shared" si="4"/>
        <v>2940943</v>
      </c>
      <c r="T155" s="44"/>
      <c r="U155" s="48">
        <v>443864</v>
      </c>
      <c r="W155" s="44">
        <f>+S155-'Stmt net assets'!O155-U155</f>
        <v>0</v>
      </c>
    </row>
    <row r="156" spans="1:27" s="65" customFormat="1" ht="12.75" customHeight="1">
      <c r="A156" s="35" t="s">
        <v>181</v>
      </c>
      <c r="B156" s="51"/>
      <c r="C156" s="35" t="s">
        <v>125</v>
      </c>
      <c r="D156" s="35"/>
      <c r="E156" s="48">
        <v>15561303</v>
      </c>
      <c r="F156" s="48"/>
      <c r="G156" s="48">
        <v>0</v>
      </c>
      <c r="H156" s="48"/>
      <c r="I156" s="48">
        <v>0</v>
      </c>
      <c r="J156" s="48"/>
      <c r="K156" s="48">
        <v>1184313</v>
      </c>
      <c r="L156" s="48"/>
      <c r="M156" s="48">
        <v>2218696</v>
      </c>
      <c r="N156" s="48"/>
      <c r="O156" s="48">
        <v>3136591</v>
      </c>
      <c r="P156" s="48"/>
      <c r="Q156" s="48">
        <f>1889506+1215577</f>
        <v>3105083</v>
      </c>
      <c r="R156" s="48"/>
      <c r="S156" s="48">
        <f t="shared" si="4"/>
        <v>25205986</v>
      </c>
      <c r="T156" s="44"/>
      <c r="U156" s="48">
        <v>3200040</v>
      </c>
      <c r="W156" s="44">
        <f>+S156-'Stmt net assets'!O156-U156</f>
        <v>0</v>
      </c>
    </row>
    <row r="157" spans="1:27" s="65" customFormat="1" ht="12.75" customHeight="1">
      <c r="A157" s="35" t="s">
        <v>185</v>
      </c>
      <c r="B157" s="51"/>
      <c r="C157" s="35" t="s">
        <v>80</v>
      </c>
      <c r="D157" s="35"/>
      <c r="E157" s="48">
        <v>0</v>
      </c>
      <c r="F157" s="48"/>
      <c r="G157" s="48">
        <v>0</v>
      </c>
      <c r="H157" s="48"/>
      <c r="I157" s="48">
        <v>0</v>
      </c>
      <c r="J157" s="48"/>
      <c r="K157" s="48">
        <v>0</v>
      </c>
      <c r="L157" s="48"/>
      <c r="M157" s="48">
        <v>5191</v>
      </c>
      <c r="N157" s="48"/>
      <c r="O157" s="48">
        <v>1117283</v>
      </c>
      <c r="P157" s="48"/>
      <c r="Q157" s="48">
        <v>393531</v>
      </c>
      <c r="R157" s="48"/>
      <c r="S157" s="48">
        <f t="shared" si="4"/>
        <v>1516005</v>
      </c>
      <c r="T157" s="44"/>
      <c r="U157" s="48">
        <v>73529</v>
      </c>
      <c r="W157" s="44">
        <f>+S157-'Stmt net assets'!O157-U157</f>
        <v>0</v>
      </c>
    </row>
    <row r="158" spans="1:27" s="65" customFormat="1" ht="12.75" customHeight="1">
      <c r="A158" s="35" t="s">
        <v>186</v>
      </c>
      <c r="B158" s="51"/>
      <c r="C158" s="35" t="s">
        <v>15</v>
      </c>
      <c r="D158" s="35"/>
      <c r="E158" s="48">
        <v>0</v>
      </c>
      <c r="F158" s="48"/>
      <c r="G158" s="48">
        <v>0</v>
      </c>
      <c r="H158" s="48"/>
      <c r="I158" s="48">
        <v>0</v>
      </c>
      <c r="J158" s="48"/>
      <c r="K158" s="48">
        <v>0</v>
      </c>
      <c r="L158" s="48"/>
      <c r="M158" s="48">
        <v>370977</v>
      </c>
      <c r="N158" s="48"/>
      <c r="O158" s="48">
        <v>1836884</v>
      </c>
      <c r="P158" s="48"/>
      <c r="Q158" s="48">
        <v>63714</v>
      </c>
      <c r="R158" s="48"/>
      <c r="S158" s="48">
        <f t="shared" si="4"/>
        <v>2271575</v>
      </c>
      <c r="T158" s="44"/>
      <c r="U158" s="48">
        <v>349423</v>
      </c>
      <c r="W158" s="44">
        <f>+S158-'Stmt net assets'!O158-U158</f>
        <v>0</v>
      </c>
    </row>
    <row r="159" spans="1:27" s="65" customFormat="1" ht="12.75" customHeight="1">
      <c r="A159" s="35" t="s">
        <v>187</v>
      </c>
      <c r="C159" s="35" t="s">
        <v>27</v>
      </c>
      <c r="D159" s="35"/>
      <c r="E159" s="48">
        <v>30783808</v>
      </c>
      <c r="F159" s="48"/>
      <c r="G159" s="48">
        <v>0</v>
      </c>
      <c r="H159" s="48"/>
      <c r="I159" s="48">
        <v>0</v>
      </c>
      <c r="J159" s="48"/>
      <c r="K159" s="48">
        <v>40837</v>
      </c>
      <c r="L159" s="48"/>
      <c r="M159" s="48">
        <v>51989</v>
      </c>
      <c r="N159" s="48"/>
      <c r="O159" s="48">
        <v>4527146</v>
      </c>
      <c r="P159" s="48"/>
      <c r="Q159" s="48">
        <f>93801+243493</f>
        <v>337294</v>
      </c>
      <c r="R159" s="48"/>
      <c r="S159" s="48">
        <f t="shared" si="4"/>
        <v>35741074</v>
      </c>
      <c r="T159" s="44"/>
      <c r="U159" s="48">
        <v>5792809</v>
      </c>
      <c r="W159" s="44">
        <f>+S159-'Stmt net assets'!O159-U159</f>
        <v>0</v>
      </c>
    </row>
    <row r="160" spans="1:27" s="65" customFormat="1" ht="12.75" customHeight="1">
      <c r="A160" s="35" t="s">
        <v>189</v>
      </c>
      <c r="B160" s="51"/>
      <c r="C160" s="35" t="s">
        <v>17</v>
      </c>
      <c r="D160" s="35"/>
      <c r="E160" s="48">
        <v>4950000</v>
      </c>
      <c r="F160" s="48"/>
      <c r="G160" s="48">
        <v>140000</v>
      </c>
      <c r="H160" s="48"/>
      <c r="I160" s="48">
        <v>2546000</v>
      </c>
      <c r="J160" s="48"/>
      <c r="K160" s="48">
        <f>683565+481380</f>
        <v>1164945</v>
      </c>
      <c r="L160" s="48"/>
      <c r="M160" s="48">
        <v>104066</v>
      </c>
      <c r="N160" s="48"/>
      <c r="O160" s="48">
        <v>3676798</v>
      </c>
      <c r="P160" s="48"/>
      <c r="Q160" s="48">
        <v>0</v>
      </c>
      <c r="R160" s="48"/>
      <c r="S160" s="48">
        <f t="shared" si="4"/>
        <v>12581809</v>
      </c>
      <c r="T160" s="44"/>
      <c r="U160" s="48">
        <v>3698957</v>
      </c>
      <c r="W160" s="44">
        <f>+S160-'Stmt net assets'!O160-U160</f>
        <v>0</v>
      </c>
    </row>
    <row r="161" spans="1:23" s="65" customFormat="1" ht="12.75" customHeight="1">
      <c r="A161" s="35" t="s">
        <v>188</v>
      </c>
      <c r="B161" s="51"/>
      <c r="C161" s="35" t="s">
        <v>27</v>
      </c>
      <c r="D161" s="35"/>
      <c r="E161" s="48">
        <v>9471133</v>
      </c>
      <c r="F161" s="48"/>
      <c r="G161" s="48">
        <v>1460869</v>
      </c>
      <c r="H161" s="48"/>
      <c r="I161" s="48">
        <v>5350000</v>
      </c>
      <c r="J161" s="48"/>
      <c r="K161" s="48">
        <v>391590</v>
      </c>
      <c r="L161" s="48"/>
      <c r="M161" s="48">
        <v>209665</v>
      </c>
      <c r="N161" s="48"/>
      <c r="O161" s="48">
        <v>2946464</v>
      </c>
      <c r="P161" s="48"/>
      <c r="Q161" s="48">
        <v>120246</v>
      </c>
      <c r="R161" s="48"/>
      <c r="S161" s="48">
        <f t="shared" si="4"/>
        <v>19949967</v>
      </c>
      <c r="T161" s="44"/>
      <c r="U161" s="48">
        <v>2460865</v>
      </c>
      <c r="W161" s="44">
        <f>+S161-'Stmt net assets'!O161-U161</f>
        <v>0</v>
      </c>
    </row>
    <row r="162" spans="1:23" s="66" customFormat="1" ht="12.75" customHeight="1">
      <c r="A162" s="35" t="s">
        <v>190</v>
      </c>
      <c r="B162" s="51"/>
      <c r="C162" s="35" t="s">
        <v>47</v>
      </c>
      <c r="D162" s="35"/>
      <c r="E162" s="48">
        <v>2560000</v>
      </c>
      <c r="F162" s="48"/>
      <c r="G162" s="48">
        <v>0</v>
      </c>
      <c r="H162" s="48"/>
      <c r="I162" s="48">
        <v>0</v>
      </c>
      <c r="J162" s="48"/>
      <c r="K162" s="48">
        <v>79805</v>
      </c>
      <c r="L162" s="48"/>
      <c r="M162" s="48">
        <v>0</v>
      </c>
      <c r="N162" s="48"/>
      <c r="O162" s="48">
        <v>412794</v>
      </c>
      <c r="P162" s="48"/>
      <c r="Q162" s="48">
        <v>0</v>
      </c>
      <c r="R162" s="48"/>
      <c r="S162" s="48">
        <f t="shared" si="4"/>
        <v>3052599</v>
      </c>
      <c r="T162" s="44"/>
      <c r="U162" s="48">
        <v>221577</v>
      </c>
      <c r="V162" s="65"/>
      <c r="W162" s="44">
        <f>+S162-'Stmt net assets'!O162-U162</f>
        <v>0</v>
      </c>
    </row>
    <row r="163" spans="1:23" s="65" customFormat="1" ht="12.75" customHeight="1">
      <c r="A163" s="35" t="s">
        <v>191</v>
      </c>
      <c r="B163" s="51"/>
      <c r="C163" s="35" t="s">
        <v>13</v>
      </c>
      <c r="D163" s="35"/>
      <c r="E163" s="48">
        <f>2283216+4024149</f>
        <v>6307365</v>
      </c>
      <c r="F163" s="48"/>
      <c r="G163" s="48">
        <v>671784</v>
      </c>
      <c r="H163" s="48"/>
      <c r="I163" s="48">
        <v>0</v>
      </c>
      <c r="J163" s="48"/>
      <c r="K163" s="48">
        <v>0</v>
      </c>
      <c r="L163" s="48"/>
      <c r="M163" s="48">
        <v>0</v>
      </c>
      <c r="N163" s="48"/>
      <c r="O163" s="48">
        <v>677536</v>
      </c>
      <c r="P163" s="48"/>
      <c r="Q163" s="48">
        <v>0</v>
      </c>
      <c r="R163" s="48"/>
      <c r="S163" s="48">
        <f t="shared" si="4"/>
        <v>7656685</v>
      </c>
      <c r="T163" s="44"/>
      <c r="U163" s="48">
        <v>579206</v>
      </c>
      <c r="W163" s="44">
        <f>+S163-'Stmt net assets'!O163-U163</f>
        <v>0</v>
      </c>
    </row>
    <row r="164" spans="1:23" s="65" customFormat="1" ht="12.75" customHeight="1">
      <c r="A164" s="35" t="s">
        <v>192</v>
      </c>
      <c r="C164" s="35" t="s">
        <v>38</v>
      </c>
      <c r="D164" s="35"/>
      <c r="E164" s="48">
        <v>432836</v>
      </c>
      <c r="F164" s="48"/>
      <c r="G164" s="48">
        <v>0</v>
      </c>
      <c r="H164" s="48"/>
      <c r="I164" s="48">
        <v>0</v>
      </c>
      <c r="J164" s="48"/>
      <c r="K164" s="48">
        <f>300443+770649</f>
        <v>1071092</v>
      </c>
      <c r="L164" s="48"/>
      <c r="M164" s="48">
        <v>0</v>
      </c>
      <c r="N164" s="48"/>
      <c r="O164" s="48">
        <v>1106486</v>
      </c>
      <c r="P164" s="48"/>
      <c r="Q164" s="48">
        <v>421640</v>
      </c>
      <c r="R164" s="48"/>
      <c r="S164" s="48">
        <f t="shared" si="4"/>
        <v>3032054</v>
      </c>
      <c r="T164" s="44"/>
      <c r="U164" s="48">
        <v>554993</v>
      </c>
      <c r="W164" s="44">
        <f>+S164-'Stmt net assets'!O164-U164</f>
        <v>0</v>
      </c>
    </row>
    <row r="165" spans="1:23" s="65" customFormat="1" ht="12.75" customHeight="1">
      <c r="A165" s="35" t="s">
        <v>193</v>
      </c>
      <c r="B165" s="51"/>
      <c r="C165" s="35" t="s">
        <v>45</v>
      </c>
      <c r="D165" s="35"/>
      <c r="E165" s="48">
        <v>4491599</v>
      </c>
      <c r="F165" s="48"/>
      <c r="G165" s="48">
        <v>1457440</v>
      </c>
      <c r="H165" s="48"/>
      <c r="I165" s="48">
        <v>0</v>
      </c>
      <c r="J165" s="48"/>
      <c r="K165" s="48">
        <f>166787+436281</f>
        <v>603068</v>
      </c>
      <c r="L165" s="48"/>
      <c r="M165" s="48">
        <v>648448</v>
      </c>
      <c r="N165" s="48"/>
      <c r="O165" s="48">
        <v>3235886</v>
      </c>
      <c r="P165" s="48"/>
      <c r="Q165" s="48">
        <f>11910000-154445+3595000</f>
        <v>15350555</v>
      </c>
      <c r="R165" s="48"/>
      <c r="S165" s="48">
        <f t="shared" si="4"/>
        <v>25786996</v>
      </c>
      <c r="T165" s="44"/>
      <c r="U165" s="48">
        <v>2126049</v>
      </c>
      <c r="W165" s="44">
        <f>+S165-'Stmt net assets'!O165-U165</f>
        <v>0</v>
      </c>
    </row>
    <row r="166" spans="1:23" s="65" customFormat="1" ht="12.75" customHeight="1">
      <c r="A166" s="35" t="s">
        <v>194</v>
      </c>
      <c r="B166" s="51"/>
      <c r="C166" s="35" t="s">
        <v>66</v>
      </c>
      <c r="D166" s="35"/>
      <c r="E166" s="48">
        <v>0</v>
      </c>
      <c r="F166" s="48"/>
      <c r="G166" s="48">
        <v>0</v>
      </c>
      <c r="H166" s="48"/>
      <c r="I166" s="48">
        <v>0</v>
      </c>
      <c r="J166" s="48"/>
      <c r="K166" s="48">
        <v>0</v>
      </c>
      <c r="L166" s="48"/>
      <c r="M166" s="48">
        <v>0</v>
      </c>
      <c r="N166" s="48"/>
      <c r="O166" s="48">
        <v>1280092</v>
      </c>
      <c r="P166" s="48"/>
      <c r="Q166" s="48">
        <v>543289</v>
      </c>
      <c r="R166" s="48"/>
      <c r="S166" s="48">
        <f t="shared" si="4"/>
        <v>1823381</v>
      </c>
      <c r="T166" s="44"/>
      <c r="U166" s="48">
        <v>207478</v>
      </c>
      <c r="W166" s="44">
        <f>+S166-'Stmt net assets'!O166-U166</f>
        <v>0</v>
      </c>
    </row>
    <row r="167" spans="1:23" s="65" customFormat="1" ht="12.75" customHeight="1">
      <c r="A167" s="64" t="s">
        <v>195</v>
      </c>
      <c r="B167" s="66"/>
      <c r="C167" s="64" t="s">
        <v>17</v>
      </c>
      <c r="D167" s="64"/>
      <c r="E167" s="48">
        <v>9375685</v>
      </c>
      <c r="F167" s="48"/>
      <c r="G167" s="48">
        <v>0</v>
      </c>
      <c r="H167" s="48"/>
      <c r="I167" s="48">
        <v>0</v>
      </c>
      <c r="J167" s="48"/>
      <c r="K167" s="48">
        <v>330104</v>
      </c>
      <c r="L167" s="48"/>
      <c r="M167" s="48">
        <v>0</v>
      </c>
      <c r="N167" s="48"/>
      <c r="O167" s="48">
        <v>803813</v>
      </c>
      <c r="P167" s="48"/>
      <c r="Q167" s="48">
        <v>0</v>
      </c>
      <c r="R167" s="48"/>
      <c r="S167" s="48">
        <f t="shared" si="4"/>
        <v>10509602</v>
      </c>
      <c r="T167" s="44"/>
      <c r="U167" s="48">
        <v>736517</v>
      </c>
      <c r="W167" s="44">
        <f>+S167-'Stmt net assets'!O167-U167</f>
        <v>0</v>
      </c>
    </row>
    <row r="168" spans="1:23" s="65" customFormat="1" ht="12.75" customHeight="1">
      <c r="A168" s="35" t="s">
        <v>196</v>
      </c>
      <c r="B168" s="51"/>
      <c r="C168" s="35" t="s">
        <v>27</v>
      </c>
      <c r="D168" s="35"/>
      <c r="E168" s="48">
        <v>0</v>
      </c>
      <c r="F168" s="48"/>
      <c r="G168" s="48">
        <v>0</v>
      </c>
      <c r="H168" s="48"/>
      <c r="I168" s="48">
        <f>731000+1305000+270000+7968+7968</f>
        <v>2321936</v>
      </c>
      <c r="J168" s="48"/>
      <c r="K168" s="48">
        <f>396075+2987410</f>
        <v>3383485</v>
      </c>
      <c r="L168" s="48"/>
      <c r="M168" s="48">
        <v>583465</v>
      </c>
      <c r="N168" s="48"/>
      <c r="O168" s="48">
        <v>342146</v>
      </c>
      <c r="P168" s="48"/>
      <c r="Q168" s="48">
        <v>0</v>
      </c>
      <c r="R168" s="48"/>
      <c r="S168" s="48">
        <f t="shared" si="4"/>
        <v>6631032</v>
      </c>
      <c r="T168" s="44"/>
      <c r="U168" s="48">
        <v>585532</v>
      </c>
      <c r="W168" s="44">
        <f>+S168-'Stmt net assets'!O168-U168</f>
        <v>0</v>
      </c>
    </row>
    <row r="169" spans="1:23" s="65" customFormat="1" ht="12.75" customHeight="1">
      <c r="A169" s="35" t="s">
        <v>386</v>
      </c>
      <c r="B169" s="51"/>
      <c r="C169" s="35" t="s">
        <v>153</v>
      </c>
      <c r="D169" s="35"/>
      <c r="E169" s="48">
        <f>1880000-14933</f>
        <v>1865067</v>
      </c>
      <c r="F169" s="48"/>
      <c r="G169" s="48">
        <v>0</v>
      </c>
      <c r="H169" s="48"/>
      <c r="I169" s="48">
        <v>0</v>
      </c>
      <c r="J169" s="48"/>
      <c r="K169" s="48">
        <v>0</v>
      </c>
      <c r="L169" s="48"/>
      <c r="M169" s="48">
        <v>41890</v>
      </c>
      <c r="N169" s="48"/>
      <c r="O169" s="48">
        <v>308051</v>
      </c>
      <c r="P169" s="48"/>
      <c r="Q169" s="48">
        <v>10983</v>
      </c>
      <c r="R169" s="48"/>
      <c r="S169" s="48">
        <f t="shared" si="4"/>
        <v>2225991</v>
      </c>
      <c r="T169" s="44"/>
      <c r="U169" s="48">
        <v>186091</v>
      </c>
      <c r="W169" s="44">
        <f>+S169-'Stmt net assets'!O169-U169</f>
        <v>0</v>
      </c>
    </row>
    <row r="170" spans="1:23" s="65" customFormat="1" ht="12.75" customHeight="1">
      <c r="A170" s="35" t="s">
        <v>197</v>
      </c>
      <c r="B170" s="51"/>
      <c r="C170" s="35" t="s">
        <v>163</v>
      </c>
      <c r="D170" s="35"/>
      <c r="E170" s="48">
        <v>1147366</v>
      </c>
      <c r="F170" s="48"/>
      <c r="G170" s="48">
        <v>930057</v>
      </c>
      <c r="H170" s="48"/>
      <c r="I170" s="48">
        <f>107642+6830000</f>
        <v>6937642</v>
      </c>
      <c r="J170" s="48"/>
      <c r="K170" s="48">
        <f>2185028+10872823</f>
        <v>13057851</v>
      </c>
      <c r="L170" s="48"/>
      <c r="M170" s="48">
        <v>0</v>
      </c>
      <c r="N170" s="48"/>
      <c r="O170" s="48">
        <v>2643553</v>
      </c>
      <c r="P170" s="48"/>
      <c r="Q170" s="48">
        <f>74495+50222</f>
        <v>124717</v>
      </c>
      <c r="R170" s="48"/>
      <c r="S170" s="48">
        <f t="shared" si="4"/>
        <v>24841186</v>
      </c>
      <c r="T170" s="44"/>
      <c r="U170" s="48">
        <v>8829629</v>
      </c>
      <c r="W170" s="44">
        <f>+S170-'Stmt net assets'!O170-U170</f>
        <v>0</v>
      </c>
    </row>
    <row r="171" spans="1:23" s="65" customFormat="1" ht="12.75" customHeight="1">
      <c r="A171" s="35" t="s">
        <v>198</v>
      </c>
      <c r="B171" s="51"/>
      <c r="C171" s="35" t="s">
        <v>199</v>
      </c>
      <c r="D171" s="35"/>
      <c r="E171" s="48">
        <v>0</v>
      </c>
      <c r="F171" s="48"/>
      <c r="G171" s="48">
        <v>52460</v>
      </c>
      <c r="H171" s="48"/>
      <c r="I171" s="48">
        <v>0</v>
      </c>
      <c r="J171" s="48"/>
      <c r="K171" s="48">
        <v>0</v>
      </c>
      <c r="L171" s="48"/>
      <c r="M171" s="48">
        <v>0</v>
      </c>
      <c r="N171" s="48"/>
      <c r="O171" s="48">
        <v>122901</v>
      </c>
      <c r="P171" s="48"/>
      <c r="Q171" s="48">
        <v>0</v>
      </c>
      <c r="R171" s="48"/>
      <c r="S171" s="48">
        <f t="shared" si="4"/>
        <v>175361</v>
      </c>
      <c r="T171" s="44"/>
      <c r="U171" s="48">
        <v>68142</v>
      </c>
      <c r="W171" s="44">
        <f>+S171-'Stmt net assets'!O171-U171</f>
        <v>0</v>
      </c>
    </row>
    <row r="172" spans="1:23" s="65" customFormat="1" ht="12.75" customHeight="1">
      <c r="A172" s="35" t="s">
        <v>200</v>
      </c>
      <c r="B172" s="51"/>
      <c r="C172" s="35" t="s">
        <v>103</v>
      </c>
      <c r="D172" s="35"/>
      <c r="E172" s="48">
        <f>2365000-41735+19133</f>
        <v>2342398</v>
      </c>
      <c r="F172" s="48"/>
      <c r="G172" s="48">
        <v>0</v>
      </c>
      <c r="H172" s="48"/>
      <c r="I172" s="48">
        <v>0</v>
      </c>
      <c r="J172" s="48"/>
      <c r="K172" s="48">
        <v>0</v>
      </c>
      <c r="L172" s="48"/>
      <c r="M172" s="48">
        <v>0</v>
      </c>
      <c r="N172" s="48"/>
      <c r="O172" s="48">
        <v>606539</v>
      </c>
      <c r="P172" s="48"/>
      <c r="Q172" s="48">
        <v>0</v>
      </c>
      <c r="R172" s="48"/>
      <c r="S172" s="48">
        <f t="shared" si="4"/>
        <v>2948937</v>
      </c>
      <c r="T172" s="44"/>
      <c r="U172" s="48">
        <v>488094</v>
      </c>
      <c r="W172" s="44">
        <f>+S172-'Stmt net assets'!O172-U172</f>
        <v>0</v>
      </c>
    </row>
    <row r="173" spans="1:23" s="65" customFormat="1" ht="12.75" customHeight="1">
      <c r="A173" s="35"/>
      <c r="B173" s="51"/>
      <c r="C173" s="35"/>
      <c r="D173" s="35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4"/>
      <c r="U173" s="48" t="s">
        <v>484</v>
      </c>
      <c r="W173" s="44"/>
    </row>
    <row r="174" spans="1:23" s="65" customFormat="1" ht="12.75" customHeight="1">
      <c r="A174" s="35" t="s">
        <v>201</v>
      </c>
      <c r="B174" s="51"/>
      <c r="C174" s="35" t="s">
        <v>92</v>
      </c>
      <c r="D174" s="35"/>
      <c r="E174" s="68">
        <v>1700000</v>
      </c>
      <c r="F174" s="68"/>
      <c r="G174" s="68">
        <v>340000</v>
      </c>
      <c r="H174" s="68"/>
      <c r="I174" s="68">
        <v>0</v>
      </c>
      <c r="J174" s="68"/>
      <c r="K174" s="68">
        <f>83131+381978</f>
        <v>465109</v>
      </c>
      <c r="L174" s="68"/>
      <c r="M174" s="68">
        <v>414816</v>
      </c>
      <c r="N174" s="68"/>
      <c r="O174" s="68">
        <v>1662848</v>
      </c>
      <c r="P174" s="68"/>
      <c r="Q174" s="68">
        <f>342787+739511</f>
        <v>1082298</v>
      </c>
      <c r="R174" s="68"/>
      <c r="S174" s="68">
        <f t="shared" si="4"/>
        <v>5665071</v>
      </c>
      <c r="T174" s="46"/>
      <c r="U174" s="68">
        <v>1006721</v>
      </c>
      <c r="W174" s="44">
        <f>+S174-'Stmt net assets'!O174-U174</f>
        <v>0</v>
      </c>
    </row>
    <row r="175" spans="1:23" s="65" customFormat="1" ht="12.75" customHeight="1">
      <c r="A175" s="35" t="s">
        <v>202</v>
      </c>
      <c r="B175" s="51"/>
      <c r="C175" s="35" t="s">
        <v>27</v>
      </c>
      <c r="D175" s="35"/>
      <c r="E175" s="48">
        <v>20615000</v>
      </c>
      <c r="F175" s="48"/>
      <c r="G175" s="48">
        <v>1138945</v>
      </c>
      <c r="H175" s="48"/>
      <c r="I175" s="48">
        <v>0</v>
      </c>
      <c r="J175" s="48"/>
      <c r="K175" s="48">
        <f>1269318+2116878</f>
        <v>3386196</v>
      </c>
      <c r="L175" s="48"/>
      <c r="M175" s="48">
        <v>3140931</v>
      </c>
      <c r="N175" s="48"/>
      <c r="O175" s="48">
        <v>2994976</v>
      </c>
      <c r="P175" s="48"/>
      <c r="Q175" s="48">
        <v>0</v>
      </c>
      <c r="R175" s="48"/>
      <c r="S175" s="48">
        <f t="shared" si="4"/>
        <v>31276048</v>
      </c>
      <c r="T175" s="44"/>
      <c r="U175" s="48">
        <v>3208746</v>
      </c>
      <c r="W175" s="44">
        <f>+S175-'Stmt net assets'!O175-U175</f>
        <v>0</v>
      </c>
    </row>
    <row r="176" spans="1:23" s="65" customFormat="1" ht="12.75" customHeight="1">
      <c r="A176" s="35" t="s">
        <v>203</v>
      </c>
      <c r="B176" s="51"/>
      <c r="C176" s="35" t="s">
        <v>27</v>
      </c>
      <c r="D176" s="35"/>
      <c r="E176" s="48">
        <v>4555000</v>
      </c>
      <c r="F176" s="48"/>
      <c r="G176" s="48">
        <v>235466</v>
      </c>
      <c r="H176" s="48"/>
      <c r="I176" s="48">
        <v>0</v>
      </c>
      <c r="J176" s="48"/>
      <c r="K176" s="48">
        <f>627730+59313</f>
        <v>687043</v>
      </c>
      <c r="L176" s="48"/>
      <c r="M176" s="48">
        <v>509382</v>
      </c>
      <c r="N176" s="48"/>
      <c r="O176" s="48">
        <v>1109569</v>
      </c>
      <c r="P176" s="48"/>
      <c r="Q176" s="48">
        <v>0</v>
      </c>
      <c r="R176" s="48"/>
      <c r="S176" s="48">
        <f t="shared" si="4"/>
        <v>7096460</v>
      </c>
      <c r="T176" s="44"/>
      <c r="U176" s="48">
        <v>667494</v>
      </c>
      <c r="W176" s="44">
        <f>+S176-'Stmt net assets'!O176-U176</f>
        <v>0</v>
      </c>
    </row>
    <row r="177" spans="1:25" s="65" customFormat="1" ht="12.75" customHeight="1">
      <c r="A177" s="35" t="s">
        <v>204</v>
      </c>
      <c r="B177" s="51"/>
      <c r="C177" s="35" t="s">
        <v>125</v>
      </c>
      <c r="D177" s="35"/>
      <c r="E177" s="48">
        <v>0</v>
      </c>
      <c r="F177" s="48"/>
      <c r="G177" s="48">
        <v>0</v>
      </c>
      <c r="H177" s="48"/>
      <c r="I177" s="48">
        <v>946417</v>
      </c>
      <c r="J177" s="48"/>
      <c r="K177" s="48">
        <v>76535</v>
      </c>
      <c r="L177" s="48"/>
      <c r="M177" s="48">
        <v>0</v>
      </c>
      <c r="N177" s="48"/>
      <c r="O177" s="48">
        <v>77073</v>
      </c>
      <c r="P177" s="48"/>
      <c r="Q177" s="48">
        <v>0</v>
      </c>
      <c r="R177" s="48"/>
      <c r="S177" s="48">
        <f t="shared" si="4"/>
        <v>1100025</v>
      </c>
      <c r="T177" s="44"/>
      <c r="U177" s="48">
        <v>145936</v>
      </c>
      <c r="W177" s="44">
        <f>+S177-'Stmt net assets'!O177-U177</f>
        <v>0</v>
      </c>
    </row>
    <row r="178" spans="1:25" s="125" customFormat="1" ht="11.25" hidden="1" customHeight="1">
      <c r="A178" s="126" t="s">
        <v>205</v>
      </c>
      <c r="B178" s="124"/>
      <c r="C178" s="126" t="s">
        <v>27</v>
      </c>
      <c r="D178" s="126"/>
      <c r="E178" s="130">
        <v>8589718</v>
      </c>
      <c r="F178" s="130"/>
      <c r="G178" s="130">
        <v>0</v>
      </c>
      <c r="H178" s="130"/>
      <c r="I178" s="130">
        <v>0</v>
      </c>
      <c r="J178" s="130"/>
      <c r="K178" s="130">
        <v>852526</v>
      </c>
      <c r="L178" s="130"/>
      <c r="M178" s="130">
        <v>0</v>
      </c>
      <c r="N178" s="130"/>
      <c r="O178" s="130">
        <v>515108</v>
      </c>
      <c r="P178" s="130"/>
      <c r="Q178" s="130">
        <v>0</v>
      </c>
      <c r="R178" s="130"/>
      <c r="S178" s="130">
        <f t="shared" si="4"/>
        <v>9957352</v>
      </c>
      <c r="T178" s="121"/>
      <c r="U178" s="130">
        <v>728407</v>
      </c>
      <c r="W178" s="121">
        <f>+S178-'Stmt net assets'!O178-U178</f>
        <v>9228945</v>
      </c>
      <c r="Y178" s="125">
        <f>+W178-8966759</f>
        <v>262186</v>
      </c>
    </row>
    <row r="179" spans="1:25" s="65" customFormat="1" ht="12.75" customHeight="1">
      <c r="A179" s="35" t="s">
        <v>206</v>
      </c>
      <c r="B179" s="51"/>
      <c r="C179" s="35" t="s">
        <v>47</v>
      </c>
      <c r="D179" s="35"/>
      <c r="E179" s="48">
        <v>0</v>
      </c>
      <c r="F179" s="48"/>
      <c r="G179" s="48">
        <v>0</v>
      </c>
      <c r="H179" s="48"/>
      <c r="I179" s="48">
        <v>0</v>
      </c>
      <c r="J179" s="48"/>
      <c r="K179" s="48">
        <v>0</v>
      </c>
      <c r="L179" s="48"/>
      <c r="M179" s="48">
        <v>0</v>
      </c>
      <c r="N179" s="48"/>
      <c r="O179" s="48">
        <v>1122167</v>
      </c>
      <c r="P179" s="48"/>
      <c r="Q179" s="48">
        <v>0</v>
      </c>
      <c r="R179" s="48"/>
      <c r="S179" s="48">
        <f t="shared" si="4"/>
        <v>1122167</v>
      </c>
      <c r="T179" s="44"/>
      <c r="U179" s="48">
        <v>386687</v>
      </c>
      <c r="W179" s="44">
        <f>+S179-'Stmt net assets'!O179-U179</f>
        <v>0</v>
      </c>
    </row>
    <row r="180" spans="1:25" s="65" customFormat="1" ht="12.75" customHeight="1">
      <c r="A180" s="35" t="s">
        <v>207</v>
      </c>
      <c r="B180" s="51"/>
      <c r="C180" s="35" t="s">
        <v>102</v>
      </c>
      <c r="D180" s="35"/>
      <c r="E180" s="48">
        <v>1252974</v>
      </c>
      <c r="F180" s="48"/>
      <c r="G180" s="48">
        <v>0</v>
      </c>
      <c r="H180" s="48"/>
      <c r="I180" s="48">
        <v>2295000</v>
      </c>
      <c r="J180" s="48"/>
      <c r="K180" s="48">
        <v>5997677</v>
      </c>
      <c r="L180" s="48"/>
      <c r="M180" s="48">
        <v>3162195</v>
      </c>
      <c r="N180" s="48"/>
      <c r="O180" s="48">
        <v>675704</v>
      </c>
      <c r="P180" s="48"/>
      <c r="Q180" s="48">
        <v>312500</v>
      </c>
      <c r="R180" s="48"/>
      <c r="S180" s="48">
        <f t="shared" si="4"/>
        <v>13696050</v>
      </c>
      <c r="T180" s="44"/>
      <c r="U180" s="48">
        <v>1196018</v>
      </c>
      <c r="W180" s="44">
        <f>+S180-'Stmt net assets'!O180-U180</f>
        <v>0</v>
      </c>
    </row>
    <row r="181" spans="1:25" s="65" customFormat="1" ht="12.75" customHeight="1">
      <c r="A181" s="35" t="s">
        <v>208</v>
      </c>
      <c r="B181" s="51"/>
      <c r="C181" s="35" t="s">
        <v>209</v>
      </c>
      <c r="D181" s="35"/>
      <c r="E181" s="48">
        <v>325000</v>
      </c>
      <c r="F181" s="48"/>
      <c r="G181" s="48">
        <v>95664</v>
      </c>
      <c r="H181" s="48"/>
      <c r="I181" s="48">
        <v>1159221</v>
      </c>
      <c r="J181" s="48"/>
      <c r="K181" s="48">
        <v>0</v>
      </c>
      <c r="L181" s="48"/>
      <c r="M181" s="48">
        <v>0</v>
      </c>
      <c r="N181" s="48"/>
      <c r="O181" s="48">
        <v>1720610</v>
      </c>
      <c r="P181" s="48"/>
      <c r="Q181" s="48">
        <f>1800000+23201+295000</f>
        <v>2118201</v>
      </c>
      <c r="R181" s="48"/>
      <c r="S181" s="48">
        <f t="shared" si="4"/>
        <v>5418696</v>
      </c>
      <c r="T181" s="44"/>
      <c r="U181" s="48">
        <v>952694</v>
      </c>
      <c r="W181" s="44">
        <f>+S181-'Stmt net assets'!O181-U181</f>
        <v>0</v>
      </c>
    </row>
    <row r="182" spans="1:25" s="65" customFormat="1" ht="12.75" customHeight="1">
      <c r="A182" s="44" t="s">
        <v>210</v>
      </c>
      <c r="B182" s="51"/>
      <c r="C182" s="44" t="s">
        <v>211</v>
      </c>
      <c r="D182" s="44"/>
      <c r="E182" s="48">
        <v>187692</v>
      </c>
      <c r="F182" s="48"/>
      <c r="G182" s="48">
        <v>45308</v>
      </c>
      <c r="H182" s="48"/>
      <c r="I182" s="48">
        <v>0</v>
      </c>
      <c r="J182" s="48"/>
      <c r="K182" s="48">
        <v>0</v>
      </c>
      <c r="L182" s="48"/>
      <c r="M182" s="48">
        <v>247482</v>
      </c>
      <c r="N182" s="48"/>
      <c r="O182" s="48">
        <v>153677</v>
      </c>
      <c r="P182" s="48"/>
      <c r="Q182" s="48">
        <v>0</v>
      </c>
      <c r="R182" s="48"/>
      <c r="S182" s="48">
        <f t="shared" si="4"/>
        <v>634159</v>
      </c>
      <c r="T182" s="44"/>
      <c r="U182" s="48">
        <v>211744</v>
      </c>
      <c r="W182" s="44">
        <f>+S182-'Stmt net assets'!O182-U182</f>
        <v>0</v>
      </c>
      <c r="X182" s="66"/>
      <c r="Y182" s="66"/>
    </row>
    <row r="183" spans="1:25" s="65" customFormat="1" ht="12.75" customHeight="1">
      <c r="A183" s="44" t="s">
        <v>212</v>
      </c>
      <c r="B183" s="51"/>
      <c r="C183" s="44" t="s">
        <v>213</v>
      </c>
      <c r="D183" s="44"/>
      <c r="E183" s="48">
        <v>1645000</v>
      </c>
      <c r="F183" s="48"/>
      <c r="G183" s="48">
        <v>0</v>
      </c>
      <c r="H183" s="48"/>
      <c r="I183" s="48">
        <v>0</v>
      </c>
      <c r="J183" s="48"/>
      <c r="K183" s="48">
        <v>0</v>
      </c>
      <c r="L183" s="48"/>
      <c r="M183" s="48">
        <v>775085</v>
      </c>
      <c r="N183" s="48"/>
      <c r="O183" s="48">
        <v>655507</v>
      </c>
      <c r="P183" s="48"/>
      <c r="Q183" s="48">
        <v>0</v>
      </c>
      <c r="R183" s="48"/>
      <c r="S183" s="48">
        <f t="shared" si="4"/>
        <v>3075592</v>
      </c>
      <c r="T183" s="44"/>
      <c r="U183" s="48">
        <v>208157</v>
      </c>
      <c r="W183" s="44">
        <f>+S183-'Stmt net assets'!O183-U183</f>
        <v>0</v>
      </c>
    </row>
    <row r="184" spans="1:25" s="65" customFormat="1" ht="12.75" customHeight="1">
      <c r="A184" s="44" t="s">
        <v>214</v>
      </c>
      <c r="B184" s="51"/>
      <c r="C184" s="44" t="s">
        <v>86</v>
      </c>
      <c r="D184" s="44"/>
      <c r="E184" s="48">
        <f>22900000+269711</f>
        <v>23169711</v>
      </c>
      <c r="F184" s="48"/>
      <c r="G184" s="48">
        <v>0</v>
      </c>
      <c r="H184" s="48"/>
      <c r="I184" s="48">
        <v>0</v>
      </c>
      <c r="J184" s="48"/>
      <c r="K184" s="48">
        <v>0</v>
      </c>
      <c r="L184" s="48"/>
      <c r="M184" s="48">
        <v>0</v>
      </c>
      <c r="N184" s="48"/>
      <c r="O184" s="48">
        <v>276887</v>
      </c>
      <c r="P184" s="48"/>
      <c r="Q184" s="48">
        <v>0</v>
      </c>
      <c r="R184" s="48"/>
      <c r="S184" s="48">
        <f t="shared" si="4"/>
        <v>23446598</v>
      </c>
      <c r="T184" s="44"/>
      <c r="U184" s="48">
        <v>1789816</v>
      </c>
      <c r="W184" s="44">
        <f>+S184-'Stmt net assets'!O184-U184</f>
        <v>0</v>
      </c>
      <c r="Y184" s="65">
        <f>177071+21479711</f>
        <v>21656782</v>
      </c>
    </row>
    <row r="185" spans="1:25" s="65" customFormat="1" ht="12.75" customHeight="1">
      <c r="A185" s="35" t="s">
        <v>215</v>
      </c>
      <c r="C185" s="35" t="s">
        <v>22</v>
      </c>
      <c r="D185" s="35"/>
      <c r="E185" s="48">
        <f>741903+4637327</f>
        <v>5379230</v>
      </c>
      <c r="F185" s="48"/>
      <c r="G185" s="48">
        <v>193094</v>
      </c>
      <c r="H185" s="48"/>
      <c r="I185" s="48">
        <v>0</v>
      </c>
      <c r="J185" s="48"/>
      <c r="K185" s="48">
        <v>0</v>
      </c>
      <c r="L185" s="48"/>
      <c r="M185" s="48">
        <v>606388</v>
      </c>
      <c r="N185" s="48"/>
      <c r="O185" s="48">
        <v>868895</v>
      </c>
      <c r="P185" s="48"/>
      <c r="Q185" s="48">
        <v>0</v>
      </c>
      <c r="R185" s="48"/>
      <c r="S185" s="48">
        <f t="shared" si="4"/>
        <v>7047607</v>
      </c>
      <c r="T185" s="44"/>
      <c r="U185" s="48">
        <v>612900</v>
      </c>
      <c r="W185" s="44">
        <f>+S185-'Stmt net assets'!O185-U185</f>
        <v>0</v>
      </c>
    </row>
    <row r="186" spans="1:25" s="65" customFormat="1" ht="12.75" customHeight="1">
      <c r="A186" s="35" t="s">
        <v>216</v>
      </c>
      <c r="B186" s="51"/>
      <c r="C186" s="35" t="s">
        <v>45</v>
      </c>
      <c r="D186" s="35"/>
      <c r="E186" s="48">
        <v>1425000</v>
      </c>
      <c r="F186" s="48"/>
      <c r="G186" s="48">
        <v>0</v>
      </c>
      <c r="H186" s="48"/>
      <c r="I186" s="48">
        <v>0</v>
      </c>
      <c r="J186" s="48"/>
      <c r="K186" s="48">
        <v>0</v>
      </c>
      <c r="L186" s="48"/>
      <c r="M186" s="48">
        <v>39757</v>
      </c>
      <c r="N186" s="48"/>
      <c r="O186" s="48">
        <v>996254</v>
      </c>
      <c r="P186" s="48"/>
      <c r="Q186" s="48">
        <v>0</v>
      </c>
      <c r="R186" s="48"/>
      <c r="S186" s="48">
        <f t="shared" si="4"/>
        <v>2461011</v>
      </c>
      <c r="T186" s="44"/>
      <c r="U186" s="48">
        <v>480121</v>
      </c>
      <c r="W186" s="44">
        <f>+S186-'Stmt net assets'!O186-U186</f>
        <v>0</v>
      </c>
    </row>
    <row r="187" spans="1:25" s="65" customFormat="1" ht="12.75" customHeight="1">
      <c r="A187" s="35" t="s">
        <v>217</v>
      </c>
      <c r="B187" s="51"/>
      <c r="C187" s="35" t="s">
        <v>43</v>
      </c>
      <c r="D187" s="35"/>
      <c r="E187" s="48">
        <v>22320419</v>
      </c>
      <c r="F187" s="48"/>
      <c r="G187" s="48">
        <v>0</v>
      </c>
      <c r="H187" s="48"/>
      <c r="I187" s="48">
        <v>0</v>
      </c>
      <c r="J187" s="48"/>
      <c r="K187" s="48">
        <f>3024515+157163</f>
        <v>3181678</v>
      </c>
      <c r="L187" s="48"/>
      <c r="M187" s="48">
        <v>0</v>
      </c>
      <c r="N187" s="48"/>
      <c r="O187" s="48">
        <v>1059270</v>
      </c>
      <c r="P187" s="48"/>
      <c r="Q187" s="48">
        <v>0</v>
      </c>
      <c r="R187" s="48"/>
      <c r="S187" s="48">
        <f t="shared" si="4"/>
        <v>26561367</v>
      </c>
      <c r="T187" s="44"/>
      <c r="U187" s="48">
        <v>2294273</v>
      </c>
      <c r="W187" s="44">
        <f>+S187-'Stmt net assets'!O187-U187</f>
        <v>0</v>
      </c>
    </row>
    <row r="188" spans="1:25" s="65" customFormat="1" ht="12.75" hidden="1" customHeight="1">
      <c r="A188" s="35" t="s">
        <v>218</v>
      </c>
      <c r="B188" s="51"/>
      <c r="C188" s="35" t="s">
        <v>27</v>
      </c>
      <c r="D188" s="35"/>
      <c r="E188" s="48">
        <v>0</v>
      </c>
      <c r="F188" s="48"/>
      <c r="G188" s="48">
        <v>0</v>
      </c>
      <c r="H188" s="48"/>
      <c r="I188" s="48">
        <v>0</v>
      </c>
      <c r="J188" s="48"/>
      <c r="K188" s="48">
        <v>0</v>
      </c>
      <c r="L188" s="48"/>
      <c r="M188" s="48">
        <v>0</v>
      </c>
      <c r="N188" s="48"/>
      <c r="O188" s="48">
        <v>0</v>
      </c>
      <c r="P188" s="48"/>
      <c r="Q188" s="48">
        <v>0</v>
      </c>
      <c r="R188" s="48"/>
      <c r="S188" s="48">
        <f t="shared" si="4"/>
        <v>0</v>
      </c>
      <c r="T188" s="44"/>
      <c r="U188" s="48">
        <v>0</v>
      </c>
      <c r="W188" s="44">
        <f>+S188-'Stmt net assets'!O188-U188</f>
        <v>0</v>
      </c>
    </row>
    <row r="189" spans="1:25" s="65" customFormat="1" ht="12.75" customHeight="1">
      <c r="A189" s="35" t="s">
        <v>219</v>
      </c>
      <c r="B189" s="51"/>
      <c r="C189" s="35" t="s">
        <v>199</v>
      </c>
      <c r="D189" s="35"/>
      <c r="E189" s="48">
        <v>1038000</v>
      </c>
      <c r="F189" s="48"/>
      <c r="G189" s="48">
        <v>0</v>
      </c>
      <c r="H189" s="48"/>
      <c r="I189" s="48">
        <v>0</v>
      </c>
      <c r="J189" s="48"/>
      <c r="K189" s="48">
        <v>0</v>
      </c>
      <c r="L189" s="48"/>
      <c r="M189" s="48">
        <v>31793</v>
      </c>
      <c r="N189" s="48"/>
      <c r="O189" s="48">
        <v>195417</v>
      </c>
      <c r="P189" s="48"/>
      <c r="Q189" s="48">
        <v>0</v>
      </c>
      <c r="R189" s="48"/>
      <c r="S189" s="48">
        <f t="shared" si="4"/>
        <v>1265210</v>
      </c>
      <c r="T189" s="44"/>
      <c r="U189" s="48">
        <v>218865</v>
      </c>
      <c r="W189" s="44">
        <f>+S189-'Stmt net assets'!O189-U189</f>
        <v>0</v>
      </c>
    </row>
    <row r="190" spans="1:25" s="65" customFormat="1" ht="12.75" customHeight="1">
      <c r="A190" s="35" t="s">
        <v>220</v>
      </c>
      <c r="B190" s="51"/>
      <c r="C190" s="35" t="s">
        <v>66</v>
      </c>
      <c r="D190" s="35"/>
      <c r="E190" s="48">
        <v>2277091</v>
      </c>
      <c r="F190" s="48"/>
      <c r="G190" s="48">
        <v>0</v>
      </c>
      <c r="H190" s="48"/>
      <c r="I190" s="48">
        <v>0</v>
      </c>
      <c r="J190" s="48"/>
      <c r="K190" s="48">
        <v>0</v>
      </c>
      <c r="L190" s="48"/>
      <c r="M190" s="48">
        <v>109938</v>
      </c>
      <c r="N190" s="48"/>
      <c r="O190" s="48">
        <v>153591</v>
      </c>
      <c r="P190" s="48"/>
      <c r="Q190" s="48">
        <v>0</v>
      </c>
      <c r="R190" s="48"/>
      <c r="S190" s="48">
        <f t="shared" ref="S190:S213" si="5">SUM(E190:Q190)</f>
        <v>2540620</v>
      </c>
      <c r="T190" s="44"/>
      <c r="U190" s="48">
        <v>466230</v>
      </c>
      <c r="W190" s="44">
        <f>+S190-'Stmt net assets'!O190-U190</f>
        <v>0</v>
      </c>
    </row>
    <row r="191" spans="1:25" s="66" customFormat="1" ht="12.75" customHeight="1">
      <c r="A191" s="64" t="s">
        <v>221</v>
      </c>
      <c r="C191" s="64" t="s">
        <v>27</v>
      </c>
      <c r="D191" s="64"/>
      <c r="E191" s="48">
        <v>16784498</v>
      </c>
      <c r="F191" s="48"/>
      <c r="G191" s="48">
        <v>550000</v>
      </c>
      <c r="H191" s="48"/>
      <c r="I191" s="48">
        <v>0</v>
      </c>
      <c r="J191" s="48"/>
      <c r="K191" s="48">
        <v>874770</v>
      </c>
      <c r="L191" s="48"/>
      <c r="M191" s="48">
        <v>0</v>
      </c>
      <c r="N191" s="48"/>
      <c r="O191" s="48">
        <v>4187161</v>
      </c>
      <c r="P191" s="48"/>
      <c r="Q191" s="48">
        <v>521605</v>
      </c>
      <c r="R191" s="48"/>
      <c r="S191" s="48">
        <f t="shared" si="5"/>
        <v>22918034</v>
      </c>
      <c r="T191" s="44"/>
      <c r="U191" s="48">
        <v>1706241</v>
      </c>
      <c r="W191" s="46">
        <f>+S191-'Stmt net assets'!O191-U191</f>
        <v>0</v>
      </c>
    </row>
    <row r="192" spans="1:25" s="65" customFormat="1" ht="12.75" customHeight="1">
      <c r="A192" s="35" t="s">
        <v>222</v>
      </c>
      <c r="B192" s="51"/>
      <c r="C192" s="35" t="s">
        <v>47</v>
      </c>
      <c r="D192" s="35"/>
      <c r="E192" s="48">
        <v>3015000</v>
      </c>
      <c r="F192" s="48"/>
      <c r="G192" s="48">
        <v>30000</v>
      </c>
      <c r="H192" s="48"/>
      <c r="I192" s="48">
        <v>0</v>
      </c>
      <c r="J192" s="48"/>
      <c r="K192" s="48">
        <v>0</v>
      </c>
      <c r="L192" s="48"/>
      <c r="M192" s="48">
        <v>0</v>
      </c>
      <c r="N192" s="48"/>
      <c r="O192" s="48">
        <v>223146</v>
      </c>
      <c r="P192" s="48"/>
      <c r="Q192" s="48">
        <v>396763</v>
      </c>
      <c r="R192" s="48"/>
      <c r="S192" s="48">
        <f t="shared" si="5"/>
        <v>3664909</v>
      </c>
      <c r="T192" s="44"/>
      <c r="U192" s="48">
        <v>266560</v>
      </c>
      <c r="W192" s="44">
        <f>+S192-'Stmt net assets'!O192-U192</f>
        <v>0</v>
      </c>
    </row>
    <row r="193" spans="1:32" s="65" customFormat="1" ht="12.75" customHeight="1">
      <c r="A193" s="35" t="s">
        <v>223</v>
      </c>
      <c r="B193" s="51"/>
      <c r="C193" s="35" t="s">
        <v>94</v>
      </c>
      <c r="D193" s="35"/>
      <c r="E193" s="48">
        <v>2924433</v>
      </c>
      <c r="F193" s="48"/>
      <c r="G193" s="48">
        <v>20000</v>
      </c>
      <c r="H193" s="48"/>
      <c r="I193" s="48">
        <v>0</v>
      </c>
      <c r="J193" s="48"/>
      <c r="K193" s="48">
        <v>761802</v>
      </c>
      <c r="L193" s="48"/>
      <c r="M193" s="48">
        <v>0</v>
      </c>
      <c r="N193" s="48"/>
      <c r="O193" s="48">
        <v>303690</v>
      </c>
      <c r="P193" s="48"/>
      <c r="Q193" s="48">
        <v>0</v>
      </c>
      <c r="R193" s="48"/>
      <c r="S193" s="48">
        <f t="shared" si="5"/>
        <v>4009925</v>
      </c>
      <c r="T193" s="44"/>
      <c r="U193" s="48">
        <v>324781</v>
      </c>
      <c r="W193" s="44">
        <f>+S193-'Stmt net assets'!O193-U193</f>
        <v>0</v>
      </c>
    </row>
    <row r="194" spans="1:32" s="65" customFormat="1" ht="12.75" customHeight="1">
      <c r="A194" s="35" t="s">
        <v>76</v>
      </c>
      <c r="B194" s="51"/>
      <c r="C194" s="35" t="s">
        <v>132</v>
      </c>
      <c r="D194" s="35"/>
      <c r="E194" s="48">
        <v>15901176</v>
      </c>
      <c r="F194" s="48"/>
      <c r="G194" s="48">
        <v>3812686</v>
      </c>
      <c r="H194" s="48"/>
      <c r="I194" s="48">
        <v>0</v>
      </c>
      <c r="J194" s="48"/>
      <c r="K194" s="48">
        <v>684873</v>
      </c>
      <c r="L194" s="48"/>
      <c r="M194" s="48">
        <v>914</v>
      </c>
      <c r="N194" s="48"/>
      <c r="O194" s="48">
        <v>2026651</v>
      </c>
      <c r="P194" s="48"/>
      <c r="Q194" s="48">
        <v>0</v>
      </c>
      <c r="R194" s="48"/>
      <c r="S194" s="48">
        <f t="shared" si="5"/>
        <v>22426300</v>
      </c>
      <c r="T194" s="44"/>
      <c r="U194" s="48">
        <v>1647811</v>
      </c>
      <c r="W194" s="44">
        <f>+S194-'Stmt net assets'!O194-U194</f>
        <v>0</v>
      </c>
    </row>
    <row r="195" spans="1:32" s="65" customFormat="1" ht="12.75" customHeight="1">
      <c r="A195" s="35" t="s">
        <v>224</v>
      </c>
      <c r="B195" s="51"/>
      <c r="C195" s="35" t="s">
        <v>27</v>
      </c>
      <c r="D195" s="35"/>
      <c r="E195" s="48">
        <v>12131955</v>
      </c>
      <c r="F195" s="48"/>
      <c r="G195" s="48">
        <v>1965000</v>
      </c>
      <c r="H195" s="48"/>
      <c r="I195" s="48">
        <v>2850000</v>
      </c>
      <c r="J195" s="48"/>
      <c r="K195" s="48">
        <v>19861</v>
      </c>
      <c r="L195" s="48"/>
      <c r="M195" s="48">
        <v>0</v>
      </c>
      <c r="N195" s="48"/>
      <c r="O195" s="48">
        <v>671636</v>
      </c>
      <c r="P195" s="48"/>
      <c r="Q195" s="48">
        <v>0</v>
      </c>
      <c r="R195" s="48"/>
      <c r="S195" s="48">
        <f t="shared" si="5"/>
        <v>17638452</v>
      </c>
      <c r="T195" s="44"/>
      <c r="U195" s="48">
        <v>4093012</v>
      </c>
      <c r="W195" s="44">
        <f>+S195-'Stmt net assets'!O195-U195</f>
        <v>0</v>
      </c>
    </row>
    <row r="196" spans="1:32" s="65" customFormat="1" ht="12.75" customHeight="1">
      <c r="A196" s="35" t="s">
        <v>225</v>
      </c>
      <c r="C196" s="35" t="s">
        <v>27</v>
      </c>
      <c r="D196" s="35"/>
      <c r="E196" s="48">
        <v>18518474</v>
      </c>
      <c r="F196" s="48"/>
      <c r="G196" s="48">
        <v>0</v>
      </c>
      <c r="H196" s="48"/>
      <c r="I196" s="48">
        <v>3125000</v>
      </c>
      <c r="J196" s="48"/>
      <c r="K196" s="48">
        <v>5619327</v>
      </c>
      <c r="L196" s="48"/>
      <c r="M196" s="48">
        <v>0</v>
      </c>
      <c r="N196" s="48"/>
      <c r="O196" s="48">
        <v>6141654</v>
      </c>
      <c r="P196" s="48"/>
      <c r="Q196" s="48">
        <v>579614</v>
      </c>
      <c r="R196" s="48"/>
      <c r="S196" s="48">
        <f t="shared" si="5"/>
        <v>33984069</v>
      </c>
      <c r="T196" s="44"/>
      <c r="U196" s="48">
        <v>3526765</v>
      </c>
      <c r="W196" s="44">
        <f>+S196-'Stmt net assets'!O196-U196</f>
        <v>0</v>
      </c>
    </row>
    <row r="197" spans="1:32" s="65" customFormat="1" ht="12.75" customHeight="1">
      <c r="A197" s="35" t="s">
        <v>226</v>
      </c>
      <c r="B197" s="51"/>
      <c r="C197" s="35" t="s">
        <v>45</v>
      </c>
      <c r="D197" s="35"/>
      <c r="E197" s="48">
        <v>10464827</v>
      </c>
      <c r="F197" s="48"/>
      <c r="G197" s="48">
        <v>1400000</v>
      </c>
      <c r="H197" s="48"/>
      <c r="I197" s="48">
        <v>0</v>
      </c>
      <c r="J197" s="48"/>
      <c r="K197" s="48">
        <v>0</v>
      </c>
      <c r="L197" s="48"/>
      <c r="M197" s="48">
        <v>488777</v>
      </c>
      <c r="N197" s="48"/>
      <c r="O197" s="48">
        <v>3368312</v>
      </c>
      <c r="P197" s="48"/>
      <c r="Q197" s="48">
        <v>0</v>
      </c>
      <c r="R197" s="48"/>
      <c r="S197" s="48">
        <f t="shared" si="5"/>
        <v>15721916</v>
      </c>
      <c r="T197" s="44"/>
      <c r="U197" s="48">
        <v>1771695</v>
      </c>
      <c r="W197" s="44">
        <f>+S197-'Stmt net assets'!O197-U197</f>
        <v>0</v>
      </c>
    </row>
    <row r="198" spans="1:32" s="66" customFormat="1" ht="12.75" customHeight="1">
      <c r="A198" s="64" t="s">
        <v>227</v>
      </c>
      <c r="C198" s="64" t="s">
        <v>17</v>
      </c>
      <c r="D198" s="64"/>
      <c r="E198" s="48">
        <v>1075000</v>
      </c>
      <c r="F198" s="48"/>
      <c r="G198" s="48">
        <v>0</v>
      </c>
      <c r="H198" s="48"/>
      <c r="I198" s="48">
        <f>641905+594000+133188</f>
        <v>1369093</v>
      </c>
      <c r="J198" s="48"/>
      <c r="K198" s="48">
        <v>342293</v>
      </c>
      <c r="L198" s="48"/>
      <c r="M198" s="48">
        <v>24380</v>
      </c>
      <c r="N198" s="48"/>
      <c r="O198" s="48">
        <v>568317</v>
      </c>
      <c r="P198" s="48"/>
      <c r="Q198" s="48">
        <v>0</v>
      </c>
      <c r="R198" s="48"/>
      <c r="S198" s="48">
        <f t="shared" si="5"/>
        <v>3379083</v>
      </c>
      <c r="T198" s="44"/>
      <c r="U198" s="48">
        <v>805853</v>
      </c>
      <c r="V198" s="65"/>
      <c r="W198" s="44">
        <f>+S198-'Stmt net assets'!O198-U198</f>
        <v>0</v>
      </c>
      <c r="X198" s="65"/>
      <c r="Y198" s="65"/>
      <c r="Z198" s="65"/>
      <c r="AA198" s="65"/>
      <c r="AB198" s="65"/>
      <c r="AC198" s="65"/>
      <c r="AD198" s="65"/>
      <c r="AE198" s="65"/>
      <c r="AF198" s="65"/>
    </row>
    <row r="199" spans="1:32" s="65" customFormat="1" ht="12.75" customHeight="1">
      <c r="A199" s="35" t="s">
        <v>228</v>
      </c>
      <c r="B199" s="51"/>
      <c r="C199" s="35" t="s">
        <v>153</v>
      </c>
      <c r="D199" s="35"/>
      <c r="E199" s="48">
        <v>453040</v>
      </c>
      <c r="F199" s="48"/>
      <c r="G199" s="48">
        <v>165178</v>
      </c>
      <c r="H199" s="48"/>
      <c r="I199" s="48">
        <v>0</v>
      </c>
      <c r="J199" s="48"/>
      <c r="K199" s="48">
        <v>105593</v>
      </c>
      <c r="L199" s="48"/>
      <c r="M199" s="48">
        <v>0</v>
      </c>
      <c r="N199" s="48"/>
      <c r="O199" s="48">
        <v>401831</v>
      </c>
      <c r="P199" s="48"/>
      <c r="Q199" s="48">
        <v>0</v>
      </c>
      <c r="R199" s="48"/>
      <c r="S199" s="48">
        <f t="shared" si="5"/>
        <v>1125642</v>
      </c>
      <c r="T199" s="44"/>
      <c r="U199" s="48">
        <v>266305</v>
      </c>
      <c r="W199" s="44">
        <f>+S199-'Stmt net assets'!O199-U199</f>
        <v>0</v>
      </c>
    </row>
    <row r="200" spans="1:32" s="65" customFormat="1" ht="12.75" customHeight="1">
      <c r="A200" s="35" t="s">
        <v>229</v>
      </c>
      <c r="B200" s="51"/>
      <c r="C200" s="35" t="s">
        <v>228</v>
      </c>
      <c r="D200" s="35"/>
      <c r="E200" s="48">
        <f>1385000+5780000+700000+16127</f>
        <v>7881127</v>
      </c>
      <c r="F200" s="48"/>
      <c r="G200" s="48">
        <v>0</v>
      </c>
      <c r="H200" s="48"/>
      <c r="I200" s="48">
        <v>245000</v>
      </c>
      <c r="J200" s="48"/>
      <c r="K200" s="48">
        <v>0</v>
      </c>
      <c r="L200" s="48"/>
      <c r="M200" s="48">
        <v>0</v>
      </c>
      <c r="N200" s="48"/>
      <c r="O200" s="48">
        <v>1543553</v>
      </c>
      <c r="P200" s="48"/>
      <c r="Q200" s="48">
        <v>323714</v>
      </c>
      <c r="R200" s="48"/>
      <c r="S200" s="48">
        <f t="shared" si="5"/>
        <v>9993394</v>
      </c>
      <c r="T200" s="44"/>
      <c r="U200" s="48">
        <v>594058</v>
      </c>
      <c r="W200" s="44">
        <f>+S200-'Stmt net assets'!O200-U200</f>
        <v>0</v>
      </c>
    </row>
    <row r="201" spans="1:32" s="65" customFormat="1" ht="12.75" customHeight="1">
      <c r="A201" s="35" t="s">
        <v>230</v>
      </c>
      <c r="B201" s="51"/>
      <c r="C201" s="35" t="s">
        <v>45</v>
      </c>
      <c r="D201" s="35"/>
      <c r="E201" s="48">
        <v>943600</v>
      </c>
      <c r="F201" s="48"/>
      <c r="G201" s="48">
        <v>0</v>
      </c>
      <c r="H201" s="48"/>
      <c r="I201" s="48">
        <v>0</v>
      </c>
      <c r="J201" s="48"/>
      <c r="K201" s="48">
        <v>1535318</v>
      </c>
      <c r="L201" s="48"/>
      <c r="M201" s="48">
        <v>15246</v>
      </c>
      <c r="N201" s="48"/>
      <c r="O201" s="48">
        <v>370974</v>
      </c>
      <c r="P201" s="48"/>
      <c r="Q201" s="48">
        <v>0</v>
      </c>
      <c r="R201" s="48"/>
      <c r="S201" s="48">
        <f t="shared" si="5"/>
        <v>2865138</v>
      </c>
      <c r="T201" s="44"/>
      <c r="U201" s="48">
        <v>296389</v>
      </c>
      <c r="W201" s="44">
        <f>+S201-'Stmt net assets'!O201-U201</f>
        <v>0</v>
      </c>
    </row>
    <row r="202" spans="1:32" s="65" customFormat="1" ht="12.75" customHeight="1">
      <c r="A202" s="35" t="s">
        <v>231</v>
      </c>
      <c r="B202" s="51"/>
      <c r="C202" s="35" t="s">
        <v>27</v>
      </c>
      <c r="D202" s="35"/>
      <c r="E202" s="48">
        <v>5620000</v>
      </c>
      <c r="F202" s="48"/>
      <c r="G202" s="48">
        <v>167497</v>
      </c>
      <c r="H202" s="48"/>
      <c r="I202" s="48">
        <v>0</v>
      </c>
      <c r="J202" s="48"/>
      <c r="K202" s="48">
        <f>10519826+259883</f>
        <v>10779709</v>
      </c>
      <c r="L202" s="48"/>
      <c r="M202" s="48">
        <v>0</v>
      </c>
      <c r="N202" s="48"/>
      <c r="O202" s="48">
        <v>3474833</v>
      </c>
      <c r="P202" s="48"/>
      <c r="Q202" s="48">
        <f>40000+118645</f>
        <v>158645</v>
      </c>
      <c r="R202" s="48"/>
      <c r="S202" s="48">
        <f t="shared" si="5"/>
        <v>20200684</v>
      </c>
      <c r="T202" s="44"/>
      <c r="U202" s="48">
        <v>3152406</v>
      </c>
      <c r="W202" s="44">
        <f>+S202-'Stmt net assets'!O202-U202</f>
        <v>0</v>
      </c>
    </row>
    <row r="203" spans="1:32" s="65" customFormat="1" ht="12.75" customHeight="1">
      <c r="A203" s="35" t="s">
        <v>232</v>
      </c>
      <c r="B203" s="51"/>
      <c r="C203" s="35" t="s">
        <v>27</v>
      </c>
      <c r="D203" s="35"/>
      <c r="E203" s="48">
        <v>6083267</v>
      </c>
      <c r="F203" s="48"/>
      <c r="G203" s="48">
        <v>190000</v>
      </c>
      <c r="H203" s="48"/>
      <c r="I203" s="48">
        <v>2001739</v>
      </c>
      <c r="J203" s="48"/>
      <c r="K203" s="48">
        <f>2235704+1724826</f>
        <v>3960530</v>
      </c>
      <c r="L203" s="48"/>
      <c r="M203" s="48">
        <v>217631</v>
      </c>
      <c r="N203" s="48"/>
      <c r="O203" s="48">
        <v>889893</v>
      </c>
      <c r="P203" s="48"/>
      <c r="Q203" s="48">
        <v>295528</v>
      </c>
      <c r="R203" s="48"/>
      <c r="S203" s="48">
        <f t="shared" si="5"/>
        <v>13638588</v>
      </c>
      <c r="T203" s="44"/>
      <c r="U203" s="48">
        <v>1394688</v>
      </c>
      <c r="W203" s="44">
        <f>+S203-'Stmt net assets'!O203-U203</f>
        <v>0</v>
      </c>
    </row>
    <row r="204" spans="1:32" s="65" customFormat="1" ht="12.75" customHeight="1">
      <c r="A204" s="35" t="s">
        <v>233</v>
      </c>
      <c r="B204" s="51"/>
      <c r="C204" s="35" t="s">
        <v>111</v>
      </c>
      <c r="D204" s="35"/>
      <c r="E204" s="48">
        <v>13001555</v>
      </c>
      <c r="F204" s="48"/>
      <c r="G204" s="48">
        <v>2360000</v>
      </c>
      <c r="H204" s="48"/>
      <c r="I204" s="48">
        <v>0</v>
      </c>
      <c r="J204" s="48"/>
      <c r="K204" s="48">
        <v>0</v>
      </c>
      <c r="L204" s="48"/>
      <c r="M204" s="48">
        <v>0</v>
      </c>
      <c r="N204" s="48"/>
      <c r="O204" s="48">
        <v>265775</v>
      </c>
      <c r="P204" s="48"/>
      <c r="Q204" s="48">
        <v>0</v>
      </c>
      <c r="R204" s="48"/>
      <c r="S204" s="48">
        <f t="shared" si="5"/>
        <v>15627330</v>
      </c>
      <c r="T204" s="44"/>
      <c r="U204" s="48">
        <v>1159516</v>
      </c>
      <c r="W204" s="44">
        <f>+S204-'Stmt net assets'!O204-U204</f>
        <v>0</v>
      </c>
    </row>
    <row r="205" spans="1:32" s="65" customFormat="1" ht="12.75" customHeight="1">
      <c r="A205" s="35" t="s">
        <v>234</v>
      </c>
      <c r="B205" s="51"/>
      <c r="C205" s="35" t="s">
        <v>45</v>
      </c>
      <c r="D205" s="35"/>
      <c r="E205" s="48">
        <f>2707192+1</f>
        <v>2707193</v>
      </c>
      <c r="F205" s="48"/>
      <c r="G205" s="48">
        <v>0</v>
      </c>
      <c r="H205" s="48"/>
      <c r="I205" s="48">
        <v>0</v>
      </c>
      <c r="J205" s="48"/>
      <c r="K205" s="48">
        <v>0</v>
      </c>
      <c r="L205" s="48"/>
      <c r="M205" s="48">
        <v>21304</v>
      </c>
      <c r="N205" s="48"/>
      <c r="O205" s="48">
        <v>661967</v>
      </c>
      <c r="P205" s="48"/>
      <c r="Q205" s="48">
        <v>2533942</v>
      </c>
      <c r="R205" s="48"/>
      <c r="S205" s="48">
        <f t="shared" si="5"/>
        <v>5924406</v>
      </c>
      <c r="T205" s="44"/>
      <c r="U205" s="48">
        <f>664221+8585</f>
        <v>672806</v>
      </c>
      <c r="W205" s="44">
        <f>+S205-'Stmt net assets'!O205-U205</f>
        <v>0</v>
      </c>
    </row>
    <row r="206" spans="1:32" s="65" customFormat="1" ht="12.75" customHeight="1">
      <c r="A206" s="35" t="s">
        <v>235</v>
      </c>
      <c r="B206" s="51"/>
      <c r="C206" s="35" t="s">
        <v>183</v>
      </c>
      <c r="D206" s="35"/>
      <c r="E206" s="48">
        <f>9951000-192000+95000-7000</f>
        <v>9847000</v>
      </c>
      <c r="F206" s="48"/>
      <c r="G206" s="48">
        <f>179000+130000</f>
        <v>309000</v>
      </c>
      <c r="H206" s="48"/>
      <c r="I206" s="48">
        <v>0</v>
      </c>
      <c r="J206" s="48"/>
      <c r="K206" s="48">
        <v>5000000</v>
      </c>
      <c r="L206" s="48"/>
      <c r="M206" s="48">
        <v>0</v>
      </c>
      <c r="N206" s="48"/>
      <c r="O206" s="48">
        <v>7626000</v>
      </c>
      <c r="P206" s="48"/>
      <c r="Q206" s="48">
        <v>1401000</v>
      </c>
      <c r="R206" s="48"/>
      <c r="S206" s="48">
        <f t="shared" si="5"/>
        <v>24183000</v>
      </c>
      <c r="T206" s="44"/>
      <c r="U206" s="48">
        <v>3950000</v>
      </c>
      <c r="W206" s="44">
        <f>+S206-'Stmt net assets'!O206-U206</f>
        <v>262</v>
      </c>
      <c r="Y206" s="65" t="s">
        <v>506</v>
      </c>
    </row>
    <row r="207" spans="1:32" s="65" customFormat="1" ht="12.75" customHeight="1">
      <c r="A207" s="35" t="s">
        <v>236</v>
      </c>
      <c r="B207" s="51"/>
      <c r="C207" s="35" t="s">
        <v>45</v>
      </c>
      <c r="D207" s="35"/>
      <c r="E207" s="48">
        <v>1900000</v>
      </c>
      <c r="F207" s="48"/>
      <c r="G207" s="48">
        <v>0</v>
      </c>
      <c r="H207" s="48"/>
      <c r="I207" s="48">
        <v>0</v>
      </c>
      <c r="J207" s="48"/>
      <c r="K207" s="48">
        <v>28631</v>
      </c>
      <c r="L207" s="48"/>
      <c r="M207" s="48">
        <v>0</v>
      </c>
      <c r="N207" s="48"/>
      <c r="O207" s="48">
        <v>1629706</v>
      </c>
      <c r="P207" s="48"/>
      <c r="Q207" s="48">
        <v>765494</v>
      </c>
      <c r="R207" s="48"/>
      <c r="S207" s="48">
        <f t="shared" si="5"/>
        <v>4323831</v>
      </c>
      <c r="T207" s="44"/>
      <c r="U207" s="48">
        <v>167507</v>
      </c>
      <c r="W207" s="44">
        <f>+S207-'Stmt net assets'!O207-U207</f>
        <v>0</v>
      </c>
    </row>
    <row r="208" spans="1:32" s="65" customFormat="1" ht="12.75" customHeight="1">
      <c r="A208" s="35" t="s">
        <v>237</v>
      </c>
      <c r="B208" s="51"/>
      <c r="C208" s="35" t="s">
        <v>33</v>
      </c>
      <c r="D208" s="35"/>
      <c r="E208" s="48">
        <v>210000</v>
      </c>
      <c r="F208" s="48"/>
      <c r="G208" s="48">
        <v>0</v>
      </c>
      <c r="H208" s="48"/>
      <c r="I208" s="48">
        <v>0</v>
      </c>
      <c r="J208" s="48"/>
      <c r="K208" s="48">
        <f>206217+824245</f>
        <v>1030462</v>
      </c>
      <c r="L208" s="48"/>
      <c r="M208" s="48">
        <v>19954</v>
      </c>
      <c r="N208" s="48"/>
      <c r="O208" s="48">
        <v>90840</v>
      </c>
      <c r="P208" s="48"/>
      <c r="Q208" s="48">
        <v>0</v>
      </c>
      <c r="R208" s="48"/>
      <c r="S208" s="48">
        <f t="shared" si="5"/>
        <v>1351256</v>
      </c>
      <c r="T208" s="44"/>
      <c r="U208" s="48">
        <v>157687</v>
      </c>
      <c r="W208" s="44">
        <f>+S208-'Stmt net assets'!O208-U208</f>
        <v>0</v>
      </c>
    </row>
    <row r="209" spans="1:23" s="65" customFormat="1" ht="12.75" customHeight="1">
      <c r="A209" s="35" t="s">
        <v>238</v>
      </c>
      <c r="B209" s="51"/>
      <c r="C209" s="35" t="s">
        <v>239</v>
      </c>
      <c r="D209" s="35"/>
      <c r="E209" s="48">
        <v>0</v>
      </c>
      <c r="F209" s="48"/>
      <c r="G209" s="48">
        <v>0</v>
      </c>
      <c r="H209" s="48"/>
      <c r="I209" s="48">
        <v>100000</v>
      </c>
      <c r="J209" s="48"/>
      <c r="K209" s="48">
        <v>0</v>
      </c>
      <c r="L209" s="48"/>
      <c r="M209" s="48">
        <v>0</v>
      </c>
      <c r="N209" s="48"/>
      <c r="O209" s="48">
        <v>403482</v>
      </c>
      <c r="P209" s="48"/>
      <c r="Q209" s="48">
        <v>0</v>
      </c>
      <c r="R209" s="48"/>
      <c r="S209" s="48">
        <f t="shared" si="5"/>
        <v>503482</v>
      </c>
      <c r="T209" s="44"/>
      <c r="U209" s="48">
        <v>179966</v>
      </c>
      <c r="W209" s="44">
        <f>+S209-'Stmt net assets'!O209-U209</f>
        <v>0</v>
      </c>
    </row>
    <row r="210" spans="1:23" s="65" customFormat="1" ht="12.75" customHeight="1">
      <c r="A210" s="35" t="s">
        <v>486</v>
      </c>
      <c r="B210" s="51"/>
      <c r="C210" s="35" t="s">
        <v>249</v>
      </c>
      <c r="D210" s="35"/>
      <c r="E210" s="48">
        <f>3497922+130707</f>
        <v>3628629</v>
      </c>
      <c r="F210" s="48"/>
      <c r="G210" s="48">
        <v>0</v>
      </c>
      <c r="H210" s="48"/>
      <c r="I210" s="48">
        <v>0</v>
      </c>
      <c r="J210" s="48"/>
      <c r="K210" s="48">
        <v>1059760</v>
      </c>
      <c r="L210" s="48"/>
      <c r="M210" s="48">
        <v>7326</v>
      </c>
      <c r="N210" s="48"/>
      <c r="O210" s="48">
        <v>1520566</v>
      </c>
      <c r="P210" s="48"/>
      <c r="Q210" s="48">
        <v>1945885</v>
      </c>
      <c r="R210" s="48"/>
      <c r="S210" s="48">
        <f t="shared" si="5"/>
        <v>8162166</v>
      </c>
      <c r="T210" s="44"/>
      <c r="U210" s="48">
        <v>300709</v>
      </c>
      <c r="W210" s="44">
        <f>+S210-'Stmt net assets'!O210-U210</f>
        <v>0</v>
      </c>
    </row>
    <row r="211" spans="1:23" s="65" customFormat="1" ht="12.75" customHeight="1">
      <c r="A211" s="35" t="s">
        <v>240</v>
      </c>
      <c r="B211" s="51"/>
      <c r="C211" s="35" t="s">
        <v>13</v>
      </c>
      <c r="D211" s="35"/>
      <c r="E211" s="48">
        <v>15431031</v>
      </c>
      <c r="F211" s="48"/>
      <c r="G211" s="48">
        <v>0</v>
      </c>
      <c r="H211" s="48"/>
      <c r="I211" s="48">
        <v>7125000</v>
      </c>
      <c r="J211" s="48"/>
      <c r="K211" s="48">
        <v>0</v>
      </c>
      <c r="L211" s="48"/>
      <c r="M211" s="48">
        <v>1167369</v>
      </c>
      <c r="N211" s="48"/>
      <c r="O211" s="48">
        <v>4729823</v>
      </c>
      <c r="P211" s="48"/>
      <c r="Q211" s="48">
        <v>0</v>
      </c>
      <c r="R211" s="48"/>
      <c r="S211" s="48">
        <f t="shared" si="5"/>
        <v>28453223</v>
      </c>
      <c r="T211" s="44"/>
      <c r="U211" s="48">
        <v>2014284</v>
      </c>
      <c r="W211" s="44">
        <f>+S211-'Stmt net assets'!O211-U211</f>
        <v>0</v>
      </c>
    </row>
    <row r="212" spans="1:23" s="66" customFormat="1" ht="12.75" customHeight="1">
      <c r="A212" s="35" t="s">
        <v>241</v>
      </c>
      <c r="B212" s="51"/>
      <c r="C212" s="35" t="s">
        <v>22</v>
      </c>
      <c r="D212" s="35"/>
      <c r="E212" s="48">
        <f>2550000+13161-66365</f>
        <v>2496796</v>
      </c>
      <c r="F212" s="48"/>
      <c r="G212" s="48">
        <v>0</v>
      </c>
      <c r="H212" s="48"/>
      <c r="I212" s="48">
        <v>0</v>
      </c>
      <c r="J212" s="48"/>
      <c r="K212" s="48">
        <v>111291</v>
      </c>
      <c r="L212" s="48"/>
      <c r="M212" s="48">
        <v>464550</v>
      </c>
      <c r="N212" s="48"/>
      <c r="O212" s="48">
        <v>362876</v>
      </c>
      <c r="P212" s="48"/>
      <c r="Q212" s="48">
        <f>1650432+716989</f>
        <v>2367421</v>
      </c>
      <c r="R212" s="48"/>
      <c r="S212" s="48">
        <f t="shared" si="5"/>
        <v>5802934</v>
      </c>
      <c r="T212" s="44"/>
      <c r="U212" s="48">
        <v>802027</v>
      </c>
      <c r="V212" s="65"/>
      <c r="W212" s="44">
        <f>+S212-'Stmt net assets'!O212-U212</f>
        <v>0</v>
      </c>
    </row>
    <row r="213" spans="1:23" s="65" customFormat="1" ht="12.75" customHeight="1">
      <c r="A213" s="35" t="s">
        <v>242</v>
      </c>
      <c r="B213" s="51"/>
      <c r="C213" s="35" t="s">
        <v>27</v>
      </c>
      <c r="D213" s="35"/>
      <c r="E213" s="48">
        <f>55745000+753689</f>
        <v>56498689</v>
      </c>
      <c r="F213" s="48"/>
      <c r="G213" s="48">
        <v>1035000</v>
      </c>
      <c r="H213" s="48"/>
      <c r="I213" s="48">
        <v>0</v>
      </c>
      <c r="J213" s="48"/>
      <c r="K213" s="48">
        <v>0</v>
      </c>
      <c r="L213" s="48"/>
      <c r="M213" s="48">
        <v>0</v>
      </c>
      <c r="N213" s="48"/>
      <c r="O213" s="48">
        <v>3252523</v>
      </c>
      <c r="P213" s="48"/>
      <c r="Q213" s="48">
        <v>547493</v>
      </c>
      <c r="R213" s="48"/>
      <c r="S213" s="48">
        <f t="shared" si="5"/>
        <v>61333705</v>
      </c>
      <c r="T213" s="44"/>
      <c r="U213" s="48">
        <v>4065815</v>
      </c>
      <c r="W213" s="44">
        <f>+S213-'Stmt net assets'!O213-U213</f>
        <v>0</v>
      </c>
    </row>
    <row r="214" spans="1:23" s="65" customFormat="1" ht="12.75" customHeight="1">
      <c r="A214" s="35" t="s">
        <v>243</v>
      </c>
      <c r="C214" s="35" t="s">
        <v>163</v>
      </c>
      <c r="D214" s="35"/>
      <c r="E214" s="48">
        <v>13085000</v>
      </c>
      <c r="F214" s="48"/>
      <c r="G214" s="48">
        <v>0</v>
      </c>
      <c r="H214" s="48"/>
      <c r="I214" s="48">
        <f>6950000+209759</f>
        <v>7159759</v>
      </c>
      <c r="J214" s="48"/>
      <c r="K214" s="48">
        <v>0</v>
      </c>
      <c r="L214" s="48"/>
      <c r="M214" s="48">
        <v>0</v>
      </c>
      <c r="N214" s="48"/>
      <c r="O214" s="48">
        <v>1295964</v>
      </c>
      <c r="P214" s="48"/>
      <c r="Q214" s="48">
        <v>0</v>
      </c>
      <c r="R214" s="48"/>
      <c r="S214" s="48">
        <f t="shared" ref="S214:S248" si="6">SUM(E214:Q214)</f>
        <v>21540723</v>
      </c>
      <c r="T214" s="44"/>
      <c r="U214" s="48">
        <v>7840488</v>
      </c>
      <c r="W214" s="44">
        <f>+S214-'Stmt net assets'!O214-U214</f>
        <v>0</v>
      </c>
    </row>
    <row r="215" spans="1:23" s="65" customFormat="1" ht="12.75" customHeight="1">
      <c r="A215" s="35" t="s">
        <v>244</v>
      </c>
      <c r="B215" s="51"/>
      <c r="C215" s="35" t="s">
        <v>13</v>
      </c>
      <c r="D215" s="35"/>
      <c r="E215" s="48">
        <f>10579000+99801-26096-68224</f>
        <v>10584481</v>
      </c>
      <c r="F215" s="48"/>
      <c r="G215" s="48">
        <v>690000</v>
      </c>
      <c r="H215" s="48"/>
      <c r="I215" s="48">
        <v>0</v>
      </c>
      <c r="J215" s="48"/>
      <c r="K215" s="48">
        <v>0</v>
      </c>
      <c r="L215" s="48"/>
      <c r="M215" s="48">
        <v>132950</v>
      </c>
      <c r="N215" s="48"/>
      <c r="O215" s="48">
        <v>739005</v>
      </c>
      <c r="P215" s="48"/>
      <c r="Q215" s="48">
        <v>250000</v>
      </c>
      <c r="R215" s="48"/>
      <c r="S215" s="48">
        <f t="shared" si="6"/>
        <v>12396436</v>
      </c>
      <c r="T215" s="44"/>
      <c r="U215" s="48">
        <v>915733</v>
      </c>
      <c r="W215" s="44">
        <f>+S215-'Stmt net assets'!O215-U215</f>
        <v>0</v>
      </c>
    </row>
    <row r="216" spans="1:23" s="65" customFormat="1" ht="12.75" customHeight="1">
      <c r="A216" s="35" t="s">
        <v>341</v>
      </c>
      <c r="B216" s="51"/>
      <c r="C216" s="35" t="s">
        <v>110</v>
      </c>
      <c r="D216" s="35"/>
      <c r="E216" s="48">
        <f>2395000+45308</f>
        <v>2440308</v>
      </c>
      <c r="F216" s="48"/>
      <c r="G216" s="48">
        <v>345000</v>
      </c>
      <c r="H216" s="48"/>
      <c r="I216" s="48">
        <v>0</v>
      </c>
      <c r="J216" s="48"/>
      <c r="K216" s="48">
        <v>0</v>
      </c>
      <c r="L216" s="48"/>
      <c r="M216" s="48">
        <v>79501</v>
      </c>
      <c r="N216" s="48"/>
      <c r="O216" s="48">
        <v>1006786</v>
      </c>
      <c r="P216" s="48"/>
      <c r="Q216" s="48">
        <v>0</v>
      </c>
      <c r="R216" s="48"/>
      <c r="S216" s="48">
        <f t="shared" si="6"/>
        <v>3871595</v>
      </c>
      <c r="T216" s="44"/>
      <c r="U216" s="48">
        <v>667030</v>
      </c>
      <c r="W216" s="44">
        <f>+S216-'Stmt net assets'!O216-U216</f>
        <v>10000</v>
      </c>
    </row>
    <row r="217" spans="1:23" s="65" customFormat="1" ht="12.75" customHeight="1">
      <c r="A217" s="35" t="s">
        <v>246</v>
      </c>
      <c r="B217" s="51"/>
      <c r="C217" s="35" t="s">
        <v>209</v>
      </c>
      <c r="D217" s="35"/>
      <c r="E217" s="48">
        <v>3180000</v>
      </c>
      <c r="F217" s="48"/>
      <c r="G217" s="48">
        <v>715000</v>
      </c>
      <c r="H217" s="48"/>
      <c r="I217" s="48">
        <v>0</v>
      </c>
      <c r="J217" s="48"/>
      <c r="K217" s="48">
        <v>0</v>
      </c>
      <c r="L217" s="48"/>
      <c r="M217" s="48">
        <v>0</v>
      </c>
      <c r="N217" s="48"/>
      <c r="O217" s="48">
        <v>682157</v>
      </c>
      <c r="P217" s="48"/>
      <c r="Q217" s="48">
        <v>0</v>
      </c>
      <c r="R217" s="48"/>
      <c r="S217" s="48">
        <f t="shared" si="6"/>
        <v>4577157</v>
      </c>
      <c r="T217" s="44"/>
      <c r="U217" s="48">
        <v>1103226</v>
      </c>
      <c r="W217" s="44">
        <f>+S217-'Stmt net assets'!O217-U217</f>
        <v>0</v>
      </c>
    </row>
    <row r="218" spans="1:23" s="65" customFormat="1" ht="12.75" customHeight="1">
      <c r="A218" s="35" t="s">
        <v>247</v>
      </c>
      <c r="C218" s="35" t="s">
        <v>163</v>
      </c>
      <c r="D218" s="35"/>
      <c r="E218" s="48">
        <f>110766000+150000</f>
        <v>110916000</v>
      </c>
      <c r="F218" s="48"/>
      <c r="G218" s="48">
        <v>0</v>
      </c>
      <c r="H218" s="48"/>
      <c r="I218" s="48">
        <v>55210000</v>
      </c>
      <c r="J218" s="48"/>
      <c r="K218" s="48">
        <v>48913000</v>
      </c>
      <c r="L218" s="48"/>
      <c r="M218" s="48">
        <v>4726000</v>
      </c>
      <c r="N218" s="48"/>
      <c r="O218" s="48">
        <v>41508000</v>
      </c>
      <c r="P218" s="48"/>
      <c r="Q218" s="48">
        <f>14989000+5100000</f>
        <v>20089000</v>
      </c>
      <c r="R218" s="48"/>
      <c r="S218" s="48">
        <f t="shared" si="6"/>
        <v>281362000</v>
      </c>
      <c r="T218" s="44"/>
      <c r="U218" s="48">
        <v>53006000</v>
      </c>
      <c r="W218" s="44">
        <f>+S218-'Stmt net assets'!O218-U218</f>
        <v>0</v>
      </c>
    </row>
    <row r="219" spans="1:23" s="65" customFormat="1" ht="12.75" customHeight="1">
      <c r="A219" s="35" t="s">
        <v>248</v>
      </c>
      <c r="C219" s="35" t="s">
        <v>249</v>
      </c>
      <c r="D219" s="35"/>
      <c r="E219" s="48">
        <v>34854</v>
      </c>
      <c r="F219" s="48"/>
      <c r="G219" s="48">
        <v>0</v>
      </c>
      <c r="H219" s="48"/>
      <c r="I219" s="48">
        <v>0</v>
      </c>
      <c r="J219" s="48"/>
      <c r="K219" s="48">
        <f>701133+111971</f>
        <v>813104</v>
      </c>
      <c r="L219" s="48"/>
      <c r="M219" s="48">
        <v>0</v>
      </c>
      <c r="N219" s="48"/>
      <c r="O219" s="48">
        <v>410463</v>
      </c>
      <c r="P219" s="48"/>
      <c r="Q219" s="48">
        <v>0</v>
      </c>
      <c r="R219" s="48"/>
      <c r="S219" s="48">
        <f t="shared" si="6"/>
        <v>1258421</v>
      </c>
      <c r="T219" s="44"/>
      <c r="U219" s="48">
        <v>127833</v>
      </c>
      <c r="W219" s="44">
        <f>+S219-'Stmt net assets'!O219-U219</f>
        <v>1017000</v>
      </c>
    </row>
    <row r="220" spans="1:23" s="65" customFormat="1" ht="12.75" customHeight="1">
      <c r="A220" s="35" t="s">
        <v>250</v>
      </c>
      <c r="B220" s="51"/>
      <c r="C220" s="35" t="s">
        <v>103</v>
      </c>
      <c r="D220" s="35"/>
      <c r="E220" s="48">
        <f>199004+55167</f>
        <v>254171</v>
      </c>
      <c r="F220" s="48"/>
      <c r="G220" s="48">
        <v>0</v>
      </c>
      <c r="H220" s="48"/>
      <c r="I220" s="48">
        <v>0</v>
      </c>
      <c r="J220" s="48"/>
      <c r="K220" s="48">
        <v>0</v>
      </c>
      <c r="L220" s="48"/>
      <c r="M220" s="48">
        <v>0</v>
      </c>
      <c r="N220" s="48"/>
      <c r="O220" s="48">
        <v>197057</v>
      </c>
      <c r="P220" s="48"/>
      <c r="Q220" s="48">
        <v>0</v>
      </c>
      <c r="R220" s="48"/>
      <c r="S220" s="48">
        <f t="shared" si="6"/>
        <v>451228</v>
      </c>
      <c r="T220" s="44"/>
      <c r="U220" s="48">
        <v>163655</v>
      </c>
      <c r="W220" s="44">
        <f>+S220-'Stmt net assets'!O220-U220</f>
        <v>0</v>
      </c>
    </row>
    <row r="221" spans="1:23" s="125" customFormat="1" ht="12.75" hidden="1" customHeight="1">
      <c r="A221" s="126" t="s">
        <v>251</v>
      </c>
      <c r="B221" s="124"/>
      <c r="C221" s="126" t="s">
        <v>66</v>
      </c>
      <c r="D221" s="126"/>
      <c r="E221" s="130">
        <v>0</v>
      </c>
      <c r="F221" s="130"/>
      <c r="G221" s="130">
        <v>0</v>
      </c>
      <c r="H221" s="130"/>
      <c r="I221" s="130">
        <v>0</v>
      </c>
      <c r="J221" s="130"/>
      <c r="K221" s="130">
        <v>0</v>
      </c>
      <c r="L221" s="130"/>
      <c r="M221" s="130">
        <v>0</v>
      </c>
      <c r="N221" s="130"/>
      <c r="O221" s="130">
        <v>0</v>
      </c>
      <c r="P221" s="130"/>
      <c r="Q221" s="130">
        <v>0</v>
      </c>
      <c r="R221" s="130"/>
      <c r="S221" s="130">
        <f t="shared" si="6"/>
        <v>0</v>
      </c>
      <c r="T221" s="121"/>
      <c r="U221" s="130">
        <v>0</v>
      </c>
      <c r="W221" s="121">
        <f>+S221-'Stmt net assets'!O221-U221</f>
        <v>0</v>
      </c>
    </row>
    <row r="222" spans="1:23" s="65" customFormat="1" ht="12.75" customHeight="1">
      <c r="A222" s="35" t="s">
        <v>252</v>
      </c>
      <c r="B222" s="51"/>
      <c r="C222" s="35" t="s">
        <v>209</v>
      </c>
      <c r="D222" s="35"/>
      <c r="E222" s="48">
        <v>9630000</v>
      </c>
      <c r="F222" s="48"/>
      <c r="G222" s="48">
        <v>10000</v>
      </c>
      <c r="H222" s="48"/>
      <c r="I222" s="48">
        <v>0</v>
      </c>
      <c r="J222" s="48"/>
      <c r="K222" s="48">
        <v>0</v>
      </c>
      <c r="L222" s="48"/>
      <c r="M222" s="48">
        <v>0</v>
      </c>
      <c r="N222" s="48"/>
      <c r="O222" s="48">
        <v>2108009</v>
      </c>
      <c r="P222" s="48"/>
      <c r="Q222" s="48">
        <v>0</v>
      </c>
      <c r="R222" s="48"/>
      <c r="S222" s="48">
        <f t="shared" si="6"/>
        <v>11748009</v>
      </c>
      <c r="T222" s="44"/>
      <c r="U222" s="48">
        <v>1132380</v>
      </c>
      <c r="W222" s="44">
        <f>+S222-'Stmt net assets'!O222-U222</f>
        <v>-90000000</v>
      </c>
    </row>
    <row r="223" spans="1:23" s="65" customFormat="1" ht="12.75" customHeight="1">
      <c r="A223" s="35" t="s">
        <v>253</v>
      </c>
      <c r="B223" s="51"/>
      <c r="C223" s="35" t="s">
        <v>13</v>
      </c>
      <c r="D223" s="35"/>
      <c r="E223" s="48">
        <v>10670024</v>
      </c>
      <c r="F223" s="48"/>
      <c r="G223" s="48">
        <v>287000</v>
      </c>
      <c r="H223" s="48"/>
      <c r="I223" s="48">
        <v>0</v>
      </c>
      <c r="J223" s="48"/>
      <c r="K223" s="48">
        <f>1008765+774801+342965+343808+711964</f>
        <v>3182303</v>
      </c>
      <c r="L223" s="48"/>
      <c r="M223" s="48">
        <v>119428</v>
      </c>
      <c r="N223" s="48"/>
      <c r="O223" s="48">
        <v>1694365</v>
      </c>
      <c r="P223" s="48"/>
      <c r="Q223" s="48">
        <v>0</v>
      </c>
      <c r="R223" s="48"/>
      <c r="S223" s="48">
        <f t="shared" si="6"/>
        <v>15953120</v>
      </c>
      <c r="T223" s="44"/>
      <c r="U223" s="48">
        <v>1602786</v>
      </c>
      <c r="W223" s="44">
        <f>+S223-'Stmt net assets'!O223-U223</f>
        <v>0</v>
      </c>
    </row>
    <row r="224" spans="1:23" s="65" customFormat="1" ht="12" customHeight="1">
      <c r="A224" s="35" t="s">
        <v>254</v>
      </c>
      <c r="B224" s="51"/>
      <c r="C224" s="35" t="s">
        <v>89</v>
      </c>
      <c r="D224" s="35"/>
      <c r="E224" s="48">
        <v>0</v>
      </c>
      <c r="F224" s="48"/>
      <c r="G224" s="48">
        <v>0</v>
      </c>
      <c r="H224" s="48"/>
      <c r="I224" s="48">
        <v>0</v>
      </c>
      <c r="J224" s="48"/>
      <c r="K224" s="48">
        <f>280000+665714+295347+278590+77360</f>
        <v>1597011</v>
      </c>
      <c r="L224" s="48"/>
      <c r="M224" s="48">
        <v>411495</v>
      </c>
      <c r="N224" s="48"/>
      <c r="O224" s="48">
        <v>210821</v>
      </c>
      <c r="P224" s="48"/>
      <c r="Q224" s="48">
        <v>289924</v>
      </c>
      <c r="R224" s="48"/>
      <c r="S224" s="48">
        <f t="shared" si="6"/>
        <v>2509251</v>
      </c>
      <c r="T224" s="44"/>
      <c r="U224" s="48">
        <v>234318</v>
      </c>
      <c r="W224" s="44">
        <f>+S224-'Stmt net assets'!O224-U224</f>
        <v>0</v>
      </c>
    </row>
    <row r="225" spans="1:23" s="65" customFormat="1" ht="12.75" customHeight="1">
      <c r="A225" s="35" t="s">
        <v>159</v>
      </c>
      <c r="C225" s="35" t="s">
        <v>66</v>
      </c>
      <c r="D225" s="35"/>
      <c r="E225" s="48">
        <v>1234250</v>
      </c>
      <c r="F225" s="48"/>
      <c r="G225" s="48">
        <v>0</v>
      </c>
      <c r="H225" s="48"/>
      <c r="I225" s="48">
        <v>0</v>
      </c>
      <c r="J225" s="48"/>
      <c r="K225" s="48">
        <v>0</v>
      </c>
      <c r="L225" s="48"/>
      <c r="M225" s="48">
        <v>66891</v>
      </c>
      <c r="N225" s="48"/>
      <c r="O225" s="48">
        <v>98856</v>
      </c>
      <c r="P225" s="48"/>
      <c r="Q225" s="48">
        <v>0</v>
      </c>
      <c r="R225" s="48"/>
      <c r="S225" s="48">
        <f t="shared" si="6"/>
        <v>1399997</v>
      </c>
      <c r="T225" s="44"/>
      <c r="U225" s="48">
        <v>115471</v>
      </c>
      <c r="W225" s="44">
        <f>+S225-'Stmt net assets'!O225-U225</f>
        <v>0</v>
      </c>
    </row>
    <row r="226" spans="1:23" s="65" customFormat="1" ht="12.75" customHeight="1">
      <c r="A226" s="35" t="s">
        <v>255</v>
      </c>
      <c r="B226" s="51"/>
      <c r="C226" s="35" t="s">
        <v>27</v>
      </c>
      <c r="D226" s="35"/>
      <c r="E226" s="48">
        <v>520000</v>
      </c>
      <c r="F226" s="48"/>
      <c r="G226" s="48">
        <v>0</v>
      </c>
      <c r="H226" s="48"/>
      <c r="I226" s="48">
        <v>2901000</v>
      </c>
      <c r="J226" s="48"/>
      <c r="K226" s="48">
        <f>214423+219360+272534</f>
        <v>706317</v>
      </c>
      <c r="L226" s="48"/>
      <c r="M226" s="48">
        <v>283400</v>
      </c>
      <c r="N226" s="48"/>
      <c r="O226" s="48">
        <v>1375012</v>
      </c>
      <c r="P226" s="48"/>
      <c r="Q226" s="48">
        <v>1496927</v>
      </c>
      <c r="R226" s="48"/>
      <c r="S226" s="48">
        <f t="shared" si="6"/>
        <v>7282656</v>
      </c>
      <c r="T226" s="44"/>
      <c r="U226" s="48">
        <v>5401408</v>
      </c>
      <c r="W226" s="44">
        <f>+S226-'Stmt net assets'!O226-U226</f>
        <v>0</v>
      </c>
    </row>
    <row r="227" spans="1:23" s="65" customFormat="1" ht="12.75" customHeight="1">
      <c r="A227" s="35" t="s">
        <v>256</v>
      </c>
      <c r="C227" s="35" t="s">
        <v>43</v>
      </c>
      <c r="D227" s="35"/>
      <c r="E227" s="48">
        <f>42994994+68436+504405-370752</f>
        <v>43197083</v>
      </c>
      <c r="F227" s="48"/>
      <c r="G227" s="48">
        <v>905000</v>
      </c>
      <c r="H227" s="48"/>
      <c r="I227" s="48">
        <v>0</v>
      </c>
      <c r="J227" s="48"/>
      <c r="K227" s="48">
        <v>0</v>
      </c>
      <c r="L227" s="48"/>
      <c r="M227" s="48">
        <v>0</v>
      </c>
      <c r="N227" s="48"/>
      <c r="O227" s="48">
        <v>0</v>
      </c>
      <c r="P227" s="48"/>
      <c r="Q227" s="48">
        <v>0</v>
      </c>
      <c r="R227" s="48"/>
      <c r="S227" s="48">
        <f t="shared" si="6"/>
        <v>44102083</v>
      </c>
      <c r="T227" s="44"/>
      <c r="U227" s="48">
        <v>2480000</v>
      </c>
      <c r="W227" s="44">
        <f>+S227-'Stmt net assets'!O227-U227</f>
        <v>0</v>
      </c>
    </row>
    <row r="228" spans="1:23" s="65" customFormat="1" ht="12.75" customHeight="1">
      <c r="A228" s="35"/>
      <c r="B228" s="51"/>
      <c r="C228" s="35"/>
      <c r="D228" s="35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4"/>
      <c r="U228" s="48" t="s">
        <v>484</v>
      </c>
      <c r="W228" s="44"/>
    </row>
    <row r="229" spans="1:23" s="65" customFormat="1" ht="12.75" customHeight="1">
      <c r="A229" s="35" t="s">
        <v>257</v>
      </c>
      <c r="B229" s="51"/>
      <c r="C229" s="35" t="s">
        <v>258</v>
      </c>
      <c r="D229" s="35"/>
      <c r="E229" s="68">
        <v>436000</v>
      </c>
      <c r="F229" s="68"/>
      <c r="G229" s="68">
        <v>0</v>
      </c>
      <c r="H229" s="68"/>
      <c r="I229" s="68">
        <v>0</v>
      </c>
      <c r="J229" s="68"/>
      <c r="K229" s="68">
        <f>152702+56850+119750+366242+4531978+135000+176996+51570+16779</f>
        <v>5607867</v>
      </c>
      <c r="L229" s="68"/>
      <c r="M229" s="68">
        <v>9003</v>
      </c>
      <c r="N229" s="68"/>
      <c r="O229" s="68">
        <v>175689</v>
      </c>
      <c r="P229" s="68"/>
      <c r="Q229" s="68">
        <v>0</v>
      </c>
      <c r="R229" s="68"/>
      <c r="S229" s="68">
        <f t="shared" si="6"/>
        <v>6228559</v>
      </c>
      <c r="T229" s="46"/>
      <c r="U229" s="68">
        <v>629850</v>
      </c>
      <c r="W229" s="44">
        <f>+S229-'Stmt net assets'!O229-U229</f>
        <v>0</v>
      </c>
    </row>
    <row r="230" spans="1:23" s="65" customFormat="1" ht="12.75" customHeight="1">
      <c r="A230" s="35" t="s">
        <v>259</v>
      </c>
      <c r="B230" s="51"/>
      <c r="C230" s="35" t="s">
        <v>369</v>
      </c>
      <c r="D230" s="35"/>
      <c r="E230" s="48">
        <v>3159386</v>
      </c>
      <c r="F230" s="48"/>
      <c r="G230" s="48">
        <v>0</v>
      </c>
      <c r="H230" s="48"/>
      <c r="I230" s="48">
        <v>0</v>
      </c>
      <c r="J230" s="48"/>
      <c r="K230" s="48">
        <v>0</v>
      </c>
      <c r="L230" s="48"/>
      <c r="M230" s="48">
        <v>0</v>
      </c>
      <c r="N230" s="48"/>
      <c r="O230" s="48">
        <v>935233</v>
      </c>
      <c r="P230" s="48"/>
      <c r="Q230" s="48">
        <f>1163042+252201</f>
        <v>1415243</v>
      </c>
      <c r="R230" s="48"/>
      <c r="S230" s="48">
        <f t="shared" si="6"/>
        <v>5509862</v>
      </c>
      <c r="T230" s="44"/>
      <c r="U230" s="48">
        <v>894644</v>
      </c>
      <c r="W230" s="44">
        <f>+S230-'Stmt net assets'!O230-U230</f>
        <v>0</v>
      </c>
    </row>
    <row r="231" spans="1:23" s="65" customFormat="1" ht="12.75" customHeight="1">
      <c r="A231" s="35" t="s">
        <v>261</v>
      </c>
      <c r="C231" s="35" t="s">
        <v>66</v>
      </c>
      <c r="D231" s="35"/>
      <c r="E231" s="48">
        <v>12265384</v>
      </c>
      <c r="F231" s="48"/>
      <c r="G231" s="48">
        <v>0</v>
      </c>
      <c r="H231" s="48"/>
      <c r="I231" s="48">
        <v>0</v>
      </c>
      <c r="J231" s="48"/>
      <c r="K231" s="48">
        <v>0</v>
      </c>
      <c r="L231" s="48"/>
      <c r="M231" s="48">
        <v>567651</v>
      </c>
      <c r="N231" s="48"/>
      <c r="O231" s="48">
        <v>1446981</v>
      </c>
      <c r="P231" s="48"/>
      <c r="Q231" s="48">
        <v>0</v>
      </c>
      <c r="R231" s="48"/>
      <c r="S231" s="48">
        <f t="shared" si="6"/>
        <v>14280016</v>
      </c>
      <c r="T231" s="44"/>
      <c r="U231" s="48">
        <v>1761523</v>
      </c>
      <c r="W231" s="44">
        <f>+S231-'Stmt net assets'!O231-U231</f>
        <v>0</v>
      </c>
    </row>
    <row r="232" spans="1:23" s="125" customFormat="1" ht="12.75" hidden="1" customHeight="1">
      <c r="A232" s="126" t="s">
        <v>262</v>
      </c>
      <c r="C232" s="126" t="s">
        <v>132</v>
      </c>
      <c r="D232" s="126"/>
      <c r="E232" s="130">
        <v>0</v>
      </c>
      <c r="F232" s="130"/>
      <c r="G232" s="130">
        <v>0</v>
      </c>
      <c r="H232" s="130"/>
      <c r="I232" s="130">
        <v>0</v>
      </c>
      <c r="J232" s="130"/>
      <c r="K232" s="130">
        <v>0</v>
      </c>
      <c r="L232" s="130"/>
      <c r="M232" s="130">
        <v>0</v>
      </c>
      <c r="N232" s="130"/>
      <c r="O232" s="130">
        <v>0</v>
      </c>
      <c r="P232" s="130"/>
      <c r="Q232" s="130">
        <v>0</v>
      </c>
      <c r="R232" s="130"/>
      <c r="S232" s="130">
        <f t="shared" si="6"/>
        <v>0</v>
      </c>
      <c r="T232" s="121"/>
      <c r="U232" s="130">
        <v>0</v>
      </c>
      <c r="W232" s="121">
        <f>+S232-'Stmt net assets'!O232-U232</f>
        <v>0</v>
      </c>
    </row>
    <row r="233" spans="1:23" s="65" customFormat="1" ht="12.75" customHeight="1">
      <c r="A233" s="35" t="s">
        <v>263</v>
      </c>
      <c r="B233" s="51"/>
      <c r="C233" s="35" t="s">
        <v>53</v>
      </c>
      <c r="D233" s="35"/>
      <c r="E233" s="48">
        <v>20074472</v>
      </c>
      <c r="F233" s="48"/>
      <c r="G233" s="48">
        <v>0</v>
      </c>
      <c r="H233" s="48"/>
      <c r="I233" s="48">
        <v>0</v>
      </c>
      <c r="J233" s="48"/>
      <c r="K233" s="48">
        <v>0</v>
      </c>
      <c r="L233" s="48"/>
      <c r="M233" s="48">
        <v>0</v>
      </c>
      <c r="N233" s="48"/>
      <c r="O233" s="48">
        <v>3076297</v>
      </c>
      <c r="P233" s="48"/>
      <c r="Q233" s="48">
        <v>0</v>
      </c>
      <c r="R233" s="48"/>
      <c r="S233" s="48">
        <f t="shared" si="6"/>
        <v>23150769</v>
      </c>
      <c r="T233" s="44"/>
      <c r="U233" s="48">
        <v>741064</v>
      </c>
      <c r="W233" s="44">
        <f>+S233-'Stmt net assets'!O233-U233</f>
        <v>0</v>
      </c>
    </row>
    <row r="234" spans="1:23" s="65" customFormat="1" ht="12.75" customHeight="1">
      <c r="A234" s="35" t="s">
        <v>264</v>
      </c>
      <c r="B234" s="51"/>
      <c r="C234" s="35" t="s">
        <v>239</v>
      </c>
      <c r="D234" s="35"/>
      <c r="E234" s="48">
        <v>750428</v>
      </c>
      <c r="F234" s="48"/>
      <c r="G234" s="48">
        <v>0</v>
      </c>
      <c r="H234" s="48"/>
      <c r="I234" s="48">
        <v>0</v>
      </c>
      <c r="J234" s="48"/>
      <c r="K234" s="48">
        <f>54955+315374</f>
        <v>370329</v>
      </c>
      <c r="L234" s="48"/>
      <c r="M234" s="48">
        <v>0</v>
      </c>
      <c r="N234" s="48"/>
      <c r="O234" s="48">
        <v>474232</v>
      </c>
      <c r="P234" s="48"/>
      <c r="Q234" s="48">
        <v>0</v>
      </c>
      <c r="R234" s="48"/>
      <c r="S234" s="48">
        <f t="shared" si="6"/>
        <v>1594989</v>
      </c>
      <c r="T234" s="44"/>
      <c r="U234" s="48">
        <v>498985</v>
      </c>
      <c r="W234" s="44">
        <f>+S234-'Stmt net assets'!O234-U234</f>
        <v>0</v>
      </c>
    </row>
    <row r="235" spans="1:23" s="65" customFormat="1" ht="12.75" customHeight="1">
      <c r="A235" s="35" t="s">
        <v>111</v>
      </c>
      <c r="B235" s="51"/>
      <c r="C235" s="35" t="s">
        <v>80</v>
      </c>
      <c r="D235" s="35"/>
      <c r="E235" s="48">
        <f>2582500+13173-90153</f>
        <v>2505520</v>
      </c>
      <c r="F235" s="48"/>
      <c r="G235" s="48">
        <v>0</v>
      </c>
      <c r="H235" s="48"/>
      <c r="I235" s="48">
        <v>0</v>
      </c>
      <c r="J235" s="48"/>
      <c r="K235" s="48">
        <f>520000+1485000+53928+218079</f>
        <v>2277007</v>
      </c>
      <c r="L235" s="48"/>
      <c r="M235" s="48">
        <v>180152</v>
      </c>
      <c r="N235" s="48"/>
      <c r="O235" s="48">
        <v>4961810</v>
      </c>
      <c r="P235" s="48"/>
      <c r="Q235" s="48">
        <f>2576986+1496886+1529560</f>
        <v>5603432</v>
      </c>
      <c r="R235" s="48"/>
      <c r="S235" s="48">
        <f t="shared" si="6"/>
        <v>15527921</v>
      </c>
      <c r="T235" s="44"/>
      <c r="U235" s="48">
        <v>4434483</v>
      </c>
      <c r="W235" s="44">
        <f>+S235-'Stmt net assets'!O235-U235</f>
        <v>0</v>
      </c>
    </row>
    <row r="236" spans="1:23" s="65" customFormat="1" ht="12.75" customHeight="1">
      <c r="A236" s="35" t="s">
        <v>265</v>
      </c>
      <c r="B236" s="51"/>
      <c r="C236" s="35" t="s">
        <v>27</v>
      </c>
      <c r="D236" s="35"/>
      <c r="E236" s="48">
        <v>1054608</v>
      </c>
      <c r="F236" s="48"/>
      <c r="G236" s="48">
        <v>117533</v>
      </c>
      <c r="H236" s="48"/>
      <c r="I236" s="48">
        <v>12495060</v>
      </c>
      <c r="J236" s="48"/>
      <c r="K236" s="48">
        <v>0</v>
      </c>
      <c r="L236" s="48"/>
      <c r="M236" s="48">
        <v>181011</v>
      </c>
      <c r="N236" s="48"/>
      <c r="O236" s="48">
        <v>2031073</v>
      </c>
      <c r="P236" s="48"/>
      <c r="Q236" s="48">
        <f>232611+469327</f>
        <v>701938</v>
      </c>
      <c r="R236" s="48"/>
      <c r="S236" s="48">
        <f t="shared" si="6"/>
        <v>16581223</v>
      </c>
      <c r="T236" s="44"/>
      <c r="U236" s="48">
        <v>1779733</v>
      </c>
      <c r="W236" s="44">
        <f>+S236-'Stmt net assets'!O236-U236</f>
        <v>0</v>
      </c>
    </row>
    <row r="237" spans="1:23" s="65" customFormat="1" ht="12.75" customHeight="1">
      <c r="A237" s="35" t="s">
        <v>40</v>
      </c>
      <c r="B237" s="51"/>
      <c r="C237" s="47" t="s">
        <v>451</v>
      </c>
      <c r="D237" s="35"/>
      <c r="E237" s="48">
        <f>455000+1915000+6670000+3125000+196911</f>
        <v>12361911</v>
      </c>
      <c r="F237" s="48"/>
      <c r="G237" s="48">
        <v>0</v>
      </c>
      <c r="H237" s="48"/>
      <c r="I237" s="48">
        <v>1630000</v>
      </c>
      <c r="J237" s="48"/>
      <c r="K237" s="48">
        <v>232218</v>
      </c>
      <c r="L237" s="48"/>
      <c r="M237" s="48">
        <v>0</v>
      </c>
      <c r="N237" s="48"/>
      <c r="O237" s="48">
        <v>949375</v>
      </c>
      <c r="P237" s="48"/>
      <c r="Q237" s="48">
        <v>497925</v>
      </c>
      <c r="R237" s="48"/>
      <c r="S237" s="48">
        <f t="shared" si="6"/>
        <v>15671429</v>
      </c>
      <c r="T237" s="44"/>
      <c r="U237" s="48">
        <v>2449157</v>
      </c>
      <c r="W237" s="44">
        <f>+S237-'Stmt net assets'!O237-U237</f>
        <v>0</v>
      </c>
    </row>
    <row r="238" spans="1:23" s="65" customFormat="1" ht="12.75" customHeight="1">
      <c r="A238" s="35" t="s">
        <v>266</v>
      </c>
      <c r="B238" s="51"/>
      <c r="C238" s="35" t="s">
        <v>267</v>
      </c>
      <c r="D238" s="35"/>
      <c r="E238" s="48">
        <v>0</v>
      </c>
      <c r="F238" s="48"/>
      <c r="G238" s="48">
        <v>0</v>
      </c>
      <c r="H238" s="48"/>
      <c r="I238" s="48">
        <v>3000000</v>
      </c>
      <c r="J238" s="48"/>
      <c r="K238" s="48">
        <v>0</v>
      </c>
      <c r="L238" s="48"/>
      <c r="M238" s="48">
        <v>70000</v>
      </c>
      <c r="N238" s="48"/>
      <c r="O238" s="48">
        <v>327140</v>
      </c>
      <c r="P238" s="48"/>
      <c r="Q238" s="48">
        <v>0</v>
      </c>
      <c r="R238" s="48"/>
      <c r="S238" s="48">
        <f t="shared" si="6"/>
        <v>3397140</v>
      </c>
      <c r="T238" s="44"/>
      <c r="U238" s="48">
        <v>3165205</v>
      </c>
      <c r="W238" s="44">
        <f>+S238-'Stmt net assets'!O238-U238</f>
        <v>0</v>
      </c>
    </row>
    <row r="239" spans="1:23" s="65" customFormat="1" ht="12.75" customHeight="1">
      <c r="A239" s="64" t="s">
        <v>268</v>
      </c>
      <c r="B239" s="66"/>
      <c r="C239" s="64" t="s">
        <v>269</v>
      </c>
      <c r="D239" s="64"/>
      <c r="E239" s="48">
        <v>0</v>
      </c>
      <c r="F239" s="48"/>
      <c r="G239" s="48">
        <v>0</v>
      </c>
      <c r="H239" s="48"/>
      <c r="I239" s="48">
        <f>96897+186945+12789+173734+81028</f>
        <v>551393</v>
      </c>
      <c r="J239" s="48"/>
      <c r="K239" s="48">
        <f>31497+37018+98333</f>
        <v>166848</v>
      </c>
      <c r="L239" s="48"/>
      <c r="M239" s="48">
        <v>0</v>
      </c>
      <c r="N239" s="48"/>
      <c r="O239" s="48">
        <v>57006</v>
      </c>
      <c r="P239" s="48"/>
      <c r="Q239" s="48">
        <v>0</v>
      </c>
      <c r="R239" s="48"/>
      <c r="S239" s="48">
        <f t="shared" si="6"/>
        <v>775247</v>
      </c>
      <c r="T239" s="44"/>
      <c r="U239" s="48">
        <v>569081</v>
      </c>
      <c r="W239" s="44">
        <f>+S239-'Stmt net assets'!O239-U239</f>
        <v>0</v>
      </c>
    </row>
    <row r="240" spans="1:23" s="65" customFormat="1" ht="12.75" customHeight="1">
      <c r="A240" s="35" t="s">
        <v>270</v>
      </c>
      <c r="B240" s="51"/>
      <c r="C240" s="35" t="s">
        <v>136</v>
      </c>
      <c r="D240" s="35"/>
      <c r="E240" s="48">
        <v>0</v>
      </c>
      <c r="F240" s="48"/>
      <c r="G240" s="48">
        <v>0</v>
      </c>
      <c r="H240" s="48"/>
      <c r="I240" s="48">
        <v>0</v>
      </c>
      <c r="J240" s="48"/>
      <c r="K240" s="48">
        <v>325146</v>
      </c>
      <c r="L240" s="48"/>
      <c r="M240" s="48">
        <v>0</v>
      </c>
      <c r="N240" s="48"/>
      <c r="O240" s="48">
        <v>86570</v>
      </c>
      <c r="P240" s="48"/>
      <c r="Q240" s="48">
        <v>0</v>
      </c>
      <c r="R240" s="48"/>
      <c r="S240" s="48">
        <f t="shared" si="6"/>
        <v>411716</v>
      </c>
      <c r="T240" s="44"/>
      <c r="U240" s="48">
        <v>141075</v>
      </c>
      <c r="W240" s="44">
        <f>+S240-'Stmt net assets'!O240-U240</f>
        <v>0</v>
      </c>
    </row>
    <row r="241" spans="1:23" s="65" customFormat="1" ht="12.75" customHeight="1">
      <c r="A241" s="35" t="s">
        <v>271</v>
      </c>
      <c r="B241" s="51"/>
      <c r="C241" s="35" t="s">
        <v>66</v>
      </c>
      <c r="D241" s="35"/>
      <c r="E241" s="48">
        <v>3190000</v>
      </c>
      <c r="F241" s="48"/>
      <c r="G241" s="48">
        <v>0</v>
      </c>
      <c r="H241" s="48"/>
      <c r="I241" s="48">
        <v>0</v>
      </c>
      <c r="J241" s="48"/>
      <c r="K241" s="48">
        <f>20000+30000+90912+284999</f>
        <v>425911</v>
      </c>
      <c r="L241" s="48"/>
      <c r="M241" s="48">
        <v>0</v>
      </c>
      <c r="N241" s="48"/>
      <c r="O241" s="48">
        <v>846608</v>
      </c>
      <c r="P241" s="48"/>
      <c r="Q241" s="48">
        <v>0</v>
      </c>
      <c r="R241" s="48"/>
      <c r="S241" s="48">
        <f t="shared" si="6"/>
        <v>4462519</v>
      </c>
      <c r="T241" s="44"/>
      <c r="U241" s="48">
        <v>770343</v>
      </c>
      <c r="W241" s="44">
        <f>+S241-'Stmt net assets'!O241-U241</f>
        <v>0</v>
      </c>
    </row>
    <row r="242" spans="1:23" s="65" customFormat="1" ht="12.75" customHeight="1">
      <c r="A242" s="35" t="s">
        <v>272</v>
      </c>
      <c r="B242" s="51"/>
      <c r="C242" s="35" t="s">
        <v>43</v>
      </c>
      <c r="D242" s="35"/>
      <c r="E242" s="48">
        <v>29723874</v>
      </c>
      <c r="F242" s="48"/>
      <c r="G242" s="48">
        <v>0</v>
      </c>
      <c r="H242" s="48"/>
      <c r="I242" s="48">
        <v>0</v>
      </c>
      <c r="J242" s="48"/>
      <c r="K242" s="48">
        <v>0</v>
      </c>
      <c r="L242" s="48"/>
      <c r="M242" s="48">
        <v>0</v>
      </c>
      <c r="N242" s="48"/>
      <c r="O242" s="48">
        <v>3488713</v>
      </c>
      <c r="P242" s="48"/>
      <c r="Q242" s="48">
        <v>19629</v>
      </c>
      <c r="R242" s="48"/>
      <c r="S242" s="48">
        <f t="shared" si="6"/>
        <v>33232216</v>
      </c>
      <c r="T242" s="44"/>
      <c r="U242" s="48">
        <v>4871274</v>
      </c>
      <c r="W242" s="44">
        <f>+S242-'Stmt net assets'!O242-U242</f>
        <v>0</v>
      </c>
    </row>
    <row r="243" spans="1:23" s="66" customFormat="1" ht="12.75" customHeight="1">
      <c r="A243" s="35" t="s">
        <v>273</v>
      </c>
      <c r="B243" s="51"/>
      <c r="C243" s="35" t="s">
        <v>27</v>
      </c>
      <c r="D243" s="35"/>
      <c r="E243" s="48">
        <v>10001023</v>
      </c>
      <c r="F243" s="48"/>
      <c r="G243" s="48">
        <v>4744001</v>
      </c>
      <c r="H243" s="48"/>
      <c r="I243" s="48">
        <v>9326970</v>
      </c>
      <c r="J243" s="48"/>
      <c r="K243" s="48">
        <v>625711</v>
      </c>
      <c r="L243" s="48"/>
      <c r="M243" s="48">
        <v>0</v>
      </c>
      <c r="N243" s="48"/>
      <c r="O243" s="48">
        <v>5450537</v>
      </c>
      <c r="P243" s="48"/>
      <c r="Q243" s="48">
        <v>600639</v>
      </c>
      <c r="R243" s="48"/>
      <c r="S243" s="48">
        <f t="shared" si="6"/>
        <v>30748881</v>
      </c>
      <c r="T243" s="44"/>
      <c r="U243" s="48">
        <v>1765761</v>
      </c>
      <c r="V243" s="65"/>
      <c r="W243" s="44">
        <f>+S243-'Stmt net assets'!O243-U243</f>
        <v>0</v>
      </c>
    </row>
    <row r="244" spans="1:23" s="65" customFormat="1" ht="12.75" customHeight="1">
      <c r="A244" s="35" t="s">
        <v>274</v>
      </c>
      <c r="B244" s="51"/>
      <c r="C244" s="35" t="s">
        <v>43</v>
      </c>
      <c r="D244" s="35"/>
      <c r="E244" s="48">
        <f>1440000+5126-39605</f>
        <v>1405521</v>
      </c>
      <c r="F244" s="48"/>
      <c r="G244" s="48">
        <v>0</v>
      </c>
      <c r="H244" s="48"/>
      <c r="I244" s="48">
        <v>0</v>
      </c>
      <c r="J244" s="48"/>
      <c r="K244" s="48">
        <v>102404</v>
      </c>
      <c r="L244" s="48"/>
      <c r="M244" s="48">
        <v>36129</v>
      </c>
      <c r="N244" s="48"/>
      <c r="O244" s="48">
        <v>1875015</v>
      </c>
      <c r="P244" s="48"/>
      <c r="Q244" s="48">
        <v>85135</v>
      </c>
      <c r="R244" s="48"/>
      <c r="S244" s="48">
        <f t="shared" si="6"/>
        <v>3504204</v>
      </c>
      <c r="T244" s="44"/>
      <c r="U244" s="48">
        <v>1168845</v>
      </c>
      <c r="W244" s="44">
        <f>+S244-'Stmt net assets'!O244-U244</f>
        <v>0</v>
      </c>
    </row>
    <row r="245" spans="1:23" s="65" customFormat="1" ht="12.75" customHeight="1">
      <c r="A245" s="35" t="s">
        <v>275</v>
      </c>
      <c r="B245" s="51"/>
      <c r="C245" s="35" t="s">
        <v>92</v>
      </c>
      <c r="D245" s="35"/>
      <c r="E245" s="48">
        <v>2025000</v>
      </c>
      <c r="F245" s="48"/>
      <c r="G245" s="48">
        <v>0</v>
      </c>
      <c r="H245" s="48"/>
      <c r="I245" s="48">
        <v>0</v>
      </c>
      <c r="J245" s="48"/>
      <c r="K245" s="48">
        <v>80108</v>
      </c>
      <c r="L245" s="48"/>
      <c r="M245" s="48">
        <v>0</v>
      </c>
      <c r="N245" s="48"/>
      <c r="O245" s="48">
        <v>1554539</v>
      </c>
      <c r="P245" s="48"/>
      <c r="Q245" s="48">
        <v>0</v>
      </c>
      <c r="R245" s="48"/>
      <c r="S245" s="48">
        <f t="shared" si="6"/>
        <v>3659647</v>
      </c>
      <c r="T245" s="44"/>
      <c r="U245" s="48">
        <v>224307</v>
      </c>
      <c r="W245" s="44">
        <f>+S245-'Stmt net assets'!O245-U245</f>
        <v>0</v>
      </c>
    </row>
    <row r="246" spans="1:23" s="65" customFormat="1" ht="12.75" customHeight="1">
      <c r="A246" s="35" t="s">
        <v>276</v>
      </c>
      <c r="B246" s="51"/>
      <c r="C246" s="35" t="s">
        <v>38</v>
      </c>
      <c r="D246" s="35"/>
      <c r="E246" s="48">
        <v>940000</v>
      </c>
      <c r="F246" s="48"/>
      <c r="G246" s="48">
        <v>0</v>
      </c>
      <c r="H246" s="48"/>
      <c r="I246" s="48">
        <v>0</v>
      </c>
      <c r="J246" s="48"/>
      <c r="K246" s="48">
        <v>315980</v>
      </c>
      <c r="L246" s="48"/>
      <c r="M246" s="48">
        <v>0</v>
      </c>
      <c r="N246" s="48"/>
      <c r="O246" s="48">
        <v>248130</v>
      </c>
      <c r="P246" s="48"/>
      <c r="Q246" s="48">
        <v>0</v>
      </c>
      <c r="R246" s="48"/>
      <c r="S246" s="48">
        <f t="shared" si="6"/>
        <v>1504110</v>
      </c>
      <c r="T246" s="44"/>
      <c r="U246" s="48">
        <v>344902</v>
      </c>
      <c r="W246" s="44">
        <f>+S246-'Stmt net assets'!O246-U246</f>
        <v>0</v>
      </c>
    </row>
    <row r="247" spans="1:23" s="65" customFormat="1" ht="12.75" customHeight="1">
      <c r="A247" s="35" t="s">
        <v>277</v>
      </c>
      <c r="B247" s="51"/>
      <c r="C247" s="35" t="s">
        <v>92</v>
      </c>
      <c r="D247" s="35"/>
      <c r="E247" s="48">
        <v>10363495</v>
      </c>
      <c r="F247" s="48"/>
      <c r="G247" s="48">
        <v>200000</v>
      </c>
      <c r="H247" s="48"/>
      <c r="I247" s="48">
        <v>0</v>
      </c>
      <c r="J247" s="48"/>
      <c r="K247" s="48">
        <v>0</v>
      </c>
      <c r="L247" s="48"/>
      <c r="M247" s="48">
        <v>0</v>
      </c>
      <c r="N247" s="48"/>
      <c r="O247" s="48">
        <v>5822207</v>
      </c>
      <c r="P247" s="48"/>
      <c r="Q247" s="48">
        <f>111823+817910</f>
        <v>929733</v>
      </c>
      <c r="R247" s="48"/>
      <c r="S247" s="48">
        <f t="shared" si="6"/>
        <v>17315435</v>
      </c>
      <c r="T247" s="44"/>
      <c r="U247" s="48">
        <v>2474438</v>
      </c>
      <c r="W247" s="44">
        <f>+S247-'Stmt net assets'!O247-U247</f>
        <v>0</v>
      </c>
    </row>
    <row r="248" spans="1:23" s="65" customFormat="1" ht="12.75" customHeight="1">
      <c r="A248" s="35" t="s">
        <v>278</v>
      </c>
      <c r="B248" s="51"/>
      <c r="C248" s="35" t="s">
        <v>92</v>
      </c>
      <c r="D248" s="35"/>
      <c r="E248" s="48">
        <v>2045126</v>
      </c>
      <c r="F248" s="48"/>
      <c r="G248" s="48">
        <v>52074</v>
      </c>
      <c r="H248" s="48"/>
      <c r="I248" s="48">
        <v>1250000</v>
      </c>
      <c r="J248" s="48"/>
      <c r="K248" s="48">
        <v>0</v>
      </c>
      <c r="L248" s="48"/>
      <c r="M248" s="48">
        <v>61728</v>
      </c>
      <c r="N248" s="48"/>
      <c r="O248" s="48">
        <v>754059</v>
      </c>
      <c r="P248" s="48"/>
      <c r="Q248" s="48">
        <v>107702</v>
      </c>
      <c r="R248" s="48"/>
      <c r="S248" s="48">
        <f t="shared" si="6"/>
        <v>4270689</v>
      </c>
      <c r="T248" s="44"/>
      <c r="U248" s="48">
        <v>1763092</v>
      </c>
      <c r="W248" s="44">
        <f>+S248-'Stmt net assets'!O248-U248</f>
        <v>0</v>
      </c>
    </row>
    <row r="249" spans="1:23" s="65" customFormat="1" ht="12.75" customHeight="1">
      <c r="A249" s="35" t="s">
        <v>279</v>
      </c>
      <c r="B249" s="51"/>
      <c r="C249" s="35" t="s">
        <v>92</v>
      </c>
      <c r="D249" s="35"/>
      <c r="E249" s="48">
        <v>0</v>
      </c>
      <c r="F249" s="48"/>
      <c r="G249" s="48">
        <v>0</v>
      </c>
      <c r="H249" s="48"/>
      <c r="I249" s="48">
        <v>2290000</v>
      </c>
      <c r="J249" s="48"/>
      <c r="K249" s="48">
        <f>103421+81082</f>
        <v>184503</v>
      </c>
      <c r="L249" s="48"/>
      <c r="M249" s="48">
        <v>20698</v>
      </c>
      <c r="N249" s="48"/>
      <c r="O249" s="48">
        <v>1234283</v>
      </c>
      <c r="P249" s="48"/>
      <c r="Q249" s="48">
        <v>0</v>
      </c>
      <c r="R249" s="48"/>
      <c r="S249" s="48">
        <f t="shared" ref="S249:S256" si="7">SUM(E249:Q249)</f>
        <v>3729484</v>
      </c>
      <c r="T249" s="44"/>
      <c r="U249" s="48">
        <v>775407</v>
      </c>
      <c r="W249" s="44">
        <f>+S249-'Stmt net assets'!O249-U249</f>
        <v>0</v>
      </c>
    </row>
    <row r="250" spans="1:23" s="65" customFormat="1" ht="12.75" customHeight="1">
      <c r="A250" s="35" t="s">
        <v>280</v>
      </c>
      <c r="B250" s="51"/>
      <c r="C250" s="35" t="s">
        <v>281</v>
      </c>
      <c r="D250" s="35"/>
      <c r="E250" s="48">
        <v>5190000</v>
      </c>
      <c r="F250" s="48"/>
      <c r="G250" s="48">
        <v>0</v>
      </c>
      <c r="H250" s="48"/>
      <c r="I250" s="48">
        <v>1286237</v>
      </c>
      <c r="J250" s="48"/>
      <c r="K250" s="48">
        <v>0</v>
      </c>
      <c r="L250" s="48"/>
      <c r="M250" s="48">
        <v>382847</v>
      </c>
      <c r="N250" s="48"/>
      <c r="O250" s="48">
        <v>646862</v>
      </c>
      <c r="P250" s="48"/>
      <c r="Q250" s="48">
        <v>97446</v>
      </c>
      <c r="R250" s="48"/>
      <c r="S250" s="48">
        <f t="shared" si="7"/>
        <v>7603392</v>
      </c>
      <c r="T250" s="44"/>
      <c r="U250" s="48">
        <v>583299</v>
      </c>
      <c r="W250" s="44">
        <f>+S250-'Stmt net assets'!O250-U250</f>
        <v>0</v>
      </c>
    </row>
    <row r="251" spans="1:23" s="65" customFormat="1" ht="12.75" customHeight="1">
      <c r="A251" s="35" t="s">
        <v>282</v>
      </c>
      <c r="B251" s="51"/>
      <c r="C251" s="35" t="s">
        <v>199</v>
      </c>
      <c r="D251" s="35"/>
      <c r="E251" s="48">
        <v>3605127</v>
      </c>
      <c r="F251" s="48"/>
      <c r="G251" s="48">
        <v>816941</v>
      </c>
      <c r="H251" s="48"/>
      <c r="I251" s="48">
        <v>0</v>
      </c>
      <c r="J251" s="48"/>
      <c r="K251" s="48">
        <v>175663</v>
      </c>
      <c r="L251" s="48"/>
      <c r="M251" s="48">
        <v>0</v>
      </c>
      <c r="N251" s="48"/>
      <c r="O251" s="48">
        <v>2031676</v>
      </c>
      <c r="P251" s="48"/>
      <c r="Q251" s="48">
        <v>0</v>
      </c>
      <c r="R251" s="48"/>
      <c r="S251" s="48">
        <f t="shared" si="7"/>
        <v>6629407</v>
      </c>
      <c r="T251" s="44"/>
      <c r="U251" s="48">
        <v>925770</v>
      </c>
      <c r="W251" s="44">
        <f>+S251-'Stmt net assets'!O251-U251</f>
        <v>0</v>
      </c>
    </row>
    <row r="252" spans="1:23" s="65" customFormat="1" ht="12.75" customHeight="1">
      <c r="A252" s="35" t="s">
        <v>283</v>
      </c>
      <c r="B252" s="51"/>
      <c r="C252" s="35" t="s">
        <v>43</v>
      </c>
      <c r="D252" s="35"/>
      <c r="E252" s="48">
        <v>7021125</v>
      </c>
      <c r="F252" s="48"/>
      <c r="G252" s="48">
        <v>0</v>
      </c>
      <c r="H252" s="48"/>
      <c r="I252" s="48">
        <v>0</v>
      </c>
      <c r="J252" s="48"/>
      <c r="K252" s="48">
        <v>136676</v>
      </c>
      <c r="L252" s="48"/>
      <c r="M252" s="48">
        <v>0</v>
      </c>
      <c r="N252" s="48"/>
      <c r="O252" s="48">
        <v>1536936</v>
      </c>
      <c r="P252" s="48"/>
      <c r="Q252" s="48">
        <v>0</v>
      </c>
      <c r="R252" s="48"/>
      <c r="S252" s="48">
        <f t="shared" si="7"/>
        <v>8694737</v>
      </c>
      <c r="T252" s="44"/>
      <c r="U252" s="48">
        <v>517457</v>
      </c>
      <c r="W252" s="44">
        <f>+S252-'Stmt net assets'!O252-U252</f>
        <v>0</v>
      </c>
    </row>
    <row r="253" spans="1:23" s="65" customFormat="1" ht="12.75" customHeight="1">
      <c r="A253" s="35" t="s">
        <v>284</v>
      </c>
      <c r="B253" s="51"/>
      <c r="C253" s="35" t="s">
        <v>45</v>
      </c>
      <c r="D253" s="35"/>
      <c r="E253" s="48">
        <v>12510764</v>
      </c>
      <c r="F253" s="48"/>
      <c r="G253" s="48">
        <v>0</v>
      </c>
      <c r="H253" s="48"/>
      <c r="I253" s="48">
        <v>0</v>
      </c>
      <c r="J253" s="48"/>
      <c r="K253" s="48">
        <v>0</v>
      </c>
      <c r="L253" s="48"/>
      <c r="M253" s="48">
        <v>0</v>
      </c>
      <c r="N253" s="48"/>
      <c r="O253" s="48">
        <v>555241</v>
      </c>
      <c r="P253" s="48"/>
      <c r="Q253" s="48">
        <v>169818</v>
      </c>
      <c r="R253" s="48"/>
      <c r="S253" s="48">
        <f t="shared" si="7"/>
        <v>13235823</v>
      </c>
      <c r="T253" s="44"/>
      <c r="U253" s="48">
        <v>660918</v>
      </c>
      <c r="W253" s="44">
        <f>+S253-'Stmt net assets'!O253-U253</f>
        <v>0</v>
      </c>
    </row>
    <row r="254" spans="1:23" s="65" customFormat="1" ht="12.75" customHeight="1">
      <c r="A254" s="35" t="s">
        <v>285</v>
      </c>
      <c r="B254" s="51"/>
      <c r="C254" s="35" t="s">
        <v>30</v>
      </c>
      <c r="D254" s="35"/>
      <c r="E254" s="48">
        <v>920000</v>
      </c>
      <c r="F254" s="48"/>
      <c r="G254" s="48">
        <v>0</v>
      </c>
      <c r="H254" s="48"/>
      <c r="I254" s="48">
        <v>0</v>
      </c>
      <c r="J254" s="48"/>
      <c r="K254" s="48">
        <v>0</v>
      </c>
      <c r="L254" s="48"/>
      <c r="M254" s="48">
        <v>1219167</v>
      </c>
      <c r="N254" s="48"/>
      <c r="O254" s="48">
        <v>1693036</v>
      </c>
      <c r="P254" s="48"/>
      <c r="Q254" s="48">
        <v>0</v>
      </c>
      <c r="R254" s="48"/>
      <c r="S254" s="48">
        <f t="shared" si="7"/>
        <v>3832203</v>
      </c>
      <c r="T254" s="44"/>
      <c r="U254" s="48">
        <v>637336</v>
      </c>
      <c r="W254" s="44">
        <f>+S254-'Stmt net assets'!O254-U254</f>
        <v>0</v>
      </c>
    </row>
    <row r="255" spans="1:23" s="125" customFormat="1" ht="12.75" hidden="1" customHeight="1">
      <c r="A255" s="126" t="s">
        <v>286</v>
      </c>
      <c r="C255" s="126" t="s">
        <v>61</v>
      </c>
      <c r="D255" s="126"/>
      <c r="E255" s="130">
        <v>0</v>
      </c>
      <c r="F255" s="130"/>
      <c r="G255" s="130">
        <v>0</v>
      </c>
      <c r="H255" s="130"/>
      <c r="I255" s="130">
        <v>0</v>
      </c>
      <c r="J255" s="130"/>
      <c r="K255" s="130">
        <v>0</v>
      </c>
      <c r="L255" s="130"/>
      <c r="M255" s="130">
        <v>0</v>
      </c>
      <c r="N255" s="130"/>
      <c r="O255" s="130">
        <v>0</v>
      </c>
      <c r="P255" s="130"/>
      <c r="Q255" s="130">
        <v>0</v>
      </c>
      <c r="R255" s="130"/>
      <c r="S255" s="130">
        <f t="shared" si="7"/>
        <v>0</v>
      </c>
      <c r="T255" s="121"/>
      <c r="U255" s="130">
        <v>0</v>
      </c>
      <c r="W255" s="121">
        <f>+S255-'Stmt net assets'!O255-U255</f>
        <v>0</v>
      </c>
    </row>
    <row r="256" spans="1:23" s="65" customFormat="1" ht="12.75" customHeight="1">
      <c r="A256" s="35" t="s">
        <v>287</v>
      </c>
      <c r="C256" s="35" t="s">
        <v>288</v>
      </c>
      <c r="D256" s="35"/>
      <c r="E256" s="48">
        <v>2573703</v>
      </c>
      <c r="F256" s="48"/>
      <c r="G256" s="48">
        <v>0</v>
      </c>
      <c r="H256" s="48"/>
      <c r="I256" s="48">
        <v>0</v>
      </c>
      <c r="J256" s="48"/>
      <c r="K256" s="48">
        <v>4056428</v>
      </c>
      <c r="L256" s="48"/>
      <c r="M256" s="48">
        <v>0</v>
      </c>
      <c r="N256" s="48"/>
      <c r="O256" s="48">
        <v>1882804</v>
      </c>
      <c r="P256" s="48"/>
      <c r="Q256" s="48">
        <v>0</v>
      </c>
      <c r="R256" s="48"/>
      <c r="S256" s="48">
        <f t="shared" si="7"/>
        <v>8512935</v>
      </c>
      <c r="T256" s="44"/>
      <c r="U256" s="48">
        <v>1821341</v>
      </c>
      <c r="W256" s="44">
        <f>+S256-'Stmt net assets'!O256-U256</f>
        <v>0</v>
      </c>
    </row>
    <row r="257" spans="1:23" s="65" customFormat="1" ht="12.75" customHeight="1">
      <c r="A257" s="35"/>
      <c r="B257" s="51"/>
      <c r="C257" s="35"/>
      <c r="D257" s="35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4"/>
      <c r="U257" s="44"/>
      <c r="W257" s="44"/>
    </row>
    <row r="258" spans="1:23" s="65" customFormat="1" ht="12.75" customHeight="1">
      <c r="B258" s="51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U258" s="44"/>
      <c r="W258" s="44">
        <f>3605127-261668</f>
        <v>3343459</v>
      </c>
    </row>
    <row r="259" spans="1:23" s="65" customFormat="1" ht="12.75" customHeight="1">
      <c r="B259" s="51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U259" s="44"/>
      <c r="W259" s="44">
        <f>816941-82206</f>
        <v>734735</v>
      </c>
    </row>
    <row r="260" spans="1:23" s="65" customFormat="1" ht="12.75" customHeight="1">
      <c r="B260" s="51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U260" s="44"/>
      <c r="W260" s="44"/>
    </row>
    <row r="261" spans="1:23" s="65" customFormat="1" ht="12.75" customHeight="1">
      <c r="B261" s="51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U261" s="44"/>
      <c r="W261" s="44"/>
    </row>
    <row r="262" spans="1:23" s="65" customFormat="1" ht="12.75" customHeight="1">
      <c r="B262" s="51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U262" s="44"/>
      <c r="W262" s="44"/>
    </row>
    <row r="263" spans="1:23" s="65" customFormat="1" ht="12.75" customHeight="1">
      <c r="B263" s="51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U263" s="44"/>
      <c r="W263" s="44"/>
    </row>
    <row r="264" spans="1:23" s="65" customFormat="1" ht="12.75" customHeight="1">
      <c r="B264" s="51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U264" s="44"/>
      <c r="W264" s="44"/>
    </row>
    <row r="265" spans="1:23" s="65" customFormat="1" ht="12.75" customHeight="1">
      <c r="B265" s="51"/>
      <c r="U265" s="44"/>
      <c r="W265" s="44"/>
    </row>
    <row r="266" spans="1:23" s="65" customFormat="1" ht="12.75" customHeight="1">
      <c r="B266" s="51"/>
      <c r="U266" s="44"/>
      <c r="W266" s="44"/>
    </row>
    <row r="267" spans="1:23" s="65" customFormat="1" ht="12.75" customHeight="1">
      <c r="A267" s="44"/>
      <c r="B267" s="51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W267" s="44"/>
    </row>
    <row r="268" spans="1:23" s="65" customFormat="1" ht="12.75" customHeight="1">
      <c r="A268" s="44"/>
      <c r="B268" s="51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8"/>
      <c r="T268" s="44"/>
      <c r="U268" s="44"/>
      <c r="W268" s="44"/>
    </row>
    <row r="269" spans="1:23" s="65" customFormat="1" ht="12.75" customHeight="1">
      <c r="A269" s="44"/>
      <c r="B269" s="51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W269" s="44"/>
    </row>
    <row r="270" spans="1:23" s="65" customFormat="1" ht="12.75" customHeight="1">
      <c r="A270" s="44"/>
      <c r="B270" s="51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W270" s="44"/>
    </row>
    <row r="271" spans="1:23" s="65" customFormat="1" ht="12.75" customHeight="1">
      <c r="A271" s="44"/>
      <c r="B271" s="51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W271" s="44"/>
    </row>
    <row r="272" spans="1:23" s="65" customFormat="1" ht="12.75" customHeight="1">
      <c r="A272" s="44"/>
      <c r="B272" s="51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W272" s="44"/>
    </row>
    <row r="273" spans="1:23" s="65" customFormat="1" ht="12.75" customHeight="1">
      <c r="A273" s="44"/>
      <c r="B273" s="51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W273" s="44"/>
    </row>
    <row r="274" spans="1:23" s="65" customFormat="1" ht="12.75" customHeight="1">
      <c r="A274" s="44"/>
      <c r="B274" s="51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W274" s="44"/>
    </row>
    <row r="275" spans="1:23" s="65" customFormat="1" ht="12.75" customHeight="1">
      <c r="A275" s="44"/>
      <c r="B275" s="51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W275" s="44"/>
    </row>
    <row r="276" spans="1:23" s="65" customFormat="1" ht="12.75" customHeight="1">
      <c r="A276" s="44"/>
      <c r="B276" s="51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W276" s="44"/>
    </row>
    <row r="277" spans="1:23" s="65" customFormat="1" ht="12.75" customHeight="1">
      <c r="A277" s="44"/>
      <c r="B277" s="51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W277" s="44"/>
    </row>
    <row r="278" spans="1:23" ht="12.75" customHeight="1">
      <c r="A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3" ht="12.75" customHeight="1">
      <c r="A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3" ht="12.75" customHeight="1">
      <c r="A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3" ht="12.75" customHeight="1">
      <c r="A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3" ht="12.75" customHeight="1">
      <c r="A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3" ht="12.75" customHeight="1">
      <c r="A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3" ht="12.75" customHeight="1">
      <c r="A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3" ht="12.75" customHeight="1">
      <c r="A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3" ht="12.75" customHeight="1">
      <c r="A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3" ht="12.75" customHeight="1">
      <c r="A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3" ht="12.75" customHeight="1">
      <c r="A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2.75" customHeight="1">
      <c r="A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2.75" customHeight="1">
      <c r="A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2.75" customHeight="1">
      <c r="A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2.75" customHeight="1">
      <c r="A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2.75" customHeight="1">
      <c r="A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2.75" customHeight="1">
      <c r="A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2.75" customHeight="1">
      <c r="A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2.75" customHeight="1">
      <c r="A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2.75" customHeight="1">
      <c r="A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2.75" customHeight="1">
      <c r="A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2.75" customHeight="1">
      <c r="A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2.75" customHeight="1">
      <c r="A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2.75" customHeight="1">
      <c r="A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</sheetData>
  <phoneticPr fontId="4" type="noConversion"/>
  <pageMargins left="0.75" right="0.75" top="0.5" bottom="0.5" header="0" footer="0.25"/>
  <pageSetup scale="95" firstPageNumber="136" pageOrder="overThenDown" orientation="portrait" useFirstPageNumber="1" r:id="rId1"/>
  <headerFooter alignWithMargins="0">
    <oddFooter>&amp;C&amp;"Times New Roman,Regular"&amp;11&amp;P</oddFooter>
  </headerFooter>
  <colBreaks count="1" manualBreakCount="1">
    <brk id="13" min="9" max="25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CQ310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111" activeCellId="2" sqref="A212:XFD212 A124:XFD124 A111:XFD111"/>
    </sheetView>
  </sheetViews>
  <sheetFormatPr defaultColWidth="8.42578125" defaultRowHeight="12.75" customHeight="1"/>
  <cols>
    <col min="1" max="1" width="15.28515625" style="55" customWidth="1"/>
    <col min="2" max="2" width="1.7109375" style="51" customWidth="1"/>
    <col min="3" max="3" width="10.5703125" style="55" customWidth="1"/>
    <col min="4" max="4" width="1.7109375" style="55" customWidth="1"/>
    <col min="5" max="5" width="11.7109375" style="55" customWidth="1"/>
    <col min="6" max="6" width="1.7109375" style="55" customWidth="1"/>
    <col min="7" max="7" width="11.7109375" style="55" customWidth="1"/>
    <col min="8" max="8" width="1.7109375" style="55" customWidth="1"/>
    <col min="9" max="9" width="11.7109375" style="55" customWidth="1"/>
    <col min="10" max="10" width="1.7109375" style="55" customWidth="1"/>
    <col min="11" max="11" width="11.7109375" style="55" customWidth="1"/>
    <col min="12" max="12" width="1.7109375" style="55" customWidth="1"/>
    <col min="13" max="13" width="11.7109375" style="55" customWidth="1"/>
    <col min="14" max="14" width="1.7109375" style="55" customWidth="1"/>
    <col min="15" max="15" width="11.7109375" style="55" customWidth="1"/>
    <col min="16" max="16" width="1.7109375" style="55" customWidth="1"/>
    <col min="17" max="17" width="11.7109375" style="55" customWidth="1"/>
    <col min="18" max="18" width="1.85546875" style="55" customWidth="1"/>
    <col min="19" max="19" width="11.7109375" style="55" customWidth="1"/>
    <col min="20" max="20" width="1.7109375" style="55" customWidth="1"/>
    <col min="21" max="21" width="11.7109375" style="55" customWidth="1"/>
    <col min="22" max="22" width="1.7109375" style="55" customWidth="1"/>
    <col min="23" max="23" width="11.7109375" style="55" customWidth="1"/>
    <col min="24" max="24" width="14.5703125" style="55" customWidth="1"/>
    <col min="25" max="25" width="15.28515625" style="55" customWidth="1"/>
    <col min="26" max="26" width="1.7109375" style="47" customWidth="1"/>
    <col min="27" max="27" width="10.5703125" style="55" customWidth="1"/>
    <col min="28" max="28" width="1.7109375" style="55" customWidth="1"/>
    <col min="29" max="29" width="11.7109375" style="55" customWidth="1"/>
    <col min="30" max="30" width="1.7109375" style="55" customWidth="1"/>
    <col min="31" max="31" width="11.7109375" style="55" customWidth="1"/>
    <col min="32" max="32" width="1.7109375" style="55" customWidth="1"/>
    <col min="33" max="33" width="11.7109375" style="55" customWidth="1"/>
    <col min="34" max="34" width="1.7109375" style="55" customWidth="1"/>
    <col min="35" max="35" width="11.7109375" style="55" customWidth="1"/>
    <col min="36" max="36" width="1.7109375" style="55" customWidth="1"/>
    <col min="37" max="37" width="11.7109375" style="45" customWidth="1"/>
    <col min="38" max="38" width="1.7109375" style="45" customWidth="1"/>
    <col min="39" max="39" width="11.7109375" style="45" customWidth="1"/>
    <col min="40" max="40" width="1.7109375" style="45" customWidth="1"/>
    <col min="41" max="41" width="11.7109375" style="45" customWidth="1"/>
    <col min="42" max="42" width="1.7109375" style="45" customWidth="1"/>
    <col min="43" max="43" width="11.7109375" style="45" customWidth="1"/>
    <col min="44" max="44" width="1.7109375" style="45" customWidth="1"/>
    <col min="45" max="45" width="11.7109375" style="55" customWidth="1"/>
    <col min="46" max="46" width="1.7109375" style="55" customWidth="1"/>
    <col min="47" max="47" width="11.7109375" style="55" hidden="1" customWidth="1"/>
    <col min="48" max="48" width="1.7109375" style="55" hidden="1" customWidth="1"/>
    <col min="49" max="49" width="11.7109375" style="55" hidden="1" customWidth="1"/>
    <col min="50" max="50" width="1.7109375" style="55" hidden="1" customWidth="1"/>
    <col min="51" max="52" width="11.7109375" style="55" customWidth="1"/>
    <col min="53" max="53" width="15.28515625" style="55" customWidth="1"/>
    <col min="54" max="54" width="1.7109375" style="47" customWidth="1"/>
    <col min="55" max="55" width="10.5703125" style="55" customWidth="1"/>
    <col min="56" max="56" width="1.7109375" style="55" customWidth="1"/>
    <col min="57" max="57" width="11.7109375" style="55" customWidth="1"/>
    <col min="58" max="58" width="1.7109375" style="55" customWidth="1"/>
    <col min="59" max="59" width="11.7109375" style="55" customWidth="1"/>
    <col min="60" max="60" width="1.7109375" style="55" customWidth="1"/>
    <col min="61" max="61" width="11.7109375" style="55" customWidth="1"/>
    <col min="62" max="62" width="1.7109375" style="55" customWidth="1"/>
    <col min="63" max="63" width="11.7109375" style="55" customWidth="1"/>
    <col min="64" max="64" width="1.7109375" style="55" customWidth="1"/>
    <col min="65" max="65" width="11.7109375" style="55" customWidth="1"/>
    <col min="66" max="66" width="1.7109375" style="55" hidden="1" customWidth="1"/>
    <col min="67" max="67" width="11.7109375" style="55" hidden="1" customWidth="1"/>
    <col min="68" max="68" width="1.7109375" style="55" hidden="1" customWidth="1"/>
    <col min="69" max="69" width="11.7109375" style="55" hidden="1" customWidth="1"/>
    <col min="70" max="70" width="1.7109375" style="55" customWidth="1"/>
    <col min="71" max="71" width="11.7109375" style="55" customWidth="1"/>
    <col min="72" max="72" width="1.7109375" style="55" customWidth="1"/>
    <col min="73" max="73" width="11.7109375" style="55" customWidth="1"/>
    <col min="74" max="74" width="1.7109375" style="55" customWidth="1"/>
    <col min="75" max="75" width="11.7109375" style="55" customWidth="1"/>
    <col min="76" max="76" width="1.7109375" style="55" customWidth="1"/>
    <col min="77" max="77" width="11.7109375" style="55" customWidth="1"/>
    <col min="78" max="78" width="1.7109375" style="55" customWidth="1"/>
    <col min="79" max="79" width="11.7109375" style="55" customWidth="1"/>
    <col min="80" max="80" width="1.7109375" style="55" customWidth="1"/>
    <col min="81" max="81" width="11.7109375" style="55" customWidth="1"/>
    <col min="82" max="82" width="1.7109375" style="55" customWidth="1"/>
    <col min="83" max="83" width="11.7109375" style="55" customWidth="1"/>
    <col min="84" max="84" width="1.7109375" style="55" customWidth="1"/>
    <col min="85" max="85" width="11.7109375" style="55" customWidth="1"/>
    <col min="86" max="86" width="1.7109375" style="55" customWidth="1"/>
    <col min="87" max="16384" width="8.42578125" style="55"/>
  </cols>
  <sheetData>
    <row r="1" spans="1:66" s="85" customFormat="1" ht="12">
      <c r="A1" s="74" t="s">
        <v>495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495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496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>
      <c r="A3" s="74" t="s">
        <v>499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499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501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6" t="s">
        <v>2</v>
      </c>
      <c r="R6" s="156"/>
      <c r="S6" s="156"/>
      <c r="T6" s="156"/>
      <c r="U6" s="156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8" t="s">
        <v>352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">
      <c r="A9" s="149" t="s">
        <v>8</v>
      </c>
      <c r="C9" s="144" t="s">
        <v>9</v>
      </c>
      <c r="D9" s="8"/>
      <c r="E9" s="144" t="s">
        <v>0</v>
      </c>
      <c r="F9" s="8"/>
      <c r="G9" s="144" t="s">
        <v>0</v>
      </c>
      <c r="H9" s="8"/>
      <c r="I9" s="144" t="s">
        <v>0</v>
      </c>
      <c r="J9" s="8"/>
      <c r="K9" s="144" t="s">
        <v>1</v>
      </c>
      <c r="L9" s="8"/>
      <c r="M9" s="144" t="s">
        <v>1</v>
      </c>
      <c r="N9" s="144"/>
      <c r="O9" s="144" t="s">
        <v>1</v>
      </c>
      <c r="P9" s="8"/>
      <c r="Q9" s="144" t="s">
        <v>0</v>
      </c>
      <c r="R9" s="8"/>
      <c r="S9" s="144" t="s">
        <v>10</v>
      </c>
      <c r="T9" s="8"/>
      <c r="U9" s="144" t="s">
        <v>11</v>
      </c>
      <c r="V9" s="8"/>
      <c r="W9" s="144" t="s">
        <v>2</v>
      </c>
      <c r="X9" s="8"/>
      <c r="Y9" s="144" t="s">
        <v>8</v>
      </c>
      <c r="AA9" s="144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144" t="s">
        <v>361</v>
      </c>
      <c r="AR9" s="8"/>
      <c r="AS9" s="78" t="s">
        <v>2</v>
      </c>
      <c r="AT9" s="8"/>
      <c r="AU9" s="144" t="s">
        <v>415</v>
      </c>
      <c r="AV9" s="8"/>
      <c r="AW9" s="144" t="s">
        <v>415</v>
      </c>
      <c r="AX9" s="8"/>
      <c r="AY9" s="78" t="s">
        <v>4</v>
      </c>
      <c r="AZ9" s="8"/>
      <c r="BA9" s="144" t="s">
        <v>8</v>
      </c>
      <c r="BC9" s="144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144" t="s">
        <v>364</v>
      </c>
      <c r="BN9" s="54"/>
    </row>
    <row r="10" spans="1:66" s="89" customFormat="1" ht="12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idden="1">
      <c r="A11" s="35" t="s">
        <v>12</v>
      </c>
      <c r="C11" s="35" t="s">
        <v>13</v>
      </c>
      <c r="D11" s="35"/>
      <c r="E11" s="35">
        <f t="shared" ref="E11:E75" si="0">I11-G11</f>
        <v>0</v>
      </c>
      <c r="F11" s="35"/>
      <c r="G11" s="35"/>
      <c r="H11" s="35"/>
      <c r="I11" s="35"/>
      <c r="J11" s="35"/>
      <c r="K11" s="35">
        <f t="shared" ref="K11:K75" si="1">O11-M11</f>
        <v>0</v>
      </c>
      <c r="L11" s="35"/>
      <c r="M11" s="35">
        <f t="shared" ref="M11:M28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60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idden="1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idden="1">
      <c r="A13" s="35" t="s">
        <v>16</v>
      </c>
      <c r="B13" s="51"/>
      <c r="C13" s="35" t="s">
        <v>17</v>
      </c>
      <c r="D13" s="35"/>
      <c r="E13" s="64">
        <f t="shared" si="0"/>
        <v>0</v>
      </c>
      <c r="F13" s="64"/>
      <c r="G13" s="64"/>
      <c r="H13" s="64"/>
      <c r="I13" s="64"/>
      <c r="J13" s="64"/>
      <c r="K13" s="64">
        <f t="shared" si="1"/>
        <v>0</v>
      </c>
      <c r="L13" s="64"/>
      <c r="M13" s="64">
        <v>0</v>
      </c>
      <c r="N13" s="64"/>
      <c r="O13" s="64"/>
      <c r="P13" s="64"/>
      <c r="Q13" s="64"/>
      <c r="R13" s="64"/>
      <c r="S13" s="64">
        <v>0</v>
      </c>
      <c r="T13" s="64"/>
      <c r="U13" s="64"/>
      <c r="V13" s="64"/>
      <c r="W13" s="64">
        <f t="shared" si="3"/>
        <v>0</v>
      </c>
      <c r="X13" s="35"/>
      <c r="Y13" s="35" t="s">
        <v>16</v>
      </c>
      <c r="Z13" s="55"/>
      <c r="AA13" s="35" t="s">
        <v>17</v>
      </c>
      <c r="AB13" s="35"/>
      <c r="AC13" s="64">
        <v>0</v>
      </c>
      <c r="AD13" s="64"/>
      <c r="AE13" s="64">
        <v>0</v>
      </c>
      <c r="AF13" s="64"/>
      <c r="AG13" s="64">
        <v>0</v>
      </c>
      <c r="AH13" s="64"/>
      <c r="AI13" s="94">
        <f>+AC13-AE13-AG13</f>
        <v>0</v>
      </c>
      <c r="AJ13" s="94"/>
      <c r="AK13" s="64"/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0</v>
      </c>
      <c r="AT13" s="94"/>
      <c r="AU13" s="64">
        <v>0</v>
      </c>
      <c r="AV13" s="64"/>
      <c r="AW13" s="64">
        <v>0</v>
      </c>
      <c r="AX13" s="64"/>
      <c r="AY13" s="64">
        <f t="shared" si="4"/>
        <v>0</v>
      </c>
      <c r="AZ13" s="35"/>
      <c r="BA13" s="35" t="s">
        <v>16</v>
      </c>
      <c r="BB13" s="55"/>
      <c r="BC13" s="35" t="s">
        <v>17</v>
      </c>
      <c r="BD13" s="35"/>
      <c r="BE13" s="64">
        <v>0</v>
      </c>
      <c r="BF13" s="64"/>
      <c r="BG13" s="64"/>
      <c r="BH13" s="64"/>
      <c r="BI13" s="64"/>
      <c r="BJ13" s="64"/>
      <c r="BK13" s="64"/>
      <c r="BL13" s="64"/>
      <c r="BM13" s="64">
        <f t="shared" si="5"/>
        <v>0</v>
      </c>
      <c r="BN13" s="91" t="s">
        <v>347</v>
      </c>
    </row>
    <row r="14" spans="1:66" s="90" customFormat="1">
      <c r="A14" s="64" t="s">
        <v>18</v>
      </c>
      <c r="B14" s="66"/>
      <c r="C14" s="64" t="s">
        <v>18</v>
      </c>
      <c r="D14" s="64"/>
      <c r="E14" s="64">
        <f t="shared" si="0"/>
        <v>810421</v>
      </c>
      <c r="F14" s="64"/>
      <c r="G14" s="64">
        <v>286505</v>
      </c>
      <c r="H14" s="64"/>
      <c r="I14" s="64">
        <v>1096926</v>
      </c>
      <c r="J14" s="64"/>
      <c r="K14" s="64">
        <f t="shared" si="1"/>
        <v>46856</v>
      </c>
      <c r="L14" s="64"/>
      <c r="M14" s="64">
        <v>31344</v>
      </c>
      <c r="N14" s="64"/>
      <c r="O14" s="64">
        <v>78200</v>
      </c>
      <c r="P14" s="64"/>
      <c r="Q14" s="64">
        <v>286505</v>
      </c>
      <c r="R14" s="64"/>
      <c r="S14" s="64">
        <v>0</v>
      </c>
      <c r="T14" s="64"/>
      <c r="U14" s="64">
        <v>732221</v>
      </c>
      <c r="V14" s="64"/>
      <c r="W14" s="64">
        <f t="shared" si="3"/>
        <v>1018726</v>
      </c>
      <c r="X14" s="64"/>
      <c r="Y14" s="64" t="s">
        <v>18</v>
      </c>
      <c r="AA14" s="64" t="s">
        <v>18</v>
      </c>
      <c r="AB14" s="64"/>
      <c r="AC14" s="64">
        <v>1832224</v>
      </c>
      <c r="AD14" s="64"/>
      <c r="AE14" s="64">
        <f>1640526-60828</f>
        <v>1579698</v>
      </c>
      <c r="AF14" s="64"/>
      <c r="AG14" s="64">
        <v>60828</v>
      </c>
      <c r="AH14" s="64"/>
      <c r="AI14" s="94">
        <f>+AC14-AE14-AG14</f>
        <v>191698</v>
      </c>
      <c r="AJ14" s="94"/>
      <c r="AK14" s="64">
        <v>0</v>
      </c>
      <c r="AL14" s="64"/>
      <c r="AM14" s="64">
        <v>0</v>
      </c>
      <c r="AN14" s="64"/>
      <c r="AO14" s="64">
        <v>0</v>
      </c>
      <c r="AP14" s="64"/>
      <c r="AQ14" s="64">
        <v>0</v>
      </c>
      <c r="AR14" s="64"/>
      <c r="AS14" s="94">
        <f>+AI14+AK14+AM14-AO14+AQ14</f>
        <v>191698</v>
      </c>
      <c r="AT14" s="94"/>
      <c r="AU14" s="64">
        <v>0</v>
      </c>
      <c r="AV14" s="64"/>
      <c r="AW14" s="64">
        <v>0</v>
      </c>
      <c r="AX14" s="64"/>
      <c r="AY14" s="64">
        <f t="shared" si="4"/>
        <v>763565</v>
      </c>
      <c r="AZ14" s="64"/>
      <c r="BA14" s="64" t="s">
        <v>18</v>
      </c>
      <c r="BC14" s="64" t="s">
        <v>18</v>
      </c>
      <c r="BD14" s="64"/>
      <c r="BE14" s="64">
        <v>0</v>
      </c>
      <c r="BF14" s="64"/>
      <c r="BG14" s="64">
        <v>0</v>
      </c>
      <c r="BH14" s="64"/>
      <c r="BI14" s="64">
        <v>0</v>
      </c>
      <c r="BJ14" s="64"/>
      <c r="BK14" s="64">
        <v>31344</v>
      </c>
      <c r="BL14" s="64"/>
      <c r="BM14" s="64">
        <f t="shared" si="5"/>
        <v>31344</v>
      </c>
      <c r="BN14" s="91" t="s">
        <v>347</v>
      </c>
    </row>
    <row r="15" spans="1:66" ht="12.75" hidden="1" customHeight="1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>
        <f t="shared" si="2"/>
        <v>0</v>
      </c>
      <c r="N15" s="35"/>
      <c r="O15" s="35"/>
      <c r="P15" s="35"/>
      <c r="Q15" s="35"/>
      <c r="R15" s="35"/>
      <c r="S15" s="35">
        <v>0</v>
      </c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>
        <v>0</v>
      </c>
      <c r="AD15" s="35"/>
      <c r="AE15" s="35">
        <v>0</v>
      </c>
      <c r="AF15" s="35"/>
      <c r="AG15" s="35">
        <v>0</v>
      </c>
      <c r="AH15" s="35"/>
      <c r="AI15" s="45">
        <v>0</v>
      </c>
      <c r="AJ15" s="45"/>
      <c r="AK15" s="35"/>
      <c r="AL15" s="35"/>
      <c r="AM15" s="35">
        <v>0</v>
      </c>
      <c r="AN15" s="35"/>
      <c r="AO15" s="35">
        <v>0</v>
      </c>
      <c r="AP15" s="35"/>
      <c r="AQ15" s="35">
        <v>0</v>
      </c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t="12.75" hidden="1" customHeight="1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>
        <f t="shared" si="2"/>
        <v>0</v>
      </c>
      <c r="N16" s="35"/>
      <c r="O16" s="35"/>
      <c r="P16" s="35"/>
      <c r="Q16" s="35"/>
      <c r="R16" s="35"/>
      <c r="S16" s="35">
        <v>0</v>
      </c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>
        <v>0</v>
      </c>
      <c r="AD16" s="35"/>
      <c r="AE16" s="35">
        <v>0</v>
      </c>
      <c r="AF16" s="35"/>
      <c r="AG16" s="35">
        <v>0</v>
      </c>
      <c r="AH16" s="35"/>
      <c r="AI16" s="45">
        <v>0</v>
      </c>
      <c r="AJ16" s="45"/>
      <c r="AK16" s="35"/>
      <c r="AL16" s="35"/>
      <c r="AM16" s="35">
        <v>0</v>
      </c>
      <c r="AN16" s="35"/>
      <c r="AO16" s="35">
        <v>0</v>
      </c>
      <c r="AP16" s="35"/>
      <c r="AQ16" s="35">
        <v>0</v>
      </c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2.75" hidden="1" customHeight="1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>
        <f t="shared" si="2"/>
        <v>0</v>
      </c>
      <c r="N17" s="35"/>
      <c r="O17" s="35"/>
      <c r="P17" s="35"/>
      <c r="Q17" s="35"/>
      <c r="R17" s="35"/>
      <c r="S17" s="35">
        <v>0</v>
      </c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>
        <v>0</v>
      </c>
      <c r="AD17" s="35"/>
      <c r="AE17" s="35">
        <v>0</v>
      </c>
      <c r="AF17" s="35"/>
      <c r="AG17" s="35">
        <v>0</v>
      </c>
      <c r="AH17" s="35"/>
      <c r="AI17" s="45">
        <f t="shared" ref="AI17:AI31" si="6">+AC17-AE17-AG17</f>
        <v>0</v>
      </c>
      <c r="AJ17" s="45"/>
      <c r="AK17" s="35"/>
      <c r="AL17" s="35"/>
      <c r="AM17" s="35">
        <v>0</v>
      </c>
      <c r="AN17" s="35"/>
      <c r="AO17" s="35">
        <v>0</v>
      </c>
      <c r="AP17" s="35"/>
      <c r="AQ17" s="35">
        <v>0</v>
      </c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2.75" hidden="1" customHeight="1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>
        <f t="shared" si="2"/>
        <v>0</v>
      </c>
      <c r="N18" s="35"/>
      <c r="O18" s="35"/>
      <c r="P18" s="35"/>
      <c r="Q18" s="35"/>
      <c r="R18" s="35"/>
      <c r="S18" s="35">
        <v>0</v>
      </c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>
        <v>0</v>
      </c>
      <c r="AD18" s="35"/>
      <c r="AE18" s="35">
        <v>0</v>
      </c>
      <c r="AF18" s="35"/>
      <c r="AG18" s="35">
        <v>0</v>
      </c>
      <c r="AH18" s="35"/>
      <c r="AI18" s="45">
        <f t="shared" si="6"/>
        <v>0</v>
      </c>
      <c r="AJ18" s="45"/>
      <c r="AK18" s="35"/>
      <c r="AL18" s="35"/>
      <c r="AM18" s="35">
        <v>0</v>
      </c>
      <c r="AN18" s="35"/>
      <c r="AO18" s="35">
        <v>0</v>
      </c>
      <c r="AP18" s="35"/>
      <c r="AQ18" s="35">
        <v>0</v>
      </c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2.75" hidden="1" customHeight="1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>
        <f t="shared" si="2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>
      <c r="A20" s="35" t="s">
        <v>25</v>
      </c>
      <c r="C20" s="35" t="s">
        <v>13</v>
      </c>
      <c r="D20" s="35"/>
      <c r="E20" s="35">
        <f t="shared" si="0"/>
        <v>969783</v>
      </c>
      <c r="F20" s="35"/>
      <c r="G20" s="35">
        <v>0</v>
      </c>
      <c r="H20" s="35"/>
      <c r="I20" s="35">
        <v>969783</v>
      </c>
      <c r="J20" s="35"/>
      <c r="K20" s="35">
        <f t="shared" si="1"/>
        <v>154505</v>
      </c>
      <c r="L20" s="35"/>
      <c r="M20" s="35">
        <v>1805</v>
      </c>
      <c r="N20" s="35"/>
      <c r="O20" s="35">
        <v>156310</v>
      </c>
      <c r="P20" s="35"/>
      <c r="Q20" s="35"/>
      <c r="R20" s="35"/>
      <c r="S20" s="35">
        <v>0</v>
      </c>
      <c r="T20" s="35"/>
      <c r="U20" s="35">
        <v>813473</v>
      </c>
      <c r="V20" s="35"/>
      <c r="W20" s="35">
        <f t="shared" si="3"/>
        <v>813473</v>
      </c>
      <c r="X20" s="35"/>
      <c r="Y20" s="35" t="s">
        <v>25</v>
      </c>
      <c r="Z20" s="55"/>
      <c r="AA20" s="35" t="s">
        <v>13</v>
      </c>
      <c r="AB20" s="35"/>
      <c r="AC20" s="35">
        <v>2002150</v>
      </c>
      <c r="AD20" s="35"/>
      <c r="AE20" s="35">
        <v>1866274</v>
      </c>
      <c r="AF20" s="35"/>
      <c r="AG20" s="35">
        <v>0</v>
      </c>
      <c r="AH20" s="35"/>
      <c r="AI20" s="45">
        <f t="shared" si="6"/>
        <v>135876</v>
      </c>
      <c r="AJ20" s="45"/>
      <c r="AK20" s="35">
        <v>-15</v>
      </c>
      <c r="AL20" s="35"/>
      <c r="AM20" s="35">
        <v>0</v>
      </c>
      <c r="AN20" s="35"/>
      <c r="AO20" s="35">
        <v>0</v>
      </c>
      <c r="AP20" s="35"/>
      <c r="AQ20" s="35">
        <v>0</v>
      </c>
      <c r="AR20" s="35"/>
      <c r="AS20" s="45">
        <f t="shared" si="7"/>
        <v>135861</v>
      </c>
      <c r="AT20" s="45"/>
      <c r="AU20" s="35">
        <v>0</v>
      </c>
      <c r="AV20" s="35"/>
      <c r="AW20" s="35">
        <v>0</v>
      </c>
      <c r="AX20" s="35"/>
      <c r="AY20" s="35">
        <f t="shared" si="4"/>
        <v>815278</v>
      </c>
      <c r="AZ20" s="35"/>
      <c r="BA20" s="35" t="s">
        <v>25</v>
      </c>
      <c r="BB20" s="55"/>
      <c r="BC20" s="35" t="s">
        <v>13</v>
      </c>
      <c r="BD20" s="35"/>
      <c r="BE20" s="35">
        <v>0</v>
      </c>
      <c r="BF20" s="35"/>
      <c r="BG20" s="35">
        <v>0</v>
      </c>
      <c r="BH20" s="35"/>
      <c r="BI20" s="35">
        <v>0</v>
      </c>
      <c r="BJ20" s="35"/>
      <c r="BK20" s="35">
        <f>1805+169+433</f>
        <v>2407</v>
      </c>
      <c r="BL20" s="35"/>
      <c r="BM20" s="35">
        <f t="shared" si="5"/>
        <v>2407</v>
      </c>
      <c r="BN20" s="54" t="s">
        <v>347</v>
      </c>
    </row>
    <row r="21" spans="1:67" hidden="1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>
        <f t="shared" si="2"/>
        <v>0</v>
      </c>
      <c r="N21" s="35"/>
      <c r="O21" s="35"/>
      <c r="P21" s="35"/>
      <c r="Q21" s="35"/>
      <c r="R21" s="35"/>
      <c r="S21" s="35">
        <v>0</v>
      </c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>
        <v>0</v>
      </c>
      <c r="AD21" s="35"/>
      <c r="AE21" s="35">
        <v>0</v>
      </c>
      <c r="AF21" s="35"/>
      <c r="AG21" s="35">
        <v>0</v>
      </c>
      <c r="AH21" s="35"/>
      <c r="AI21" s="45">
        <f t="shared" si="6"/>
        <v>0</v>
      </c>
      <c r="AJ21" s="45"/>
      <c r="AK21" s="35"/>
      <c r="AL21" s="35"/>
      <c r="AM21" s="35">
        <v>0</v>
      </c>
      <c r="AN21" s="35"/>
      <c r="AO21" s="35">
        <v>0</v>
      </c>
      <c r="AP21" s="35"/>
      <c r="AQ21" s="35">
        <v>0</v>
      </c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idden="1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>
        <f t="shared" si="2"/>
        <v>0</v>
      </c>
      <c r="N22" s="35"/>
      <c r="O22" s="35"/>
      <c r="P22" s="35"/>
      <c r="Q22" s="35"/>
      <c r="R22" s="35"/>
      <c r="S22" s="35">
        <v>0</v>
      </c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>
        <v>0</v>
      </c>
      <c r="AD22" s="35"/>
      <c r="AE22" s="35">
        <v>0</v>
      </c>
      <c r="AF22" s="35"/>
      <c r="AG22" s="35">
        <v>0</v>
      </c>
      <c r="AH22" s="35"/>
      <c r="AI22" s="45">
        <f t="shared" si="6"/>
        <v>0</v>
      </c>
      <c r="AJ22" s="45"/>
      <c r="AK22" s="35"/>
      <c r="AL22" s="35"/>
      <c r="AM22" s="35">
        <v>0</v>
      </c>
      <c r="AN22" s="35"/>
      <c r="AO22" s="35">
        <v>0</v>
      </c>
      <c r="AP22" s="35"/>
      <c r="AQ22" s="35">
        <v>0</v>
      </c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idden="1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>
        <f t="shared" si="2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idden="1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>
        <f t="shared" si="2"/>
        <v>0</v>
      </c>
      <c r="N24" s="35"/>
      <c r="O24" s="35"/>
      <c r="P24" s="35"/>
      <c r="Q24" s="35"/>
      <c r="R24" s="35"/>
      <c r="S24" s="35">
        <v>0</v>
      </c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>
        <v>0</v>
      </c>
      <c r="AD24" s="35"/>
      <c r="AE24" s="35">
        <v>0</v>
      </c>
      <c r="AF24" s="35"/>
      <c r="AG24" s="35">
        <v>0</v>
      </c>
      <c r="AH24" s="35"/>
      <c r="AI24" s="45">
        <f t="shared" si="6"/>
        <v>0</v>
      </c>
      <c r="AJ24" s="45"/>
      <c r="AK24" s="35"/>
      <c r="AL24" s="35"/>
      <c r="AM24" s="35">
        <v>0</v>
      </c>
      <c r="AN24" s="35"/>
      <c r="AO24" s="35">
        <v>0</v>
      </c>
      <c r="AP24" s="35"/>
      <c r="AQ24" s="35">
        <v>0</v>
      </c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idden="1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>
        <f t="shared" si="2"/>
        <v>0</v>
      </c>
      <c r="N25" s="35"/>
      <c r="O25" s="35"/>
      <c r="P25" s="35"/>
      <c r="Q25" s="35"/>
      <c r="R25" s="35"/>
      <c r="S25" s="35">
        <v>0</v>
      </c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>
        <v>0</v>
      </c>
      <c r="AD25" s="35"/>
      <c r="AE25" s="35">
        <v>0</v>
      </c>
      <c r="AF25" s="35"/>
      <c r="AG25" s="35">
        <v>0</v>
      </c>
      <c r="AH25" s="35"/>
      <c r="AI25" s="45">
        <f t="shared" si="6"/>
        <v>0</v>
      </c>
      <c r="AJ25" s="45"/>
      <c r="AK25" s="35"/>
      <c r="AL25" s="35"/>
      <c r="AM25" s="35">
        <v>0</v>
      </c>
      <c r="AN25" s="35"/>
      <c r="AO25" s="35">
        <v>0</v>
      </c>
      <c r="AP25" s="35"/>
      <c r="AQ25" s="35">
        <v>0</v>
      </c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>
      <c r="A26" s="35" t="s">
        <v>34</v>
      </c>
      <c r="C26" s="35" t="s">
        <v>30</v>
      </c>
      <c r="D26" s="35"/>
      <c r="E26" s="35">
        <f t="shared" si="0"/>
        <v>218407</v>
      </c>
      <c r="F26" s="35"/>
      <c r="G26" s="35">
        <v>62492</v>
      </c>
      <c r="H26" s="35"/>
      <c r="I26" s="35">
        <v>280899</v>
      </c>
      <c r="J26" s="35"/>
      <c r="K26" s="35">
        <f t="shared" si="1"/>
        <v>69222</v>
      </c>
      <c r="L26" s="35"/>
      <c r="M26" s="35">
        <v>2120</v>
      </c>
      <c r="N26" s="35"/>
      <c r="O26" s="35">
        <v>71342</v>
      </c>
      <c r="P26" s="35"/>
      <c r="Q26" s="35">
        <v>62492</v>
      </c>
      <c r="R26" s="35"/>
      <c r="S26" s="35">
        <v>0</v>
      </c>
      <c r="T26" s="35"/>
      <c r="U26" s="35">
        <v>147065</v>
      </c>
      <c r="V26" s="35"/>
      <c r="W26" s="35">
        <f t="shared" si="3"/>
        <v>209557</v>
      </c>
      <c r="X26" s="35"/>
      <c r="Y26" s="35" t="s">
        <v>34</v>
      </c>
      <c r="Z26" s="55"/>
      <c r="AA26" s="35" t="s">
        <v>30</v>
      </c>
      <c r="AB26" s="35"/>
      <c r="AC26" s="35">
        <v>517507</v>
      </c>
      <c r="AD26" s="35"/>
      <c r="AE26" s="35">
        <f>481826-11247</f>
        <v>470579</v>
      </c>
      <c r="AF26" s="35"/>
      <c r="AG26" s="35">
        <v>11247</v>
      </c>
      <c r="AH26" s="35"/>
      <c r="AI26" s="45">
        <f t="shared" si="6"/>
        <v>35681</v>
      </c>
      <c r="AJ26" s="45"/>
      <c r="AK26" s="35"/>
      <c r="AL26" s="35"/>
      <c r="AM26" s="35">
        <v>0</v>
      </c>
      <c r="AN26" s="35"/>
      <c r="AO26" s="35">
        <v>0</v>
      </c>
      <c r="AP26" s="35"/>
      <c r="AQ26" s="35">
        <v>0</v>
      </c>
      <c r="AR26" s="35"/>
      <c r="AS26" s="45">
        <f t="shared" si="7"/>
        <v>35681</v>
      </c>
      <c r="AT26" s="45"/>
      <c r="AU26" s="35">
        <v>0</v>
      </c>
      <c r="AV26" s="35"/>
      <c r="AW26" s="35">
        <v>0</v>
      </c>
      <c r="AX26" s="35"/>
      <c r="AY26" s="35">
        <f t="shared" si="4"/>
        <v>149185</v>
      </c>
      <c r="AZ26" s="35"/>
      <c r="BA26" s="35" t="s">
        <v>34</v>
      </c>
      <c r="BB26" s="55"/>
      <c r="BC26" s="35" t="s">
        <v>30</v>
      </c>
      <c r="BD26" s="35"/>
      <c r="BE26" s="35">
        <v>0</v>
      </c>
      <c r="BF26" s="35"/>
      <c r="BG26" s="35">
        <v>0</v>
      </c>
      <c r="BH26" s="35"/>
      <c r="BI26" s="35">
        <v>0</v>
      </c>
      <c r="BJ26" s="35"/>
      <c r="BK26" s="35">
        <f>2120+1124</f>
        <v>3244</v>
      </c>
      <c r="BL26" s="35"/>
      <c r="BM26" s="35">
        <f t="shared" si="5"/>
        <v>3244</v>
      </c>
      <c r="BN26" s="54" t="s">
        <v>347</v>
      </c>
    </row>
    <row r="27" spans="1:67">
      <c r="A27" s="35" t="s">
        <v>35</v>
      </c>
      <c r="C27" s="35" t="s">
        <v>36</v>
      </c>
      <c r="D27" s="35"/>
      <c r="E27" s="35">
        <f t="shared" si="0"/>
        <v>427400</v>
      </c>
      <c r="F27" s="35"/>
      <c r="G27" s="35">
        <v>44553</v>
      </c>
      <c r="H27" s="35"/>
      <c r="I27" s="35">
        <v>471953</v>
      </c>
      <c r="J27" s="35"/>
      <c r="K27" s="35">
        <f t="shared" si="1"/>
        <v>111083</v>
      </c>
      <c r="L27" s="35"/>
      <c r="M27" s="35">
        <v>1481438</v>
      </c>
      <c r="N27" s="35"/>
      <c r="O27" s="35">
        <v>1592521</v>
      </c>
      <c r="P27" s="35"/>
      <c r="Q27" s="35">
        <v>978177</v>
      </c>
      <c r="R27" s="35"/>
      <c r="S27" s="35">
        <v>0</v>
      </c>
      <c r="T27" s="35"/>
      <c r="U27" s="35">
        <v>88491</v>
      </c>
      <c r="V27" s="35"/>
      <c r="W27" s="35">
        <f t="shared" si="3"/>
        <v>1066668</v>
      </c>
      <c r="X27" s="35"/>
      <c r="Y27" s="35" t="s">
        <v>35</v>
      </c>
      <c r="Z27" s="55"/>
      <c r="AA27" s="35" t="s">
        <v>36</v>
      </c>
      <c r="AB27" s="35"/>
      <c r="AC27" s="35">
        <v>96362</v>
      </c>
      <c r="AD27" s="35"/>
      <c r="AE27" s="35">
        <f>260850-125635</f>
        <v>135215</v>
      </c>
      <c r="AF27" s="35"/>
      <c r="AG27" s="35">
        <v>125635</v>
      </c>
      <c r="AH27" s="35"/>
      <c r="AI27" s="45">
        <f t="shared" si="6"/>
        <v>-164488</v>
      </c>
      <c r="AJ27" s="45"/>
      <c r="AK27" s="35">
        <v>176413</v>
      </c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11925</v>
      </c>
      <c r="AT27" s="45"/>
      <c r="AU27" s="35">
        <v>0</v>
      </c>
      <c r="AV27" s="35"/>
      <c r="AW27" s="35">
        <v>0</v>
      </c>
      <c r="AX27" s="35"/>
      <c r="AY27" s="35">
        <f t="shared" si="4"/>
        <v>316317</v>
      </c>
      <c r="AZ27" s="35"/>
      <c r="BA27" s="35" t="s">
        <v>35</v>
      </c>
      <c r="BB27" s="55"/>
      <c r="BC27" s="35" t="s">
        <v>36</v>
      </c>
      <c r="BD27" s="35"/>
      <c r="BE27" s="35">
        <f>1481438+93742</f>
        <v>1575180</v>
      </c>
      <c r="BF27" s="35"/>
      <c r="BG27" s="35"/>
      <c r="BH27" s="35"/>
      <c r="BI27" s="35"/>
      <c r="BJ27" s="35"/>
      <c r="BK27" s="35"/>
      <c r="BL27" s="35"/>
      <c r="BM27" s="35">
        <f t="shared" si="5"/>
        <v>1575180</v>
      </c>
      <c r="BN27" s="54" t="s">
        <v>347</v>
      </c>
    </row>
    <row r="28" spans="1:67" hidden="1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>
        <f t="shared" si="2"/>
        <v>0</v>
      </c>
      <c r="N28" s="35"/>
      <c r="O28" s="35"/>
      <c r="P28" s="35"/>
      <c r="Q28" s="35"/>
      <c r="R28" s="35"/>
      <c r="S28" s="35">
        <v>0</v>
      </c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>
        <v>0</v>
      </c>
      <c r="AD28" s="35"/>
      <c r="AE28" s="35">
        <v>0</v>
      </c>
      <c r="AF28" s="35"/>
      <c r="AG28" s="35">
        <v>0</v>
      </c>
      <c r="AH28" s="35"/>
      <c r="AI28" s="45">
        <f t="shared" si="6"/>
        <v>0</v>
      </c>
      <c r="AJ28" s="45"/>
      <c r="AK28" s="35"/>
      <c r="AL28" s="35"/>
      <c r="AM28" s="35">
        <v>0</v>
      </c>
      <c r="AN28" s="35"/>
      <c r="AO28" s="35">
        <v>0</v>
      </c>
      <c r="AP28" s="35"/>
      <c r="AQ28" s="35">
        <v>0</v>
      </c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>
      <c r="A29" s="35" t="s">
        <v>39</v>
      </c>
      <c r="C29" s="35" t="s">
        <v>40</v>
      </c>
      <c r="D29" s="35"/>
      <c r="E29" s="35">
        <f t="shared" si="0"/>
        <v>541430</v>
      </c>
      <c r="F29" s="35"/>
      <c r="G29" s="35">
        <v>0</v>
      </c>
      <c r="H29" s="35"/>
      <c r="I29" s="35">
        <v>541430</v>
      </c>
      <c r="J29" s="35"/>
      <c r="K29" s="35">
        <f t="shared" si="1"/>
        <v>23362</v>
      </c>
      <c r="L29" s="35"/>
      <c r="M29" s="35">
        <v>358</v>
      </c>
      <c r="N29" s="35"/>
      <c r="O29" s="35">
        <v>23720</v>
      </c>
      <c r="P29" s="35"/>
      <c r="Q29" s="35">
        <v>0</v>
      </c>
      <c r="R29" s="35"/>
      <c r="S29" s="35">
        <v>0</v>
      </c>
      <c r="T29" s="35"/>
      <c r="U29" s="35">
        <v>517710</v>
      </c>
      <c r="V29" s="35"/>
      <c r="W29" s="35">
        <f t="shared" si="3"/>
        <v>517710</v>
      </c>
      <c r="X29" s="35"/>
      <c r="Y29" s="35" t="s">
        <v>39</v>
      </c>
      <c r="Z29" s="55"/>
      <c r="AA29" s="35" t="s">
        <v>40</v>
      </c>
      <c r="AB29" s="35"/>
      <c r="AC29" s="35">
        <v>741083</v>
      </c>
      <c r="AD29" s="35"/>
      <c r="AE29" s="35">
        <v>660307</v>
      </c>
      <c r="AF29" s="35"/>
      <c r="AG29" s="35">
        <v>0</v>
      </c>
      <c r="AH29" s="35"/>
      <c r="AI29" s="45">
        <f t="shared" si="6"/>
        <v>80776</v>
      </c>
      <c r="AJ29" s="45"/>
      <c r="AK29" s="35">
        <v>0</v>
      </c>
      <c r="AL29" s="35"/>
      <c r="AM29" s="35">
        <v>0</v>
      </c>
      <c r="AN29" s="35"/>
      <c r="AO29" s="35">
        <v>0</v>
      </c>
      <c r="AP29" s="35"/>
      <c r="AQ29" s="35">
        <v>0</v>
      </c>
      <c r="AR29" s="35"/>
      <c r="AS29" s="45">
        <f t="shared" ref="AS29" si="8">+AI29+AK29+AM29-AO29+AQ29</f>
        <v>80776</v>
      </c>
      <c r="AT29" s="45"/>
      <c r="AU29" s="35">
        <v>0</v>
      </c>
      <c r="AV29" s="35"/>
      <c r="AW29" s="35">
        <v>0</v>
      </c>
      <c r="AX29" s="35"/>
      <c r="AY29" s="35">
        <f t="shared" si="4"/>
        <v>518068</v>
      </c>
      <c r="AZ29" s="35"/>
      <c r="BA29" s="35" t="s">
        <v>39</v>
      </c>
      <c r="BB29" s="55"/>
      <c r="BC29" s="35" t="s">
        <v>40</v>
      </c>
      <c r="BD29" s="35"/>
      <c r="BE29" s="35">
        <v>0</v>
      </c>
      <c r="BF29" s="35"/>
      <c r="BG29" s="35">
        <v>0</v>
      </c>
      <c r="BH29" s="35"/>
      <c r="BI29" s="35">
        <v>0</v>
      </c>
      <c r="BJ29" s="35"/>
      <c r="BK29" s="35">
        <v>358</v>
      </c>
      <c r="BL29" s="35"/>
      <c r="BM29" s="35">
        <f>SUM(BE29:BK29)</f>
        <v>358</v>
      </c>
      <c r="BN29" s="54" t="s">
        <v>347</v>
      </c>
    </row>
    <row r="30" spans="1:67" hidden="1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>
        <v>0</v>
      </c>
      <c r="H30" s="35"/>
      <c r="I30" s="35">
        <v>0</v>
      </c>
      <c r="J30" s="35"/>
      <c r="K30" s="35">
        <f t="shared" si="1"/>
        <v>0</v>
      </c>
      <c r="L30" s="35"/>
      <c r="M30" s="35">
        <v>0</v>
      </c>
      <c r="N30" s="35"/>
      <c r="O30" s="35">
        <v>0</v>
      </c>
      <c r="P30" s="35"/>
      <c r="Q30" s="35">
        <v>0</v>
      </c>
      <c r="R30" s="35"/>
      <c r="S30" s="35">
        <v>0</v>
      </c>
      <c r="T30" s="35"/>
      <c r="U30" s="35">
        <v>0</v>
      </c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>
        <v>0</v>
      </c>
      <c r="AD30" s="35"/>
      <c r="AE30" s="35">
        <v>0</v>
      </c>
      <c r="AF30" s="35"/>
      <c r="AG30" s="35">
        <v>0</v>
      </c>
      <c r="AH30" s="35"/>
      <c r="AI30" s="45">
        <f t="shared" si="6"/>
        <v>0</v>
      </c>
      <c r="AJ30" s="45"/>
      <c r="AK30" s="35"/>
      <c r="AL30" s="35"/>
      <c r="AM30" s="35">
        <v>0</v>
      </c>
      <c r="AN30" s="35"/>
      <c r="AO30" s="35">
        <v>0</v>
      </c>
      <c r="AP30" s="35"/>
      <c r="AQ30" s="35">
        <v>0</v>
      </c>
      <c r="AR30" s="35"/>
      <c r="AS30" s="45">
        <f t="shared" ref="AS30:AS34" si="9">+AI30+AK30+AM30-AO30+AQ30</f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idden="1">
      <c r="A31" s="35" t="s">
        <v>42</v>
      </c>
      <c r="C31" s="35" t="s">
        <v>43</v>
      </c>
      <c r="D31" s="35"/>
      <c r="E31" s="35">
        <f t="shared" si="0"/>
        <v>365770</v>
      </c>
      <c r="F31" s="35"/>
      <c r="G31" s="35">
        <v>51408</v>
      </c>
      <c r="H31" s="35"/>
      <c r="I31" s="35">
        <v>417178</v>
      </c>
      <c r="J31" s="35"/>
      <c r="K31" s="35">
        <f t="shared" si="1"/>
        <v>88233</v>
      </c>
      <c r="L31" s="35"/>
      <c r="M31" s="35">
        <v>0</v>
      </c>
      <c r="N31" s="35"/>
      <c r="O31" s="35">
        <v>88233</v>
      </c>
      <c r="P31" s="35"/>
      <c r="Q31" s="35">
        <v>51408</v>
      </c>
      <c r="R31" s="35"/>
      <c r="S31" s="35">
        <v>0</v>
      </c>
      <c r="T31" s="35"/>
      <c r="U31" s="35">
        <v>277537</v>
      </c>
      <c r="V31" s="35"/>
      <c r="W31" s="35">
        <f t="shared" si="3"/>
        <v>328945</v>
      </c>
      <c r="X31" s="35"/>
      <c r="Y31" s="35" t="s">
        <v>42</v>
      </c>
      <c r="Z31" s="55"/>
      <c r="AA31" s="35" t="s">
        <v>43</v>
      </c>
      <c r="AB31" s="35"/>
      <c r="AC31" s="35">
        <v>1187576</v>
      </c>
      <c r="AD31" s="35"/>
      <c r="AE31" s="35">
        <f>1060923-7666</f>
        <v>1053257</v>
      </c>
      <c r="AF31" s="35"/>
      <c r="AG31" s="35">
        <v>7666</v>
      </c>
      <c r="AH31" s="35"/>
      <c r="AI31" s="45">
        <f t="shared" si="6"/>
        <v>126653</v>
      </c>
      <c r="AJ31" s="45"/>
      <c r="AK31" s="35">
        <v>0</v>
      </c>
      <c r="AL31" s="35"/>
      <c r="AM31" s="35">
        <v>0</v>
      </c>
      <c r="AN31" s="35"/>
      <c r="AO31" s="35">
        <v>0</v>
      </c>
      <c r="AP31" s="35"/>
      <c r="AQ31" s="35">
        <v>0</v>
      </c>
      <c r="AR31" s="35"/>
      <c r="AS31" s="45">
        <f t="shared" si="9"/>
        <v>126653</v>
      </c>
      <c r="AT31" s="45"/>
      <c r="AU31" s="35">
        <v>0</v>
      </c>
      <c r="AV31" s="35"/>
      <c r="AW31" s="35">
        <v>0</v>
      </c>
      <c r="AX31" s="35"/>
      <c r="AY31" s="35">
        <f t="shared" si="4"/>
        <v>277537</v>
      </c>
      <c r="AZ31" s="35"/>
      <c r="BA31" s="35" t="s">
        <v>42</v>
      </c>
      <c r="BB31" s="55"/>
      <c r="BC31" s="35" t="s">
        <v>43</v>
      </c>
      <c r="BD31" s="35"/>
      <c r="BE31" s="35">
        <v>0</v>
      </c>
      <c r="BF31" s="35"/>
      <c r="BG31" s="35">
        <v>0</v>
      </c>
      <c r="BH31" s="35"/>
      <c r="BI31" s="35">
        <v>0</v>
      </c>
      <c r="BJ31" s="35"/>
      <c r="BK31" s="35">
        <v>0</v>
      </c>
      <c r="BL31" s="35"/>
      <c r="BM31" s="35">
        <f>SUM(BE31:BK31)</f>
        <v>0</v>
      </c>
      <c r="BN31" s="54" t="s">
        <v>347</v>
      </c>
    </row>
    <row r="32" spans="1:67" hidden="1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>
        <v>0</v>
      </c>
      <c r="H32" s="35"/>
      <c r="I32" s="35">
        <v>0</v>
      </c>
      <c r="J32" s="35"/>
      <c r="K32" s="35">
        <f t="shared" si="1"/>
        <v>0</v>
      </c>
      <c r="L32" s="35"/>
      <c r="M32" s="35">
        <v>0</v>
      </c>
      <c r="N32" s="35"/>
      <c r="O32" s="35">
        <v>0</v>
      </c>
      <c r="P32" s="35"/>
      <c r="Q32" s="35">
        <v>0</v>
      </c>
      <c r="R32" s="35"/>
      <c r="S32" s="35">
        <v>0</v>
      </c>
      <c r="T32" s="35"/>
      <c r="U32" s="35">
        <v>0</v>
      </c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>
        <v>0</v>
      </c>
      <c r="AD32" s="35"/>
      <c r="AE32" s="35">
        <v>0</v>
      </c>
      <c r="AF32" s="35"/>
      <c r="AG32" s="35">
        <v>0</v>
      </c>
      <c r="AH32" s="35"/>
      <c r="AI32" s="45">
        <v>0</v>
      </c>
      <c r="AJ32" s="45"/>
      <c r="AK32" s="35"/>
      <c r="AL32" s="35"/>
      <c r="AM32" s="35">
        <v>0</v>
      </c>
      <c r="AN32" s="35"/>
      <c r="AO32" s="35">
        <v>0</v>
      </c>
      <c r="AP32" s="35"/>
      <c r="AQ32" s="35">
        <v>0</v>
      </c>
      <c r="AR32" s="35"/>
      <c r="AS32" s="45">
        <f t="shared" si="9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f t="shared" ref="BM32:BM38" si="10">SUM(BE32:BK32)</f>
        <v>0</v>
      </c>
      <c r="BN32" s="54" t="s">
        <v>347</v>
      </c>
    </row>
    <row r="33" spans="1:95" hidden="1">
      <c r="A33" s="35" t="s">
        <v>46</v>
      </c>
      <c r="B33" s="65"/>
      <c r="C33" s="35" t="s">
        <v>47</v>
      </c>
      <c r="D33" s="35"/>
      <c r="E33" s="35">
        <f t="shared" si="0"/>
        <v>0</v>
      </c>
      <c r="F33" s="35"/>
      <c r="G33" s="35">
        <v>0</v>
      </c>
      <c r="H33" s="35"/>
      <c r="I33" s="35">
        <v>0</v>
      </c>
      <c r="J33" s="35"/>
      <c r="K33" s="35">
        <f t="shared" si="1"/>
        <v>0</v>
      </c>
      <c r="L33" s="35"/>
      <c r="M33" s="35">
        <v>0</v>
      </c>
      <c r="N33" s="35"/>
      <c r="O33" s="35">
        <v>0</v>
      </c>
      <c r="P33" s="35"/>
      <c r="Q33" s="35">
        <v>0</v>
      </c>
      <c r="R33" s="35"/>
      <c r="S33" s="35">
        <v>0</v>
      </c>
      <c r="T33" s="35"/>
      <c r="U33" s="35">
        <v>0</v>
      </c>
      <c r="V33" s="35"/>
      <c r="W33" s="35">
        <f t="shared" si="3"/>
        <v>0</v>
      </c>
      <c r="X33" s="35"/>
      <c r="Y33" s="35" t="s">
        <v>46</v>
      </c>
      <c r="Z33" s="55"/>
      <c r="AA33" s="35" t="s">
        <v>47</v>
      </c>
      <c r="AB33" s="35"/>
      <c r="AC33" s="35">
        <v>0</v>
      </c>
      <c r="AD33" s="35"/>
      <c r="AE33" s="35">
        <v>0</v>
      </c>
      <c r="AF33" s="35"/>
      <c r="AG33" s="35">
        <v>0</v>
      </c>
      <c r="AH33" s="35"/>
      <c r="AI33" s="45">
        <f>+AC33-AE33-AG33</f>
        <v>0</v>
      </c>
      <c r="AJ33" s="45"/>
      <c r="AK33" s="35"/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9"/>
        <v>0</v>
      </c>
      <c r="AT33" s="45"/>
      <c r="AU33" s="35">
        <v>0</v>
      </c>
      <c r="AV33" s="35"/>
      <c r="AW33" s="35">
        <v>0</v>
      </c>
      <c r="AX33" s="35"/>
      <c r="AY33" s="35">
        <f t="shared" si="4"/>
        <v>0</v>
      </c>
      <c r="AZ33" s="35"/>
      <c r="BA33" s="35" t="s">
        <v>46</v>
      </c>
      <c r="BB33" s="55"/>
      <c r="BC33" s="35" t="s">
        <v>47</v>
      </c>
      <c r="BD33" s="35"/>
      <c r="BE33" s="35"/>
      <c r="BF33" s="35"/>
      <c r="BG33" s="35"/>
      <c r="BH33" s="35"/>
      <c r="BI33" s="35"/>
      <c r="BJ33" s="35"/>
      <c r="BK33" s="35"/>
      <c r="BL33" s="35"/>
      <c r="BM33" s="35">
        <f t="shared" si="10"/>
        <v>0</v>
      </c>
      <c r="BN33" s="54" t="s">
        <v>347</v>
      </c>
    </row>
    <row r="34" spans="1:95" hidden="1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>
        <v>0</v>
      </c>
      <c r="H34" s="35"/>
      <c r="I34" s="35">
        <v>0</v>
      </c>
      <c r="J34" s="35"/>
      <c r="K34" s="35">
        <f t="shared" si="1"/>
        <v>0</v>
      </c>
      <c r="L34" s="35"/>
      <c r="M34" s="35">
        <v>0</v>
      </c>
      <c r="N34" s="35"/>
      <c r="O34" s="35">
        <v>0</v>
      </c>
      <c r="P34" s="35"/>
      <c r="Q34" s="35">
        <v>0</v>
      </c>
      <c r="R34" s="35"/>
      <c r="S34" s="35">
        <v>0</v>
      </c>
      <c r="T34" s="35"/>
      <c r="U34" s="35">
        <v>0</v>
      </c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>
        <v>0</v>
      </c>
      <c r="AD34" s="35"/>
      <c r="AE34" s="35">
        <v>0</v>
      </c>
      <c r="AF34" s="35"/>
      <c r="AG34" s="35">
        <v>0</v>
      </c>
      <c r="AH34" s="35"/>
      <c r="AI34" s="45">
        <f t="shared" ref="AI34:AI52" si="11">+AC34-AE34-AG34</f>
        <v>0</v>
      </c>
      <c r="AJ34" s="45"/>
      <c r="AK34" s="35"/>
      <c r="AL34" s="35"/>
      <c r="AM34" s="35">
        <v>0</v>
      </c>
      <c r="AN34" s="35"/>
      <c r="AO34" s="35">
        <v>0</v>
      </c>
      <c r="AP34" s="35"/>
      <c r="AQ34" s="35">
        <v>0</v>
      </c>
      <c r="AR34" s="35"/>
      <c r="AS34" s="45">
        <f t="shared" si="9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si="10"/>
        <v>0</v>
      </c>
      <c r="BN34" s="54" t="s">
        <v>347</v>
      </c>
    </row>
    <row r="35" spans="1:95" hidden="1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>
        <v>0</v>
      </c>
      <c r="H35" s="35"/>
      <c r="I35" s="35">
        <v>0</v>
      </c>
      <c r="J35" s="35"/>
      <c r="K35" s="35">
        <f t="shared" si="1"/>
        <v>0</v>
      </c>
      <c r="L35" s="35"/>
      <c r="M35" s="35">
        <v>0</v>
      </c>
      <c r="N35" s="35"/>
      <c r="O35" s="35">
        <v>0</v>
      </c>
      <c r="P35" s="35"/>
      <c r="Q35" s="35">
        <v>0</v>
      </c>
      <c r="R35" s="35"/>
      <c r="S35" s="35">
        <v>0</v>
      </c>
      <c r="T35" s="35"/>
      <c r="U35" s="35">
        <v>0</v>
      </c>
      <c r="V35" s="35"/>
      <c r="W35" s="35">
        <f t="shared" ref="W35:W74" si="12">SUM(Q35:U35)</f>
        <v>0</v>
      </c>
      <c r="X35" s="35"/>
      <c r="Y35" s="35" t="s">
        <v>49</v>
      </c>
      <c r="Z35" s="55"/>
      <c r="AA35" s="35" t="s">
        <v>27</v>
      </c>
      <c r="AB35" s="35"/>
      <c r="AC35" s="35">
        <v>0</v>
      </c>
      <c r="AD35" s="35"/>
      <c r="AE35" s="35">
        <v>0</v>
      </c>
      <c r="AF35" s="35"/>
      <c r="AG35" s="35">
        <v>0</v>
      </c>
      <c r="AH35" s="35"/>
      <c r="AI35" s="45">
        <f t="shared" si="11"/>
        <v>0</v>
      </c>
      <c r="AJ35" s="45"/>
      <c r="AK35" s="35"/>
      <c r="AL35" s="35"/>
      <c r="AM35" s="35">
        <v>0</v>
      </c>
      <c r="AN35" s="35"/>
      <c r="AO35" s="35">
        <v>0</v>
      </c>
      <c r="AP35" s="35"/>
      <c r="AQ35" s="35">
        <v>0</v>
      </c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0"/>
        <v>0</v>
      </c>
      <c r="BN35" s="54" t="s">
        <v>347</v>
      </c>
      <c r="BO35" s="55" t="s">
        <v>371</v>
      </c>
    </row>
    <row r="36" spans="1:95" hidden="1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>
        <v>0</v>
      </c>
      <c r="H36" s="35"/>
      <c r="I36" s="35">
        <v>0</v>
      </c>
      <c r="J36" s="35"/>
      <c r="K36" s="35">
        <f t="shared" si="1"/>
        <v>0</v>
      </c>
      <c r="L36" s="35"/>
      <c r="M36" s="35">
        <v>0</v>
      </c>
      <c r="N36" s="35"/>
      <c r="O36" s="35">
        <v>0</v>
      </c>
      <c r="P36" s="35"/>
      <c r="Q36" s="35">
        <v>0</v>
      </c>
      <c r="R36" s="35"/>
      <c r="S36" s="35">
        <v>0</v>
      </c>
      <c r="T36" s="35"/>
      <c r="U36" s="35">
        <v>0</v>
      </c>
      <c r="V36" s="35"/>
      <c r="W36" s="35">
        <f t="shared" si="12"/>
        <v>0</v>
      </c>
      <c r="X36" s="35"/>
      <c r="Y36" s="35" t="s">
        <v>50</v>
      </c>
      <c r="Z36" s="55"/>
      <c r="AA36" s="35" t="s">
        <v>27</v>
      </c>
      <c r="AB36" s="35"/>
      <c r="AC36" s="35">
        <v>0</v>
      </c>
      <c r="AD36" s="35"/>
      <c r="AE36" s="35">
        <v>0</v>
      </c>
      <c r="AF36" s="35"/>
      <c r="AG36" s="35">
        <v>0</v>
      </c>
      <c r="AH36" s="35"/>
      <c r="AI36" s="45">
        <f t="shared" si="11"/>
        <v>0</v>
      </c>
      <c r="AJ36" s="45"/>
      <c r="AK36" s="35"/>
      <c r="AL36" s="35"/>
      <c r="AM36" s="35">
        <v>0</v>
      </c>
      <c r="AN36" s="35"/>
      <c r="AO36" s="35">
        <v>0</v>
      </c>
      <c r="AP36" s="35"/>
      <c r="AQ36" s="35">
        <v>0</v>
      </c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0"/>
        <v>0</v>
      </c>
      <c r="BN36" s="54" t="s">
        <v>347</v>
      </c>
    </row>
    <row r="37" spans="1:95" hidden="1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>
        <v>0</v>
      </c>
      <c r="H37" s="35"/>
      <c r="I37" s="35">
        <v>0</v>
      </c>
      <c r="J37" s="35"/>
      <c r="K37" s="35">
        <f t="shared" si="1"/>
        <v>0</v>
      </c>
      <c r="L37" s="35"/>
      <c r="M37" s="35">
        <v>0</v>
      </c>
      <c r="N37" s="35"/>
      <c r="O37" s="35">
        <v>0</v>
      </c>
      <c r="P37" s="35"/>
      <c r="Q37" s="35">
        <v>0</v>
      </c>
      <c r="R37" s="35"/>
      <c r="S37" s="35">
        <v>0</v>
      </c>
      <c r="T37" s="35"/>
      <c r="U37" s="35">
        <v>0</v>
      </c>
      <c r="V37" s="35"/>
      <c r="W37" s="35">
        <f t="shared" si="12"/>
        <v>0</v>
      </c>
      <c r="X37" s="35"/>
      <c r="Y37" s="35" t="s">
        <v>51</v>
      </c>
      <c r="Z37" s="55"/>
      <c r="AA37" s="35" t="s">
        <v>27</v>
      </c>
      <c r="AB37" s="35"/>
      <c r="AC37" s="35">
        <v>0</v>
      </c>
      <c r="AD37" s="35"/>
      <c r="AE37" s="35">
        <v>0</v>
      </c>
      <c r="AF37" s="35"/>
      <c r="AG37" s="35">
        <v>0</v>
      </c>
      <c r="AH37" s="35"/>
      <c r="AI37" s="45">
        <f t="shared" si="11"/>
        <v>0</v>
      </c>
      <c r="AJ37" s="45"/>
      <c r="AK37" s="35"/>
      <c r="AL37" s="35"/>
      <c r="AM37" s="35">
        <v>0</v>
      </c>
      <c r="AN37" s="35"/>
      <c r="AO37" s="35">
        <v>0</v>
      </c>
      <c r="AP37" s="35"/>
      <c r="AQ37" s="35">
        <v>0</v>
      </c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0"/>
        <v>0</v>
      </c>
      <c r="BN37" s="54" t="s">
        <v>347</v>
      </c>
    </row>
    <row r="38" spans="1:95" s="35" customFormat="1" ht="12.75" customHeight="1">
      <c r="A38" s="35" t="s">
        <v>462</v>
      </c>
      <c r="B38" s="51"/>
      <c r="C38" s="35" t="s">
        <v>66</v>
      </c>
      <c r="D38" s="44"/>
      <c r="E38" s="53">
        <f t="shared" si="0"/>
        <v>227992</v>
      </c>
      <c r="F38" s="53"/>
      <c r="G38" s="53">
        <v>4306</v>
      </c>
      <c r="H38" s="53"/>
      <c r="I38" s="53">
        <v>232298</v>
      </c>
      <c r="J38" s="53"/>
      <c r="K38" s="53">
        <f t="shared" si="1"/>
        <v>21936</v>
      </c>
      <c r="L38" s="53"/>
      <c r="M38" s="53">
        <v>5188</v>
      </c>
      <c r="N38" s="53"/>
      <c r="O38" s="53">
        <v>27124</v>
      </c>
      <c r="P38" s="53"/>
      <c r="Q38" s="53">
        <v>4306</v>
      </c>
      <c r="R38" s="53"/>
      <c r="S38" s="53">
        <v>0</v>
      </c>
      <c r="T38" s="53"/>
      <c r="U38" s="53">
        <v>200868</v>
      </c>
      <c r="V38" s="53"/>
      <c r="W38" s="53">
        <f t="shared" ref="W38" si="13">SUM(Q38:U38)</f>
        <v>205174</v>
      </c>
      <c r="X38" s="51"/>
      <c r="Y38" s="35" t="s">
        <v>462</v>
      </c>
      <c r="Z38" s="53"/>
      <c r="AA38" s="35" t="s">
        <v>66</v>
      </c>
      <c r="AB38" s="51"/>
      <c r="AC38" s="35">
        <v>374887</v>
      </c>
      <c r="AE38" s="35">
        <f>369068-506</f>
        <v>368562</v>
      </c>
      <c r="AG38" s="35">
        <v>506</v>
      </c>
      <c r="AI38" s="45">
        <f t="shared" si="11"/>
        <v>5819</v>
      </c>
      <c r="AJ38" s="45"/>
      <c r="AK38" s="35">
        <v>0</v>
      </c>
      <c r="AM38" s="35">
        <v>0</v>
      </c>
      <c r="AO38" s="35">
        <v>0</v>
      </c>
      <c r="AQ38" s="35">
        <v>0</v>
      </c>
      <c r="AS38" s="45">
        <f t="shared" ref="AS38" si="14">+AI38+AK38+AM38-AO38+AQ38</f>
        <v>5819</v>
      </c>
      <c r="AT38" s="45"/>
      <c r="AU38" s="35">
        <v>0</v>
      </c>
      <c r="AW38" s="35">
        <v>0</v>
      </c>
      <c r="AY38" s="35">
        <f t="shared" ref="AY38" si="15">+E38-K38</f>
        <v>206056</v>
      </c>
      <c r="AZ38" s="53"/>
      <c r="BA38" s="35" t="s">
        <v>462</v>
      </c>
      <c r="BC38" s="35" t="s">
        <v>66</v>
      </c>
      <c r="BE38" s="53">
        <v>0</v>
      </c>
      <c r="BF38" s="53"/>
      <c r="BG38" s="53">
        <v>0</v>
      </c>
      <c r="BH38" s="53"/>
      <c r="BI38" s="53">
        <v>0</v>
      </c>
      <c r="BJ38" s="53"/>
      <c r="BK38" s="53">
        <f>5188+6899</f>
        <v>12087</v>
      </c>
      <c r="BL38" s="53"/>
      <c r="BM38" s="35">
        <f t="shared" si="10"/>
        <v>12087</v>
      </c>
      <c r="BN38" s="53">
        <f t="shared" ref="BN38" si="16">SUM(BF38:BL38)</f>
        <v>12087</v>
      </c>
      <c r="BO38" s="54"/>
      <c r="BP38" s="55"/>
      <c r="BS38" s="55"/>
      <c r="BT38" s="55"/>
      <c r="BU38" s="84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>
      <c r="A39" s="35" t="s">
        <v>52</v>
      </c>
      <c r="C39" s="35" t="s">
        <v>53</v>
      </c>
      <c r="D39" s="35"/>
      <c r="E39" s="35">
        <f t="shared" si="0"/>
        <v>785139</v>
      </c>
      <c r="F39" s="35"/>
      <c r="G39" s="35">
        <v>194474</v>
      </c>
      <c r="H39" s="35"/>
      <c r="I39" s="35">
        <v>979613</v>
      </c>
      <c r="J39" s="35"/>
      <c r="K39" s="35">
        <f t="shared" si="1"/>
        <v>191024</v>
      </c>
      <c r="L39" s="35"/>
      <c r="M39" s="35">
        <v>1070</v>
      </c>
      <c r="N39" s="35"/>
      <c r="O39" s="35">
        <v>192094</v>
      </c>
      <c r="P39" s="35"/>
      <c r="Q39" s="35">
        <v>194474</v>
      </c>
      <c r="R39" s="35"/>
      <c r="S39" s="35">
        <v>0</v>
      </c>
      <c r="T39" s="35"/>
      <c r="U39" s="35">
        <v>603045</v>
      </c>
      <c r="V39" s="35"/>
      <c r="W39" s="35">
        <f t="shared" si="12"/>
        <v>797519</v>
      </c>
      <c r="X39" s="35"/>
      <c r="Y39" s="35" t="s">
        <v>52</v>
      </c>
      <c r="Z39" s="55"/>
      <c r="AA39" s="35" t="s">
        <v>53</v>
      </c>
      <c r="AB39" s="35"/>
      <c r="AC39" s="35">
        <v>2238200</v>
      </c>
      <c r="AD39" s="35"/>
      <c r="AE39" s="35">
        <f>2211419-25541</f>
        <v>2185878</v>
      </c>
      <c r="AF39" s="35"/>
      <c r="AG39" s="35">
        <v>25541</v>
      </c>
      <c r="AH39" s="35"/>
      <c r="AI39" s="45">
        <f t="shared" si="11"/>
        <v>26781</v>
      </c>
      <c r="AJ39" s="45"/>
      <c r="AK39" s="35">
        <v>-54</v>
      </c>
      <c r="AL39" s="35"/>
      <c r="AM39" s="35">
        <v>0</v>
      </c>
      <c r="AN39" s="35"/>
      <c r="AO39" s="35">
        <v>0</v>
      </c>
      <c r="AP39" s="35"/>
      <c r="AQ39" s="35">
        <v>0</v>
      </c>
      <c r="AR39" s="35"/>
      <c r="AS39" s="45">
        <f t="shared" ref="AS39:AS102" si="17">+AI39+AK39+AM39-AO39+AQ39</f>
        <v>26727</v>
      </c>
      <c r="AT39" s="45"/>
      <c r="AU39" s="35">
        <v>0</v>
      </c>
      <c r="AV39" s="35"/>
      <c r="AW39" s="35">
        <v>0</v>
      </c>
      <c r="AX39" s="35"/>
      <c r="AY39" s="35">
        <f t="shared" si="4"/>
        <v>594115</v>
      </c>
      <c r="AZ39" s="35"/>
      <c r="BA39" s="35" t="s">
        <v>52</v>
      </c>
      <c r="BB39" s="55"/>
      <c r="BC39" s="35" t="s">
        <v>53</v>
      </c>
      <c r="BD39" s="35"/>
      <c r="BE39" s="35">
        <v>0</v>
      </c>
      <c r="BF39" s="35"/>
      <c r="BG39" s="35">
        <v>0</v>
      </c>
      <c r="BH39" s="35"/>
      <c r="BI39" s="35">
        <v>0</v>
      </c>
      <c r="BJ39" s="35"/>
      <c r="BK39" s="35">
        <f>1070+167</f>
        <v>1237</v>
      </c>
      <c r="BL39" s="35"/>
      <c r="BM39" s="35">
        <f t="shared" ref="BM39:BM98" si="18">SUM(BE39:BK39)</f>
        <v>1237</v>
      </c>
      <c r="BN39" s="54" t="s">
        <v>347</v>
      </c>
    </row>
    <row r="40" spans="1:95">
      <c r="A40" s="35" t="s">
        <v>54</v>
      </c>
      <c r="C40" s="35" t="s">
        <v>55</v>
      </c>
      <c r="D40" s="35"/>
      <c r="E40" s="35">
        <f t="shared" si="0"/>
        <v>454464</v>
      </c>
      <c r="F40" s="35"/>
      <c r="G40" s="35">
        <v>278106</v>
      </c>
      <c r="H40" s="35"/>
      <c r="I40" s="35">
        <v>732570</v>
      </c>
      <c r="J40" s="35"/>
      <c r="K40" s="35">
        <f t="shared" si="1"/>
        <v>200042</v>
      </c>
      <c r="L40" s="35"/>
      <c r="M40" s="35">
        <v>439779</v>
      </c>
      <c r="N40" s="35"/>
      <c r="O40" s="35">
        <v>639821</v>
      </c>
      <c r="P40" s="35"/>
      <c r="Q40" s="35">
        <v>278106</v>
      </c>
      <c r="R40" s="35"/>
      <c r="S40" s="35">
        <v>0</v>
      </c>
      <c r="T40" s="35"/>
      <c r="U40" s="35">
        <v>361844</v>
      </c>
      <c r="V40" s="64"/>
      <c r="W40" s="64">
        <f t="shared" si="12"/>
        <v>639950</v>
      </c>
      <c r="X40" s="35"/>
      <c r="Y40" s="35" t="s">
        <v>54</v>
      </c>
      <c r="Z40" s="55"/>
      <c r="AA40" s="35" t="s">
        <v>55</v>
      </c>
      <c r="AB40" s="35"/>
      <c r="AC40" s="64">
        <v>917371</v>
      </c>
      <c r="AD40" s="64"/>
      <c r="AE40" s="64">
        <f>925861-29963</f>
        <v>895898</v>
      </c>
      <c r="AF40" s="64"/>
      <c r="AG40" s="64">
        <v>29963</v>
      </c>
      <c r="AH40" s="64"/>
      <c r="AI40" s="94">
        <f t="shared" si="11"/>
        <v>-8490</v>
      </c>
      <c r="AJ40" s="94"/>
      <c r="AK40" s="64">
        <v>3991</v>
      </c>
      <c r="AL40" s="64"/>
      <c r="AM40" s="64">
        <v>0</v>
      </c>
      <c r="AN40" s="64"/>
      <c r="AO40" s="64">
        <v>0</v>
      </c>
      <c r="AP40" s="64"/>
      <c r="AQ40" s="64">
        <v>0</v>
      </c>
      <c r="AR40" s="64"/>
      <c r="AS40" s="94">
        <f t="shared" si="17"/>
        <v>-4499</v>
      </c>
      <c r="AT40" s="94"/>
      <c r="AU40" s="64">
        <v>0</v>
      </c>
      <c r="AV40" s="64"/>
      <c r="AW40" s="64">
        <v>0</v>
      </c>
      <c r="AX40" s="64"/>
      <c r="AY40" s="64">
        <f t="shared" si="4"/>
        <v>254422</v>
      </c>
      <c r="AZ40" s="35"/>
      <c r="BA40" s="35" t="s">
        <v>54</v>
      </c>
      <c r="BB40" s="55"/>
      <c r="BC40" s="35" t="s">
        <v>55</v>
      </c>
      <c r="BD40" s="35"/>
      <c r="BE40" s="35">
        <v>0</v>
      </c>
      <c r="BF40" s="35"/>
      <c r="BG40" s="35">
        <v>0</v>
      </c>
      <c r="BH40" s="35"/>
      <c r="BI40" s="35">
        <v>0</v>
      </c>
      <c r="BJ40" s="35"/>
      <c r="BK40" s="35">
        <f>49149+14022</f>
        <v>63171</v>
      </c>
      <c r="BL40" s="64"/>
      <c r="BM40" s="64">
        <f t="shared" si="18"/>
        <v>63171</v>
      </c>
      <c r="BN40" s="54" t="s">
        <v>347</v>
      </c>
    </row>
    <row r="41" spans="1:95">
      <c r="A41" s="35" t="s">
        <v>56</v>
      </c>
      <c r="C41" s="35" t="s">
        <v>57</v>
      </c>
      <c r="D41" s="35"/>
      <c r="E41" s="35">
        <f t="shared" si="0"/>
        <v>375689</v>
      </c>
      <c r="F41" s="35"/>
      <c r="G41" s="35">
        <v>195049</v>
      </c>
      <c r="H41" s="35"/>
      <c r="I41" s="35">
        <v>570738</v>
      </c>
      <c r="J41" s="35"/>
      <c r="K41" s="35">
        <f t="shared" si="1"/>
        <v>141554</v>
      </c>
      <c r="L41" s="35"/>
      <c r="M41" s="35">
        <v>15208</v>
      </c>
      <c r="N41" s="35"/>
      <c r="O41" s="35">
        <v>156762</v>
      </c>
      <c r="P41" s="35"/>
      <c r="Q41" s="35">
        <v>195049</v>
      </c>
      <c r="R41" s="35"/>
      <c r="S41" s="35">
        <v>0</v>
      </c>
      <c r="T41" s="35"/>
      <c r="U41" s="35">
        <v>218927</v>
      </c>
      <c r="V41" s="35"/>
      <c r="W41" s="35">
        <f t="shared" si="12"/>
        <v>413976</v>
      </c>
      <c r="X41" s="35"/>
      <c r="Y41" s="35" t="s">
        <v>56</v>
      </c>
      <c r="Z41" s="55"/>
      <c r="AA41" s="35" t="s">
        <v>57</v>
      </c>
      <c r="AB41" s="35"/>
      <c r="AC41" s="35">
        <v>872058</v>
      </c>
      <c r="AD41" s="35"/>
      <c r="AE41" s="35">
        <f>840698-30234</f>
        <v>810464</v>
      </c>
      <c r="AF41" s="35"/>
      <c r="AG41" s="35">
        <v>30234</v>
      </c>
      <c r="AH41" s="35"/>
      <c r="AI41" s="45">
        <f t="shared" si="11"/>
        <v>31360</v>
      </c>
      <c r="AJ41" s="45"/>
      <c r="AK41" s="35">
        <v>5700</v>
      </c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7"/>
        <v>37060</v>
      </c>
      <c r="AT41" s="45"/>
      <c r="AU41" s="35">
        <v>0</v>
      </c>
      <c r="AV41" s="35"/>
      <c r="AW41" s="35">
        <v>0</v>
      </c>
      <c r="AX41" s="35"/>
      <c r="AY41" s="35">
        <f t="shared" si="4"/>
        <v>234135</v>
      </c>
      <c r="AZ41" s="35"/>
      <c r="BA41" s="35" t="s">
        <v>56</v>
      </c>
      <c r="BB41" s="55"/>
      <c r="BC41" s="35" t="s">
        <v>57</v>
      </c>
      <c r="BD41" s="35"/>
      <c r="BE41" s="35">
        <v>0</v>
      </c>
      <c r="BF41" s="35"/>
      <c r="BG41" s="35">
        <v>0</v>
      </c>
      <c r="BH41" s="35"/>
      <c r="BI41" s="35">
        <v>0</v>
      </c>
      <c r="BJ41" s="35"/>
      <c r="BK41" s="35">
        <f>15208+7939</f>
        <v>23147</v>
      </c>
      <c r="BL41" s="35"/>
      <c r="BM41" s="35">
        <f t="shared" si="18"/>
        <v>23147</v>
      </c>
      <c r="BN41" s="54" t="s">
        <v>347</v>
      </c>
    </row>
    <row r="42" spans="1:95" hidden="1">
      <c r="A42" s="35" t="s">
        <v>58</v>
      </c>
      <c r="C42" s="35" t="s">
        <v>59</v>
      </c>
      <c r="D42" s="35"/>
      <c r="E42" s="35">
        <f t="shared" si="0"/>
        <v>0</v>
      </c>
      <c r="F42" s="35"/>
      <c r="G42" s="35">
        <v>0</v>
      </c>
      <c r="H42" s="35"/>
      <c r="I42" s="35">
        <v>0</v>
      </c>
      <c r="J42" s="35"/>
      <c r="K42" s="35">
        <f t="shared" si="1"/>
        <v>0</v>
      </c>
      <c r="L42" s="35"/>
      <c r="M42" s="35">
        <v>0</v>
      </c>
      <c r="N42" s="35"/>
      <c r="O42" s="35">
        <v>0</v>
      </c>
      <c r="P42" s="35"/>
      <c r="Q42" s="35">
        <v>0</v>
      </c>
      <c r="R42" s="35"/>
      <c r="S42" s="35">
        <v>0</v>
      </c>
      <c r="T42" s="35"/>
      <c r="U42" s="35">
        <v>0</v>
      </c>
      <c r="V42" s="35"/>
      <c r="W42" s="35">
        <f t="shared" si="12"/>
        <v>0</v>
      </c>
      <c r="X42" s="35"/>
      <c r="Y42" s="35" t="s">
        <v>58</v>
      </c>
      <c r="Z42" s="55"/>
      <c r="AA42" s="35" t="s">
        <v>59</v>
      </c>
      <c r="AB42" s="35"/>
      <c r="AC42" s="35">
        <v>0</v>
      </c>
      <c r="AD42" s="35"/>
      <c r="AE42" s="35">
        <v>0</v>
      </c>
      <c r="AF42" s="35"/>
      <c r="AG42" s="35">
        <v>0</v>
      </c>
      <c r="AH42" s="35"/>
      <c r="AI42" s="45">
        <f t="shared" si="11"/>
        <v>0</v>
      </c>
      <c r="AJ42" s="45"/>
      <c r="AK42" s="35"/>
      <c r="AL42" s="35"/>
      <c r="AM42" s="35">
        <v>0</v>
      </c>
      <c r="AN42" s="35"/>
      <c r="AO42" s="35">
        <v>0</v>
      </c>
      <c r="AP42" s="35"/>
      <c r="AQ42" s="35">
        <v>0</v>
      </c>
      <c r="AR42" s="35"/>
      <c r="AS42" s="45">
        <f t="shared" si="17"/>
        <v>0</v>
      </c>
      <c r="AT42" s="45"/>
      <c r="AU42" s="35">
        <v>0</v>
      </c>
      <c r="AV42" s="35"/>
      <c r="AW42" s="35">
        <v>0</v>
      </c>
      <c r="AX42" s="35"/>
      <c r="AY42" s="35">
        <f t="shared" si="4"/>
        <v>0</v>
      </c>
      <c r="AZ42" s="35"/>
      <c r="BA42" s="35" t="s">
        <v>58</v>
      </c>
      <c r="BB42" s="55"/>
      <c r="BC42" s="35" t="s">
        <v>59</v>
      </c>
      <c r="BD42" s="35"/>
      <c r="BE42" s="35">
        <v>0</v>
      </c>
      <c r="BF42" s="35"/>
      <c r="BG42" s="35">
        <v>0</v>
      </c>
      <c r="BH42" s="35"/>
      <c r="BI42" s="35">
        <v>0</v>
      </c>
      <c r="BJ42" s="35"/>
      <c r="BK42" s="35">
        <v>0</v>
      </c>
      <c r="BL42" s="35"/>
      <c r="BM42" s="35">
        <f t="shared" si="18"/>
        <v>0</v>
      </c>
      <c r="BN42" s="54" t="s">
        <v>347</v>
      </c>
    </row>
    <row r="43" spans="1:95" hidden="1">
      <c r="A43" s="44" t="s">
        <v>476</v>
      </c>
      <c r="C43" s="35" t="s">
        <v>15</v>
      </c>
      <c r="D43" s="35"/>
      <c r="E43" s="35">
        <f t="shared" si="0"/>
        <v>0</v>
      </c>
      <c r="F43" s="35"/>
      <c r="G43" s="35">
        <v>0</v>
      </c>
      <c r="H43" s="35"/>
      <c r="I43" s="35">
        <v>0</v>
      </c>
      <c r="J43" s="35"/>
      <c r="K43" s="35">
        <f t="shared" si="1"/>
        <v>0</v>
      </c>
      <c r="L43" s="35"/>
      <c r="M43" s="35">
        <v>0</v>
      </c>
      <c r="N43" s="35"/>
      <c r="O43" s="35">
        <v>0</v>
      </c>
      <c r="P43" s="35"/>
      <c r="Q43" s="35">
        <v>0</v>
      </c>
      <c r="R43" s="35"/>
      <c r="S43" s="35">
        <v>0</v>
      </c>
      <c r="T43" s="35"/>
      <c r="U43" s="35">
        <v>0</v>
      </c>
      <c r="V43" s="35"/>
      <c r="W43" s="35">
        <f t="shared" si="12"/>
        <v>0</v>
      </c>
      <c r="X43" s="35"/>
      <c r="Y43" s="44" t="s">
        <v>62</v>
      </c>
      <c r="Z43" s="55"/>
      <c r="AA43" s="35" t="s">
        <v>15</v>
      </c>
      <c r="AB43" s="35"/>
      <c r="AC43" s="35"/>
      <c r="AD43" s="35"/>
      <c r="AE43" s="35"/>
      <c r="AF43" s="35"/>
      <c r="AG43" s="35"/>
      <c r="AH43" s="35"/>
      <c r="AI43" s="45">
        <f t="shared" si="11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si="17"/>
        <v>0</v>
      </c>
      <c r="AT43" s="45"/>
      <c r="AU43" s="35">
        <v>0</v>
      </c>
      <c r="AV43" s="35"/>
      <c r="AW43" s="35">
        <v>0</v>
      </c>
      <c r="AX43" s="35"/>
      <c r="AY43" s="35">
        <f t="shared" si="4"/>
        <v>0</v>
      </c>
      <c r="AZ43" s="35"/>
      <c r="BA43" s="44" t="s">
        <v>62</v>
      </c>
      <c r="BB43" s="55"/>
      <c r="BC43" s="35" t="s">
        <v>15</v>
      </c>
      <c r="BD43" s="35"/>
      <c r="BE43" s="35">
        <v>0</v>
      </c>
      <c r="BF43" s="35"/>
      <c r="BG43" s="35">
        <v>0</v>
      </c>
      <c r="BH43" s="35"/>
      <c r="BI43" s="35">
        <v>0</v>
      </c>
      <c r="BJ43" s="35"/>
      <c r="BK43" s="35">
        <v>0</v>
      </c>
      <c r="BL43" s="35"/>
      <c r="BM43" s="35">
        <f t="shared" si="18"/>
        <v>0</v>
      </c>
      <c r="BN43" s="54" t="s">
        <v>347</v>
      </c>
    </row>
    <row r="44" spans="1:95" hidden="1">
      <c r="A44" s="35" t="s">
        <v>60</v>
      </c>
      <c r="C44" s="35" t="s">
        <v>61</v>
      </c>
      <c r="D44" s="35"/>
      <c r="E44" s="35">
        <f t="shared" si="0"/>
        <v>0</v>
      </c>
      <c r="F44" s="35"/>
      <c r="G44" s="35">
        <v>0</v>
      </c>
      <c r="H44" s="35"/>
      <c r="I44" s="35">
        <v>0</v>
      </c>
      <c r="J44" s="35"/>
      <c r="K44" s="35">
        <f t="shared" si="1"/>
        <v>0</v>
      </c>
      <c r="L44" s="35"/>
      <c r="M44" s="35">
        <v>0</v>
      </c>
      <c r="N44" s="35"/>
      <c r="O44" s="35">
        <v>0</v>
      </c>
      <c r="P44" s="35"/>
      <c r="Q44" s="35">
        <v>0</v>
      </c>
      <c r="R44" s="35"/>
      <c r="S44" s="35">
        <v>0</v>
      </c>
      <c r="T44" s="35"/>
      <c r="U44" s="35">
        <v>0</v>
      </c>
      <c r="V44" s="35"/>
      <c r="W44" s="35">
        <f t="shared" si="12"/>
        <v>0</v>
      </c>
      <c r="X44" s="35"/>
      <c r="Y44" s="35" t="s">
        <v>60</v>
      </c>
      <c r="Z44" s="55"/>
      <c r="AA44" s="35" t="s">
        <v>61</v>
      </c>
      <c r="AB44" s="35"/>
      <c r="AC44" s="35"/>
      <c r="AD44" s="35"/>
      <c r="AE44" s="35"/>
      <c r="AF44" s="35"/>
      <c r="AG44" s="35"/>
      <c r="AH44" s="35"/>
      <c r="AI44" s="45">
        <f t="shared" si="11"/>
        <v>0</v>
      </c>
      <c r="AJ44" s="45"/>
      <c r="AK44" s="35"/>
      <c r="AL44" s="35"/>
      <c r="AM44" s="35"/>
      <c r="AN44" s="35"/>
      <c r="AO44" s="35"/>
      <c r="AP44" s="35"/>
      <c r="AQ44" s="35"/>
      <c r="AR44" s="35"/>
      <c r="AS44" s="45">
        <f t="shared" si="17"/>
        <v>0</v>
      </c>
      <c r="AT44" s="45"/>
      <c r="AU44" s="35">
        <v>0</v>
      </c>
      <c r="AV44" s="35"/>
      <c r="AW44" s="35">
        <v>0</v>
      </c>
      <c r="AX44" s="35"/>
      <c r="AY44" s="35">
        <f t="shared" si="4"/>
        <v>0</v>
      </c>
      <c r="AZ44" s="35"/>
      <c r="BA44" s="35" t="s">
        <v>60</v>
      </c>
      <c r="BB44" s="55"/>
      <c r="BC44" s="35" t="s">
        <v>61</v>
      </c>
      <c r="BD44" s="35"/>
      <c r="BE44" s="35">
        <v>0</v>
      </c>
      <c r="BF44" s="35"/>
      <c r="BG44" s="35">
        <v>0</v>
      </c>
      <c r="BH44" s="35"/>
      <c r="BI44" s="35">
        <v>0</v>
      </c>
      <c r="BJ44" s="35"/>
      <c r="BK44" s="35">
        <v>0</v>
      </c>
      <c r="BL44" s="35"/>
      <c r="BM44" s="35">
        <f t="shared" si="18"/>
        <v>0</v>
      </c>
      <c r="BN44" s="54" t="s">
        <v>347</v>
      </c>
    </row>
    <row r="45" spans="1:95" hidden="1">
      <c r="A45" s="44" t="s">
        <v>62</v>
      </c>
      <c r="C45" s="35" t="s">
        <v>15</v>
      </c>
      <c r="D45" s="35"/>
      <c r="E45" s="35">
        <f t="shared" si="0"/>
        <v>3890350</v>
      </c>
      <c r="F45" s="35"/>
      <c r="G45" s="35">
        <v>733940</v>
      </c>
      <c r="H45" s="35"/>
      <c r="I45" s="35">
        <v>4624290</v>
      </c>
      <c r="J45" s="35"/>
      <c r="K45" s="35">
        <f t="shared" si="1"/>
        <v>147415</v>
      </c>
      <c r="L45" s="35"/>
      <c r="M45" s="35">
        <v>0</v>
      </c>
      <c r="N45" s="35"/>
      <c r="O45" s="35">
        <v>147415</v>
      </c>
      <c r="P45" s="35"/>
      <c r="Q45" s="35">
        <v>733940</v>
      </c>
      <c r="R45" s="35"/>
      <c r="S45" s="35">
        <v>0</v>
      </c>
      <c r="T45" s="35"/>
      <c r="U45" s="35">
        <v>3742935</v>
      </c>
      <c r="V45" s="35"/>
      <c r="W45" s="35">
        <f t="shared" si="12"/>
        <v>4476875</v>
      </c>
      <c r="X45" s="35"/>
      <c r="Y45" s="44" t="s">
        <v>62</v>
      </c>
      <c r="Z45" s="55"/>
      <c r="AA45" s="35" t="s">
        <v>15</v>
      </c>
      <c r="AB45" s="35"/>
      <c r="AC45" s="35">
        <v>6609121</v>
      </c>
      <c r="AD45" s="35"/>
      <c r="AE45" s="35">
        <f>4948513-170822</f>
        <v>4777691</v>
      </c>
      <c r="AF45" s="35"/>
      <c r="AG45" s="35">
        <v>170822</v>
      </c>
      <c r="AH45" s="35"/>
      <c r="AI45" s="45">
        <f t="shared" si="11"/>
        <v>1660608</v>
      </c>
      <c r="AJ45" s="45"/>
      <c r="AK45" s="35">
        <v>1080</v>
      </c>
      <c r="AL45" s="35"/>
      <c r="AM45" s="35">
        <v>0</v>
      </c>
      <c r="AN45" s="35"/>
      <c r="AO45" s="35">
        <v>0</v>
      </c>
      <c r="AP45" s="35"/>
      <c r="AQ45" s="35">
        <v>1511</v>
      </c>
      <c r="AR45" s="35"/>
      <c r="AS45" s="45">
        <f t="shared" si="17"/>
        <v>1663199</v>
      </c>
      <c r="AT45" s="45"/>
      <c r="AU45" s="35">
        <v>0</v>
      </c>
      <c r="AV45" s="35"/>
      <c r="AW45" s="35">
        <v>0</v>
      </c>
      <c r="AX45" s="35"/>
      <c r="AY45" s="35">
        <f t="shared" si="4"/>
        <v>3742935</v>
      </c>
      <c r="AZ45" s="35"/>
      <c r="BA45" s="44" t="s">
        <v>62</v>
      </c>
      <c r="BB45" s="55"/>
      <c r="BC45" s="35" t="s">
        <v>15</v>
      </c>
      <c r="BD45" s="35"/>
      <c r="BE45" s="35">
        <v>0</v>
      </c>
      <c r="BF45" s="35"/>
      <c r="BG45" s="35">
        <v>0</v>
      </c>
      <c r="BH45" s="35"/>
      <c r="BI45" s="35">
        <v>0</v>
      </c>
      <c r="BJ45" s="35"/>
      <c r="BK45" s="35">
        <v>0</v>
      </c>
      <c r="BL45" s="35"/>
      <c r="BM45" s="35">
        <f t="shared" si="18"/>
        <v>0</v>
      </c>
      <c r="BN45" s="54" t="s">
        <v>347</v>
      </c>
    </row>
    <row r="46" spans="1:95">
      <c r="A46" s="35" t="s">
        <v>485</v>
      </c>
      <c r="C46" s="35" t="s">
        <v>111</v>
      </c>
      <c r="D46" s="35"/>
      <c r="E46" s="35">
        <f t="shared" si="0"/>
        <v>157894</v>
      </c>
      <c r="F46" s="35"/>
      <c r="G46" s="35">
        <v>0</v>
      </c>
      <c r="H46" s="35"/>
      <c r="I46" s="35">
        <v>157894</v>
      </c>
      <c r="J46" s="35"/>
      <c r="K46" s="35">
        <f t="shared" si="1"/>
        <v>3060</v>
      </c>
      <c r="L46" s="35"/>
      <c r="M46" s="35">
        <v>17</v>
      </c>
      <c r="N46" s="35"/>
      <c r="O46" s="35">
        <v>3077</v>
      </c>
      <c r="P46" s="35"/>
      <c r="Q46" s="35">
        <v>0</v>
      </c>
      <c r="R46" s="35"/>
      <c r="S46" s="35">
        <v>0</v>
      </c>
      <c r="T46" s="35"/>
      <c r="U46" s="35">
        <v>154817</v>
      </c>
      <c r="V46" s="35"/>
      <c r="W46" s="35">
        <f t="shared" si="12"/>
        <v>154817</v>
      </c>
      <c r="X46" s="35"/>
      <c r="Y46" s="35" t="s">
        <v>485</v>
      </c>
      <c r="Z46" s="55"/>
      <c r="AA46" s="35" t="s">
        <v>111</v>
      </c>
      <c r="AB46" s="35"/>
      <c r="AC46" s="35">
        <v>294038</v>
      </c>
      <c r="AD46" s="35"/>
      <c r="AE46" s="35">
        <v>317444</v>
      </c>
      <c r="AF46" s="35"/>
      <c r="AG46" s="35">
        <v>0</v>
      </c>
      <c r="AH46" s="35"/>
      <c r="AI46" s="45">
        <f t="shared" si="11"/>
        <v>-23406</v>
      </c>
      <c r="AJ46" s="45"/>
      <c r="AK46" s="35"/>
      <c r="AL46" s="35"/>
      <c r="AM46" s="35">
        <v>0</v>
      </c>
      <c r="AN46" s="35"/>
      <c r="AO46" s="35">
        <v>0</v>
      </c>
      <c r="AP46" s="35"/>
      <c r="AQ46" s="35">
        <v>0</v>
      </c>
      <c r="AR46" s="35"/>
      <c r="AS46" s="45">
        <f t="shared" si="17"/>
        <v>-23406</v>
      </c>
      <c r="AT46" s="45"/>
      <c r="AU46" s="35">
        <v>0</v>
      </c>
      <c r="AV46" s="35"/>
      <c r="AW46" s="35">
        <v>0</v>
      </c>
      <c r="AX46" s="35"/>
      <c r="AY46" s="35">
        <f t="shared" si="4"/>
        <v>154834</v>
      </c>
      <c r="AZ46" s="35"/>
      <c r="BA46" s="35" t="s">
        <v>485</v>
      </c>
      <c r="BB46" s="55"/>
      <c r="BC46" s="35" t="s">
        <v>111</v>
      </c>
      <c r="BD46" s="35"/>
      <c r="BE46" s="35">
        <v>0</v>
      </c>
      <c r="BF46" s="35"/>
      <c r="BG46" s="35">
        <v>0</v>
      </c>
      <c r="BH46" s="35"/>
      <c r="BI46" s="35">
        <v>0</v>
      </c>
      <c r="BJ46" s="35"/>
      <c r="BK46" s="35">
        <f>17+507</f>
        <v>524</v>
      </c>
      <c r="BL46" s="35"/>
      <c r="BM46" s="35">
        <f t="shared" si="18"/>
        <v>524</v>
      </c>
      <c r="BN46" s="54" t="s">
        <v>347</v>
      </c>
    </row>
    <row r="47" spans="1:95" hidden="1">
      <c r="A47" s="35" t="s">
        <v>63</v>
      </c>
      <c r="C47" s="35" t="s">
        <v>64</v>
      </c>
      <c r="D47" s="35"/>
      <c r="E47" s="35">
        <f t="shared" si="0"/>
        <v>0</v>
      </c>
      <c r="F47" s="35"/>
      <c r="G47" s="35">
        <v>0</v>
      </c>
      <c r="H47" s="35"/>
      <c r="I47" s="35">
        <v>0</v>
      </c>
      <c r="J47" s="35"/>
      <c r="K47" s="35">
        <f t="shared" si="1"/>
        <v>0</v>
      </c>
      <c r="L47" s="35"/>
      <c r="M47" s="35">
        <v>0</v>
      </c>
      <c r="N47" s="35"/>
      <c r="O47" s="35">
        <v>0</v>
      </c>
      <c r="P47" s="35"/>
      <c r="Q47" s="35">
        <v>0</v>
      </c>
      <c r="R47" s="35"/>
      <c r="S47" s="35">
        <v>0</v>
      </c>
      <c r="T47" s="35"/>
      <c r="U47" s="35">
        <v>0</v>
      </c>
      <c r="V47" s="35"/>
      <c r="W47" s="35">
        <f t="shared" si="12"/>
        <v>0</v>
      </c>
      <c r="X47" s="35"/>
      <c r="Y47" s="35" t="s">
        <v>63</v>
      </c>
      <c r="Z47" s="55"/>
      <c r="AA47" s="35" t="s">
        <v>64</v>
      </c>
      <c r="AB47" s="35"/>
      <c r="AC47" s="35">
        <v>0</v>
      </c>
      <c r="AD47" s="35"/>
      <c r="AE47" s="35">
        <v>0</v>
      </c>
      <c r="AF47" s="35"/>
      <c r="AG47" s="35">
        <v>0</v>
      </c>
      <c r="AH47" s="35"/>
      <c r="AI47" s="45">
        <f t="shared" si="11"/>
        <v>0</v>
      </c>
      <c r="AJ47" s="45"/>
      <c r="AK47" s="35"/>
      <c r="AL47" s="35"/>
      <c r="AM47" s="35">
        <v>0</v>
      </c>
      <c r="AN47" s="35"/>
      <c r="AO47" s="35">
        <v>0</v>
      </c>
      <c r="AP47" s="35"/>
      <c r="AQ47" s="35">
        <v>0</v>
      </c>
      <c r="AR47" s="35"/>
      <c r="AS47" s="45">
        <f t="shared" si="17"/>
        <v>0</v>
      </c>
      <c r="AT47" s="45"/>
      <c r="AU47" s="35">
        <v>0</v>
      </c>
      <c r="AV47" s="35"/>
      <c r="AW47" s="35">
        <v>0</v>
      </c>
      <c r="AX47" s="35"/>
      <c r="AY47" s="35">
        <f t="shared" si="4"/>
        <v>0</v>
      </c>
      <c r="AZ47" s="35"/>
      <c r="BA47" s="35" t="s">
        <v>63</v>
      </c>
      <c r="BB47" s="55"/>
      <c r="BC47" s="35" t="s">
        <v>64</v>
      </c>
      <c r="BD47" s="35"/>
      <c r="BE47" s="35">
        <v>0</v>
      </c>
      <c r="BF47" s="35"/>
      <c r="BG47" s="35">
        <v>0</v>
      </c>
      <c r="BH47" s="35"/>
      <c r="BI47" s="35">
        <v>0</v>
      </c>
      <c r="BJ47" s="35"/>
      <c r="BK47" s="35">
        <v>0</v>
      </c>
      <c r="BL47" s="35"/>
      <c r="BM47" s="35">
        <f t="shared" si="18"/>
        <v>0</v>
      </c>
      <c r="BN47" s="54" t="s">
        <v>347</v>
      </c>
      <c r="BO47" s="55" t="s">
        <v>315</v>
      </c>
    </row>
    <row r="48" spans="1:95">
      <c r="A48" s="35" t="s">
        <v>65</v>
      </c>
      <c r="C48" s="35" t="s">
        <v>66</v>
      </c>
      <c r="D48" s="35"/>
      <c r="E48" s="35">
        <f t="shared" si="0"/>
        <v>842518</v>
      </c>
      <c r="F48" s="35"/>
      <c r="G48" s="35">
        <v>0</v>
      </c>
      <c r="H48" s="35"/>
      <c r="I48" s="35">
        <v>842518</v>
      </c>
      <c r="J48" s="35"/>
      <c r="K48" s="35">
        <f t="shared" si="1"/>
        <v>334462</v>
      </c>
      <c r="L48" s="35"/>
      <c r="M48" s="35">
        <v>11487</v>
      </c>
      <c r="N48" s="35"/>
      <c r="O48" s="35">
        <v>345949</v>
      </c>
      <c r="P48" s="35"/>
      <c r="Q48" s="35">
        <v>0</v>
      </c>
      <c r="R48" s="35"/>
      <c r="S48" s="35">
        <v>0</v>
      </c>
      <c r="T48" s="35"/>
      <c r="U48" s="35">
        <v>496569</v>
      </c>
      <c r="V48" s="35"/>
      <c r="W48" s="35">
        <f t="shared" si="12"/>
        <v>496569</v>
      </c>
      <c r="X48" s="35"/>
      <c r="Y48" s="35" t="s">
        <v>65</v>
      </c>
      <c r="Z48" s="55"/>
      <c r="AA48" s="35" t="s">
        <v>66</v>
      </c>
      <c r="AB48" s="35"/>
      <c r="AC48" s="35">
        <v>1351716</v>
      </c>
      <c r="AD48" s="35"/>
      <c r="AE48" s="35">
        <f>1387753-82180</f>
        <v>1305573</v>
      </c>
      <c r="AF48" s="35"/>
      <c r="AG48" s="35">
        <v>82180</v>
      </c>
      <c r="AH48" s="35"/>
      <c r="AI48" s="45">
        <f t="shared" si="11"/>
        <v>-36037</v>
      </c>
      <c r="AJ48" s="45"/>
      <c r="AK48" s="35">
        <v>11429</v>
      </c>
      <c r="AL48" s="35"/>
      <c r="AM48" s="35">
        <v>0</v>
      </c>
      <c r="AN48" s="35"/>
      <c r="AO48" s="35">
        <v>0</v>
      </c>
      <c r="AP48" s="35"/>
      <c r="AQ48" s="35">
        <v>0</v>
      </c>
      <c r="AR48" s="35"/>
      <c r="AS48" s="45">
        <f t="shared" si="17"/>
        <v>-24608</v>
      </c>
      <c r="AT48" s="45"/>
      <c r="AU48" s="35">
        <v>0</v>
      </c>
      <c r="AV48" s="35"/>
      <c r="AW48" s="35">
        <v>0</v>
      </c>
      <c r="AX48" s="35"/>
      <c r="AY48" s="35">
        <f t="shared" si="4"/>
        <v>508056</v>
      </c>
      <c r="AZ48" s="35"/>
      <c r="BA48" s="35" t="s">
        <v>65</v>
      </c>
      <c r="BB48" s="55"/>
      <c r="BC48" s="35" t="s">
        <v>66</v>
      </c>
      <c r="BD48" s="35"/>
      <c r="BE48" s="35">
        <v>0</v>
      </c>
      <c r="BF48" s="35"/>
      <c r="BG48" s="35">
        <v>0</v>
      </c>
      <c r="BH48" s="35"/>
      <c r="BI48" s="35">
        <v>0</v>
      </c>
      <c r="BJ48" s="35"/>
      <c r="BK48" s="35">
        <f>11487+25000</f>
        <v>36487</v>
      </c>
      <c r="BL48" s="35"/>
      <c r="BM48" s="35">
        <f t="shared" si="18"/>
        <v>36487</v>
      </c>
      <c r="BN48" s="54" t="s">
        <v>347</v>
      </c>
    </row>
    <row r="49" spans="1:67" hidden="1">
      <c r="A49" s="35" t="s">
        <v>67</v>
      </c>
      <c r="C49" s="35" t="s">
        <v>375</v>
      </c>
      <c r="D49" s="35"/>
      <c r="E49" s="35">
        <f t="shared" si="0"/>
        <v>0</v>
      </c>
      <c r="F49" s="35"/>
      <c r="G49" s="35">
        <v>0</v>
      </c>
      <c r="H49" s="35"/>
      <c r="I49" s="35">
        <v>0</v>
      </c>
      <c r="J49" s="35"/>
      <c r="K49" s="35">
        <f t="shared" si="1"/>
        <v>0</v>
      </c>
      <c r="L49" s="35"/>
      <c r="M49" s="35">
        <v>0</v>
      </c>
      <c r="N49" s="35"/>
      <c r="O49" s="35">
        <v>0</v>
      </c>
      <c r="P49" s="35"/>
      <c r="Q49" s="35">
        <v>0</v>
      </c>
      <c r="R49" s="35"/>
      <c r="S49" s="35">
        <v>0</v>
      </c>
      <c r="T49" s="35"/>
      <c r="U49" s="35">
        <v>0</v>
      </c>
      <c r="V49" s="35"/>
      <c r="W49" s="35">
        <f t="shared" si="12"/>
        <v>0</v>
      </c>
      <c r="X49" s="35"/>
      <c r="Y49" s="35" t="s">
        <v>67</v>
      </c>
      <c r="Z49" s="55"/>
      <c r="AA49" s="35" t="s">
        <v>375</v>
      </c>
      <c r="AB49" s="35"/>
      <c r="AC49" s="35">
        <v>0</v>
      </c>
      <c r="AD49" s="35"/>
      <c r="AE49" s="35">
        <v>0</v>
      </c>
      <c r="AF49" s="35"/>
      <c r="AG49" s="35">
        <v>0</v>
      </c>
      <c r="AH49" s="35"/>
      <c r="AI49" s="45">
        <f t="shared" si="11"/>
        <v>0</v>
      </c>
      <c r="AJ49" s="45"/>
      <c r="AK49" s="35"/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7"/>
        <v>0</v>
      </c>
      <c r="AT49" s="45"/>
      <c r="AU49" s="35">
        <v>0</v>
      </c>
      <c r="AV49" s="35"/>
      <c r="AW49" s="35">
        <v>0</v>
      </c>
      <c r="AX49" s="35"/>
      <c r="AY49" s="35">
        <f t="shared" si="4"/>
        <v>0</v>
      </c>
      <c r="AZ49" s="35"/>
      <c r="BA49" s="35" t="s">
        <v>67</v>
      </c>
      <c r="BB49" s="55"/>
      <c r="BC49" s="35" t="s">
        <v>375</v>
      </c>
      <c r="BD49" s="35"/>
      <c r="BE49" s="35">
        <v>0</v>
      </c>
      <c r="BF49" s="35"/>
      <c r="BG49" s="35">
        <v>0</v>
      </c>
      <c r="BH49" s="35"/>
      <c r="BI49" s="35">
        <v>0</v>
      </c>
      <c r="BJ49" s="35"/>
      <c r="BK49" s="35">
        <v>0</v>
      </c>
      <c r="BL49" s="35"/>
      <c r="BM49" s="35">
        <f t="shared" si="18"/>
        <v>0</v>
      </c>
      <c r="BN49" s="54" t="s">
        <v>347</v>
      </c>
    </row>
    <row r="50" spans="1:67" hidden="1">
      <c r="A50" s="35" t="s">
        <v>68</v>
      </c>
      <c r="C50" s="35" t="s">
        <v>45</v>
      </c>
      <c r="D50" s="35"/>
      <c r="E50" s="35">
        <f t="shared" si="0"/>
        <v>0</v>
      </c>
      <c r="F50" s="35"/>
      <c r="G50" s="35">
        <v>0</v>
      </c>
      <c r="H50" s="35"/>
      <c r="I50" s="35">
        <v>0</v>
      </c>
      <c r="J50" s="35"/>
      <c r="K50" s="35">
        <f t="shared" si="1"/>
        <v>0</v>
      </c>
      <c r="L50" s="35"/>
      <c r="M50" s="35">
        <v>0</v>
      </c>
      <c r="N50" s="35"/>
      <c r="O50" s="35">
        <v>0</v>
      </c>
      <c r="P50" s="35"/>
      <c r="Q50" s="35">
        <v>0</v>
      </c>
      <c r="R50" s="35"/>
      <c r="S50" s="35">
        <v>0</v>
      </c>
      <c r="T50" s="35"/>
      <c r="U50" s="35">
        <v>0</v>
      </c>
      <c r="V50" s="35"/>
      <c r="W50" s="35">
        <f t="shared" si="12"/>
        <v>0</v>
      </c>
      <c r="X50" s="35"/>
      <c r="Y50" s="35" t="s">
        <v>68</v>
      </c>
      <c r="Z50" s="55"/>
      <c r="AA50" s="35" t="s">
        <v>45</v>
      </c>
      <c r="AB50" s="35"/>
      <c r="AC50" s="35">
        <v>0</v>
      </c>
      <c r="AD50" s="35"/>
      <c r="AE50" s="35">
        <v>0</v>
      </c>
      <c r="AF50" s="35"/>
      <c r="AG50" s="35">
        <v>0</v>
      </c>
      <c r="AH50" s="35"/>
      <c r="AI50" s="45">
        <f t="shared" si="11"/>
        <v>0</v>
      </c>
      <c r="AJ50" s="45"/>
      <c r="AK50" s="35"/>
      <c r="AL50" s="35"/>
      <c r="AM50" s="35">
        <v>0</v>
      </c>
      <c r="AN50" s="35"/>
      <c r="AO50" s="35">
        <v>0</v>
      </c>
      <c r="AP50" s="35"/>
      <c r="AQ50" s="35">
        <v>0</v>
      </c>
      <c r="AR50" s="35"/>
      <c r="AS50" s="45">
        <f t="shared" si="17"/>
        <v>0</v>
      </c>
      <c r="AT50" s="45"/>
      <c r="AU50" s="35">
        <v>0</v>
      </c>
      <c r="AV50" s="35"/>
      <c r="AW50" s="35">
        <v>0</v>
      </c>
      <c r="AX50" s="35"/>
      <c r="AY50" s="35">
        <f t="shared" si="4"/>
        <v>0</v>
      </c>
      <c r="AZ50" s="35"/>
      <c r="BA50" s="35" t="s">
        <v>68</v>
      </c>
      <c r="BB50" s="55"/>
      <c r="BC50" s="35" t="s">
        <v>45</v>
      </c>
      <c r="BD50" s="35"/>
      <c r="BE50" s="35">
        <v>0</v>
      </c>
      <c r="BF50" s="35"/>
      <c r="BG50" s="35">
        <v>0</v>
      </c>
      <c r="BH50" s="35"/>
      <c r="BI50" s="35">
        <v>0</v>
      </c>
      <c r="BJ50" s="35"/>
      <c r="BK50" s="35">
        <v>0</v>
      </c>
      <c r="BL50" s="35"/>
      <c r="BM50" s="35">
        <f t="shared" si="18"/>
        <v>0</v>
      </c>
      <c r="BN50" s="54" t="s">
        <v>347</v>
      </c>
    </row>
    <row r="51" spans="1:67" hidden="1">
      <c r="A51" s="35" t="s">
        <v>69</v>
      </c>
      <c r="C51" s="35" t="s">
        <v>70</v>
      </c>
      <c r="D51" s="35"/>
      <c r="E51" s="35">
        <f t="shared" si="0"/>
        <v>0</v>
      </c>
      <c r="F51" s="35"/>
      <c r="G51" s="35">
        <v>0</v>
      </c>
      <c r="H51" s="35"/>
      <c r="I51" s="35">
        <v>0</v>
      </c>
      <c r="J51" s="35"/>
      <c r="K51" s="35">
        <f t="shared" si="1"/>
        <v>0</v>
      </c>
      <c r="L51" s="35"/>
      <c r="M51" s="35">
        <v>0</v>
      </c>
      <c r="N51" s="35"/>
      <c r="O51" s="35">
        <v>0</v>
      </c>
      <c r="P51" s="35"/>
      <c r="Q51" s="35">
        <v>0</v>
      </c>
      <c r="R51" s="35"/>
      <c r="S51" s="35">
        <v>0</v>
      </c>
      <c r="T51" s="35"/>
      <c r="U51" s="35">
        <v>0</v>
      </c>
      <c r="V51" s="35"/>
      <c r="W51" s="35">
        <f t="shared" si="12"/>
        <v>0</v>
      </c>
      <c r="X51" s="35"/>
      <c r="Y51" s="35" t="s">
        <v>69</v>
      </c>
      <c r="Z51" s="55"/>
      <c r="AA51" s="35" t="s">
        <v>70</v>
      </c>
      <c r="AB51" s="35"/>
      <c r="AC51" s="35">
        <v>0</v>
      </c>
      <c r="AD51" s="35"/>
      <c r="AE51" s="35">
        <v>0</v>
      </c>
      <c r="AF51" s="35"/>
      <c r="AG51" s="35">
        <v>0</v>
      </c>
      <c r="AH51" s="35"/>
      <c r="AI51" s="45">
        <f t="shared" si="11"/>
        <v>0</v>
      </c>
      <c r="AJ51" s="45"/>
      <c r="AK51" s="35"/>
      <c r="AL51" s="35"/>
      <c r="AM51" s="35">
        <v>0</v>
      </c>
      <c r="AN51" s="35"/>
      <c r="AO51" s="35">
        <v>0</v>
      </c>
      <c r="AP51" s="35"/>
      <c r="AQ51" s="35">
        <v>0</v>
      </c>
      <c r="AR51" s="35"/>
      <c r="AS51" s="45">
        <f t="shared" si="17"/>
        <v>0</v>
      </c>
      <c r="AT51" s="45"/>
      <c r="AU51" s="35">
        <v>0</v>
      </c>
      <c r="AV51" s="35"/>
      <c r="AW51" s="35">
        <v>0</v>
      </c>
      <c r="AX51" s="35"/>
      <c r="AY51" s="35">
        <f t="shared" si="4"/>
        <v>0</v>
      </c>
      <c r="AZ51" s="35"/>
      <c r="BA51" s="35" t="s">
        <v>69</v>
      </c>
      <c r="BB51" s="55"/>
      <c r="BC51" s="35" t="s">
        <v>70</v>
      </c>
      <c r="BD51" s="35"/>
      <c r="BE51" s="35">
        <v>0</v>
      </c>
      <c r="BF51" s="35"/>
      <c r="BG51" s="35">
        <v>0</v>
      </c>
      <c r="BH51" s="35"/>
      <c r="BI51" s="35">
        <v>0</v>
      </c>
      <c r="BJ51" s="35"/>
      <c r="BK51" s="35">
        <v>0</v>
      </c>
      <c r="BL51" s="35"/>
      <c r="BM51" s="35">
        <f t="shared" si="18"/>
        <v>0</v>
      </c>
      <c r="BN51" s="54" t="s">
        <v>347</v>
      </c>
    </row>
    <row r="52" spans="1:67" hidden="1">
      <c r="A52" s="35" t="s">
        <v>71</v>
      </c>
      <c r="C52" s="35" t="s">
        <v>45</v>
      </c>
      <c r="D52" s="35"/>
      <c r="E52" s="35">
        <f t="shared" si="0"/>
        <v>0</v>
      </c>
      <c r="F52" s="35"/>
      <c r="G52" s="35">
        <v>0</v>
      </c>
      <c r="H52" s="35"/>
      <c r="I52" s="35">
        <v>0</v>
      </c>
      <c r="J52" s="35"/>
      <c r="K52" s="35">
        <f t="shared" si="1"/>
        <v>0</v>
      </c>
      <c r="L52" s="35"/>
      <c r="M52" s="35">
        <v>0</v>
      </c>
      <c r="N52" s="35"/>
      <c r="O52" s="35">
        <v>0</v>
      </c>
      <c r="P52" s="35"/>
      <c r="Q52" s="35">
        <v>0</v>
      </c>
      <c r="R52" s="35"/>
      <c r="S52" s="35">
        <v>0</v>
      </c>
      <c r="T52" s="35"/>
      <c r="U52" s="35">
        <v>0</v>
      </c>
      <c r="V52" s="35"/>
      <c r="W52" s="35">
        <f t="shared" si="12"/>
        <v>0</v>
      </c>
      <c r="X52" s="35"/>
      <c r="Y52" s="35" t="s">
        <v>71</v>
      </c>
      <c r="Z52" s="55"/>
      <c r="AA52" s="35" t="s">
        <v>45</v>
      </c>
      <c r="AB52" s="35"/>
      <c r="AC52" s="35">
        <v>0</v>
      </c>
      <c r="AD52" s="35"/>
      <c r="AE52" s="35">
        <v>0</v>
      </c>
      <c r="AF52" s="35"/>
      <c r="AG52" s="35">
        <v>0</v>
      </c>
      <c r="AH52" s="35"/>
      <c r="AI52" s="45">
        <f t="shared" si="11"/>
        <v>0</v>
      </c>
      <c r="AJ52" s="45"/>
      <c r="AK52" s="35"/>
      <c r="AL52" s="35"/>
      <c r="AM52" s="35">
        <v>0</v>
      </c>
      <c r="AN52" s="35"/>
      <c r="AO52" s="35">
        <v>0</v>
      </c>
      <c r="AP52" s="35"/>
      <c r="AQ52" s="35">
        <v>0</v>
      </c>
      <c r="AR52" s="35"/>
      <c r="AS52" s="45">
        <f t="shared" si="17"/>
        <v>0</v>
      </c>
      <c r="AT52" s="45"/>
      <c r="AU52" s="35">
        <v>0</v>
      </c>
      <c r="AV52" s="35"/>
      <c r="AW52" s="35">
        <v>0</v>
      </c>
      <c r="AX52" s="35"/>
      <c r="AY52" s="35">
        <f t="shared" si="4"/>
        <v>0</v>
      </c>
      <c r="AZ52" s="35"/>
      <c r="BA52" s="35" t="s">
        <v>71</v>
      </c>
      <c r="BB52" s="55"/>
      <c r="BC52" s="35" t="s">
        <v>45</v>
      </c>
      <c r="BD52" s="35"/>
      <c r="BE52" s="35">
        <v>0</v>
      </c>
      <c r="BF52" s="35"/>
      <c r="BG52" s="35">
        <v>0</v>
      </c>
      <c r="BH52" s="35"/>
      <c r="BI52" s="35">
        <v>0</v>
      </c>
      <c r="BJ52" s="35"/>
      <c r="BK52" s="35">
        <v>0</v>
      </c>
      <c r="BL52" s="35"/>
      <c r="BM52" s="35">
        <f t="shared" si="18"/>
        <v>0</v>
      </c>
      <c r="BN52" s="54" t="s">
        <v>347</v>
      </c>
    </row>
    <row r="53" spans="1:67" hidden="1">
      <c r="A53" s="35" t="s">
        <v>72</v>
      </c>
      <c r="C53" s="35" t="s">
        <v>66</v>
      </c>
      <c r="D53" s="35"/>
      <c r="E53" s="35">
        <f t="shared" si="0"/>
        <v>0</v>
      </c>
      <c r="F53" s="35"/>
      <c r="G53" s="35">
        <v>0</v>
      </c>
      <c r="H53" s="35"/>
      <c r="I53" s="35">
        <v>0</v>
      </c>
      <c r="J53" s="35"/>
      <c r="K53" s="35">
        <f t="shared" si="1"/>
        <v>0</v>
      </c>
      <c r="L53" s="35"/>
      <c r="M53" s="35">
        <v>0</v>
      </c>
      <c r="N53" s="35"/>
      <c r="O53" s="35">
        <v>0</v>
      </c>
      <c r="P53" s="35"/>
      <c r="Q53" s="35">
        <v>0</v>
      </c>
      <c r="R53" s="35"/>
      <c r="S53" s="35">
        <v>0</v>
      </c>
      <c r="T53" s="35"/>
      <c r="U53" s="35">
        <v>0</v>
      </c>
      <c r="V53" s="35"/>
      <c r="W53" s="35">
        <f t="shared" si="12"/>
        <v>0</v>
      </c>
      <c r="X53" s="35"/>
      <c r="Y53" s="35" t="s">
        <v>72</v>
      </c>
      <c r="Z53" s="55"/>
      <c r="AA53" s="35" t="s">
        <v>66</v>
      </c>
      <c r="AB53" s="35"/>
      <c r="AC53" s="35">
        <v>0</v>
      </c>
      <c r="AD53" s="35"/>
      <c r="AE53" s="35">
        <v>0</v>
      </c>
      <c r="AF53" s="35"/>
      <c r="AG53" s="35">
        <v>0</v>
      </c>
      <c r="AH53" s="35"/>
      <c r="AI53" s="45">
        <v>0</v>
      </c>
      <c r="AJ53" s="45"/>
      <c r="AK53" s="35"/>
      <c r="AL53" s="35"/>
      <c r="AM53" s="35">
        <v>0</v>
      </c>
      <c r="AN53" s="35"/>
      <c r="AO53" s="35">
        <v>0</v>
      </c>
      <c r="AP53" s="35"/>
      <c r="AQ53" s="35">
        <v>0</v>
      </c>
      <c r="AR53" s="35"/>
      <c r="AS53" s="45">
        <f t="shared" si="17"/>
        <v>0</v>
      </c>
      <c r="AT53" s="45"/>
      <c r="AU53" s="35">
        <v>0</v>
      </c>
      <c r="AV53" s="35"/>
      <c r="AW53" s="35">
        <v>0</v>
      </c>
      <c r="AX53" s="35"/>
      <c r="AY53" s="35">
        <f t="shared" si="4"/>
        <v>0</v>
      </c>
      <c r="AZ53" s="35"/>
      <c r="BA53" s="35" t="s">
        <v>72</v>
      </c>
      <c r="BB53" s="55"/>
      <c r="BC53" s="35" t="s">
        <v>66</v>
      </c>
      <c r="BD53" s="35"/>
      <c r="BE53" s="35">
        <v>0</v>
      </c>
      <c r="BF53" s="35"/>
      <c r="BG53" s="35">
        <v>0</v>
      </c>
      <c r="BH53" s="35"/>
      <c r="BI53" s="35">
        <v>0</v>
      </c>
      <c r="BJ53" s="35"/>
      <c r="BK53" s="35">
        <v>0</v>
      </c>
      <c r="BL53" s="35"/>
      <c r="BM53" s="35">
        <f t="shared" si="18"/>
        <v>0</v>
      </c>
      <c r="BN53" s="54" t="s">
        <v>347</v>
      </c>
    </row>
    <row r="54" spans="1:67" ht="12" hidden="1">
      <c r="A54" s="35" t="s">
        <v>73</v>
      </c>
      <c r="B54" s="55"/>
      <c r="C54" s="35" t="s">
        <v>27</v>
      </c>
      <c r="D54" s="35"/>
      <c r="E54" s="35">
        <f t="shared" si="0"/>
        <v>0</v>
      </c>
      <c r="F54" s="35"/>
      <c r="G54" s="35">
        <v>0</v>
      </c>
      <c r="H54" s="35"/>
      <c r="I54" s="35">
        <v>0</v>
      </c>
      <c r="J54" s="35"/>
      <c r="K54" s="35">
        <f t="shared" si="1"/>
        <v>0</v>
      </c>
      <c r="L54" s="35"/>
      <c r="M54" s="35">
        <v>0</v>
      </c>
      <c r="N54" s="35"/>
      <c r="O54" s="35">
        <v>0</v>
      </c>
      <c r="P54" s="35"/>
      <c r="Q54" s="35">
        <v>0</v>
      </c>
      <c r="R54" s="35"/>
      <c r="S54" s="35">
        <v>0</v>
      </c>
      <c r="T54" s="35"/>
      <c r="U54" s="35">
        <v>0</v>
      </c>
      <c r="V54" s="35"/>
      <c r="W54" s="35">
        <f t="shared" si="12"/>
        <v>0</v>
      </c>
      <c r="X54" s="35"/>
      <c r="Y54" s="35" t="s">
        <v>73</v>
      </c>
      <c r="Z54" s="55"/>
      <c r="AA54" s="35" t="s">
        <v>27</v>
      </c>
      <c r="AB54" s="35"/>
      <c r="AC54" s="35">
        <v>0</v>
      </c>
      <c r="AD54" s="35"/>
      <c r="AE54" s="35">
        <v>0</v>
      </c>
      <c r="AF54" s="35"/>
      <c r="AG54" s="35">
        <v>0</v>
      </c>
      <c r="AH54" s="35"/>
      <c r="AI54" s="45">
        <f t="shared" ref="AI54:AI117" si="19">+AC54-AE54-AG54</f>
        <v>0</v>
      </c>
      <c r="AJ54" s="45"/>
      <c r="AK54" s="35"/>
      <c r="AL54" s="35"/>
      <c r="AM54" s="35">
        <v>0</v>
      </c>
      <c r="AN54" s="35"/>
      <c r="AO54" s="35">
        <v>0</v>
      </c>
      <c r="AP54" s="35"/>
      <c r="AQ54" s="35">
        <v>0</v>
      </c>
      <c r="AR54" s="35"/>
      <c r="AS54" s="45">
        <f t="shared" si="17"/>
        <v>0</v>
      </c>
      <c r="AT54" s="45"/>
      <c r="AU54" s="35">
        <v>0</v>
      </c>
      <c r="AV54" s="35"/>
      <c r="AW54" s="35">
        <v>0</v>
      </c>
      <c r="AX54" s="35"/>
      <c r="AY54" s="35">
        <f t="shared" si="4"/>
        <v>0</v>
      </c>
      <c r="AZ54" s="35"/>
      <c r="BA54" s="35" t="s">
        <v>73</v>
      </c>
      <c r="BB54" s="55"/>
      <c r="BC54" s="35" t="s">
        <v>27</v>
      </c>
      <c r="BD54" s="35"/>
      <c r="BE54" s="35">
        <v>0</v>
      </c>
      <c r="BF54" s="35"/>
      <c r="BG54" s="35">
        <v>0</v>
      </c>
      <c r="BH54" s="35"/>
      <c r="BI54" s="35">
        <v>0</v>
      </c>
      <c r="BJ54" s="35"/>
      <c r="BK54" s="35">
        <v>0</v>
      </c>
      <c r="BL54" s="35"/>
      <c r="BM54" s="35">
        <f t="shared" si="18"/>
        <v>0</v>
      </c>
      <c r="BN54" s="54" t="s">
        <v>347</v>
      </c>
    </row>
    <row r="55" spans="1:67" hidden="1">
      <c r="A55" s="35" t="s">
        <v>74</v>
      </c>
      <c r="C55" s="35" t="s">
        <v>27</v>
      </c>
      <c r="D55" s="35"/>
      <c r="E55" s="35">
        <f t="shared" si="0"/>
        <v>0</v>
      </c>
      <c r="F55" s="35"/>
      <c r="G55" s="35">
        <v>0</v>
      </c>
      <c r="H55" s="35"/>
      <c r="I55" s="35">
        <v>0</v>
      </c>
      <c r="J55" s="35"/>
      <c r="K55" s="35">
        <f t="shared" si="1"/>
        <v>0</v>
      </c>
      <c r="L55" s="35"/>
      <c r="M55" s="35">
        <v>0</v>
      </c>
      <c r="N55" s="35"/>
      <c r="O55" s="35">
        <v>0</v>
      </c>
      <c r="P55" s="35"/>
      <c r="Q55" s="35">
        <v>0</v>
      </c>
      <c r="R55" s="35"/>
      <c r="S55" s="35">
        <v>0</v>
      </c>
      <c r="T55" s="35"/>
      <c r="U55" s="35">
        <v>0</v>
      </c>
      <c r="V55" s="35"/>
      <c r="W55" s="35">
        <f t="shared" si="12"/>
        <v>0</v>
      </c>
      <c r="X55" s="35"/>
      <c r="Y55" s="35" t="s">
        <v>74</v>
      </c>
      <c r="Z55" s="55"/>
      <c r="AA55" s="35" t="s">
        <v>27</v>
      </c>
      <c r="AB55" s="35"/>
      <c r="AC55" s="35">
        <v>0</v>
      </c>
      <c r="AD55" s="35"/>
      <c r="AE55" s="35">
        <v>0</v>
      </c>
      <c r="AF55" s="35"/>
      <c r="AG55" s="35">
        <v>0</v>
      </c>
      <c r="AH55" s="35"/>
      <c r="AI55" s="45">
        <f t="shared" si="19"/>
        <v>0</v>
      </c>
      <c r="AJ55" s="45"/>
      <c r="AK55" s="35"/>
      <c r="AL55" s="35"/>
      <c r="AM55" s="35">
        <v>0</v>
      </c>
      <c r="AN55" s="35"/>
      <c r="AO55" s="35">
        <v>0</v>
      </c>
      <c r="AP55" s="35"/>
      <c r="AQ55" s="35">
        <v>0</v>
      </c>
      <c r="AR55" s="35"/>
      <c r="AS55" s="45">
        <f t="shared" si="17"/>
        <v>0</v>
      </c>
      <c r="AT55" s="45"/>
      <c r="AU55" s="35">
        <v>0</v>
      </c>
      <c r="AV55" s="35"/>
      <c r="AW55" s="35">
        <v>0</v>
      </c>
      <c r="AX55" s="35"/>
      <c r="AY55" s="35">
        <f t="shared" si="4"/>
        <v>0</v>
      </c>
      <c r="AZ55" s="35"/>
      <c r="BA55" s="35" t="s">
        <v>74</v>
      </c>
      <c r="BB55" s="55"/>
      <c r="BC55" s="35" t="s">
        <v>27</v>
      </c>
      <c r="BD55" s="35"/>
      <c r="BE55" s="35">
        <v>0</v>
      </c>
      <c r="BF55" s="35"/>
      <c r="BG55" s="35">
        <v>0</v>
      </c>
      <c r="BH55" s="35"/>
      <c r="BI55" s="35">
        <v>0</v>
      </c>
      <c r="BJ55" s="35"/>
      <c r="BK55" s="35">
        <v>0</v>
      </c>
      <c r="BL55" s="35"/>
      <c r="BM55" s="35">
        <f t="shared" si="18"/>
        <v>0</v>
      </c>
      <c r="BN55" s="54" t="s">
        <v>347</v>
      </c>
    </row>
    <row r="56" spans="1:67" hidden="1">
      <c r="A56" s="35" t="s">
        <v>75</v>
      </c>
      <c r="C56" s="35" t="s">
        <v>76</v>
      </c>
      <c r="D56" s="35"/>
      <c r="E56" s="35">
        <f t="shared" si="0"/>
        <v>0</v>
      </c>
      <c r="F56" s="35"/>
      <c r="G56" s="35">
        <v>0</v>
      </c>
      <c r="H56" s="35"/>
      <c r="I56" s="35">
        <v>0</v>
      </c>
      <c r="J56" s="35"/>
      <c r="K56" s="35">
        <f t="shared" si="1"/>
        <v>0</v>
      </c>
      <c r="L56" s="35"/>
      <c r="M56" s="35">
        <v>0</v>
      </c>
      <c r="N56" s="35"/>
      <c r="O56" s="35">
        <v>0</v>
      </c>
      <c r="P56" s="35"/>
      <c r="Q56" s="35">
        <v>0</v>
      </c>
      <c r="R56" s="35"/>
      <c r="S56" s="35">
        <v>0</v>
      </c>
      <c r="T56" s="35"/>
      <c r="U56" s="35">
        <v>0</v>
      </c>
      <c r="V56" s="35"/>
      <c r="W56" s="35">
        <f t="shared" si="12"/>
        <v>0</v>
      </c>
      <c r="X56" s="35"/>
      <c r="Y56" s="35" t="s">
        <v>75</v>
      </c>
      <c r="Z56" s="55"/>
      <c r="AA56" s="35" t="s">
        <v>76</v>
      </c>
      <c r="AB56" s="35"/>
      <c r="AC56" s="35">
        <v>0</v>
      </c>
      <c r="AD56" s="35"/>
      <c r="AE56" s="35">
        <v>0</v>
      </c>
      <c r="AF56" s="35"/>
      <c r="AG56" s="35">
        <v>0</v>
      </c>
      <c r="AH56" s="35"/>
      <c r="AI56" s="45">
        <f t="shared" si="19"/>
        <v>0</v>
      </c>
      <c r="AJ56" s="45"/>
      <c r="AK56" s="35"/>
      <c r="AL56" s="35"/>
      <c r="AM56" s="35">
        <v>0</v>
      </c>
      <c r="AN56" s="35"/>
      <c r="AO56" s="35">
        <v>0</v>
      </c>
      <c r="AP56" s="35"/>
      <c r="AQ56" s="35">
        <v>0</v>
      </c>
      <c r="AR56" s="35"/>
      <c r="AS56" s="45">
        <f t="shared" si="17"/>
        <v>0</v>
      </c>
      <c r="AT56" s="45"/>
      <c r="AU56" s="35">
        <v>0</v>
      </c>
      <c r="AV56" s="35"/>
      <c r="AW56" s="35">
        <v>0</v>
      </c>
      <c r="AX56" s="35"/>
      <c r="AY56" s="35">
        <f t="shared" si="4"/>
        <v>0</v>
      </c>
      <c r="AZ56" s="35"/>
      <c r="BA56" s="35" t="s">
        <v>75</v>
      </c>
      <c r="BB56" s="55"/>
      <c r="BC56" s="35" t="s">
        <v>76</v>
      </c>
      <c r="BD56" s="35"/>
      <c r="BE56" s="35">
        <v>0</v>
      </c>
      <c r="BF56" s="35"/>
      <c r="BG56" s="35">
        <v>0</v>
      </c>
      <c r="BH56" s="35"/>
      <c r="BI56" s="35">
        <v>0</v>
      </c>
      <c r="BJ56" s="35"/>
      <c r="BK56" s="35">
        <v>0</v>
      </c>
      <c r="BL56" s="35"/>
      <c r="BM56" s="35">
        <f t="shared" si="18"/>
        <v>0</v>
      </c>
      <c r="BN56" s="54" t="s">
        <v>347</v>
      </c>
    </row>
    <row r="57" spans="1:67" hidden="1">
      <c r="A57" s="35" t="s">
        <v>94</v>
      </c>
      <c r="C57" s="35" t="s">
        <v>94</v>
      </c>
      <c r="D57" s="35"/>
      <c r="E57" s="35">
        <f t="shared" si="0"/>
        <v>0</v>
      </c>
      <c r="F57" s="35"/>
      <c r="G57" s="35">
        <v>0</v>
      </c>
      <c r="H57" s="35"/>
      <c r="I57" s="35">
        <v>0</v>
      </c>
      <c r="J57" s="35"/>
      <c r="K57" s="35">
        <f t="shared" si="1"/>
        <v>0</v>
      </c>
      <c r="L57" s="35"/>
      <c r="M57" s="35">
        <v>0</v>
      </c>
      <c r="N57" s="35"/>
      <c r="O57" s="35">
        <v>0</v>
      </c>
      <c r="P57" s="35"/>
      <c r="Q57" s="35">
        <v>0</v>
      </c>
      <c r="R57" s="35"/>
      <c r="S57" s="35">
        <v>0</v>
      </c>
      <c r="T57" s="35"/>
      <c r="U57" s="35">
        <v>0</v>
      </c>
      <c r="V57" s="35"/>
      <c r="W57" s="35">
        <f t="shared" si="12"/>
        <v>0</v>
      </c>
      <c r="X57" s="35"/>
      <c r="Y57" s="35" t="str">
        <f>+A57</f>
        <v>Columbiana</v>
      </c>
      <c r="Z57" s="55"/>
      <c r="AA57" s="35" t="s">
        <v>94</v>
      </c>
      <c r="AB57" s="35"/>
      <c r="AC57" s="35">
        <v>0</v>
      </c>
      <c r="AD57" s="35"/>
      <c r="AE57" s="35">
        <v>0</v>
      </c>
      <c r="AF57" s="35"/>
      <c r="AG57" s="35">
        <v>0</v>
      </c>
      <c r="AH57" s="35"/>
      <c r="AI57" s="45">
        <f t="shared" si="19"/>
        <v>0</v>
      </c>
      <c r="AJ57" s="45"/>
      <c r="AK57" s="35"/>
      <c r="AL57" s="35"/>
      <c r="AM57" s="35">
        <v>0</v>
      </c>
      <c r="AN57" s="35"/>
      <c r="AO57" s="35">
        <v>0</v>
      </c>
      <c r="AP57" s="35"/>
      <c r="AQ57" s="35">
        <v>0</v>
      </c>
      <c r="AR57" s="35"/>
      <c r="AS57" s="45">
        <f t="shared" si="17"/>
        <v>0</v>
      </c>
      <c r="AT57" s="45"/>
      <c r="AU57" s="35">
        <v>0</v>
      </c>
      <c r="AV57" s="35"/>
      <c r="AW57" s="35">
        <v>0</v>
      </c>
      <c r="AX57" s="35"/>
      <c r="AY57" s="35">
        <f t="shared" si="4"/>
        <v>0</v>
      </c>
      <c r="AZ57" s="35"/>
      <c r="BA57" s="35" t="str">
        <f>+Y57</f>
        <v>Columbiana</v>
      </c>
      <c r="BB57" s="55"/>
      <c r="BC57" s="35" t="s">
        <v>94</v>
      </c>
      <c r="BD57" s="35"/>
      <c r="BE57" s="35">
        <v>0</v>
      </c>
      <c r="BF57" s="35"/>
      <c r="BG57" s="35">
        <v>0</v>
      </c>
      <c r="BH57" s="35"/>
      <c r="BI57" s="35">
        <v>0</v>
      </c>
      <c r="BJ57" s="35"/>
      <c r="BK57" s="35">
        <v>0</v>
      </c>
      <c r="BL57" s="35"/>
      <c r="BM57" s="35">
        <f t="shared" si="18"/>
        <v>0</v>
      </c>
      <c r="BN57" s="54" t="s">
        <v>347</v>
      </c>
    </row>
    <row r="58" spans="1:67" hidden="1">
      <c r="A58" s="35" t="s">
        <v>77</v>
      </c>
      <c r="C58" s="35" t="s">
        <v>43</v>
      </c>
      <c r="D58" s="35"/>
      <c r="E58" s="35">
        <f t="shared" si="0"/>
        <v>0</v>
      </c>
      <c r="F58" s="35"/>
      <c r="G58" s="35">
        <v>0</v>
      </c>
      <c r="H58" s="35"/>
      <c r="I58" s="35">
        <v>0</v>
      </c>
      <c r="J58" s="35"/>
      <c r="K58" s="35">
        <f t="shared" si="1"/>
        <v>0</v>
      </c>
      <c r="L58" s="35"/>
      <c r="M58" s="35">
        <v>0</v>
      </c>
      <c r="N58" s="35"/>
      <c r="O58" s="35">
        <v>0</v>
      </c>
      <c r="P58" s="35"/>
      <c r="Q58" s="35">
        <v>0</v>
      </c>
      <c r="R58" s="35"/>
      <c r="S58" s="35">
        <v>0</v>
      </c>
      <c r="T58" s="35"/>
      <c r="U58" s="35">
        <v>0</v>
      </c>
      <c r="V58" s="35"/>
      <c r="W58" s="35">
        <f t="shared" si="12"/>
        <v>0</v>
      </c>
      <c r="X58" s="35"/>
      <c r="Y58" s="35" t="s">
        <v>77</v>
      </c>
      <c r="Z58" s="55"/>
      <c r="AA58" s="35" t="s">
        <v>43</v>
      </c>
      <c r="AB58" s="35"/>
      <c r="AC58" s="35">
        <v>0</v>
      </c>
      <c r="AD58" s="35"/>
      <c r="AE58" s="35">
        <v>0</v>
      </c>
      <c r="AF58" s="35"/>
      <c r="AG58" s="35">
        <v>0</v>
      </c>
      <c r="AH58" s="35"/>
      <c r="AI58" s="45">
        <f t="shared" si="19"/>
        <v>0</v>
      </c>
      <c r="AJ58" s="45"/>
      <c r="AK58" s="35"/>
      <c r="AL58" s="35"/>
      <c r="AM58" s="35">
        <v>0</v>
      </c>
      <c r="AN58" s="35"/>
      <c r="AO58" s="35">
        <v>0</v>
      </c>
      <c r="AP58" s="35"/>
      <c r="AQ58" s="35">
        <v>0</v>
      </c>
      <c r="AR58" s="35"/>
      <c r="AS58" s="45">
        <f t="shared" si="17"/>
        <v>0</v>
      </c>
      <c r="AT58" s="45"/>
      <c r="AU58" s="35">
        <v>0</v>
      </c>
      <c r="AV58" s="35"/>
      <c r="AW58" s="35">
        <v>0</v>
      </c>
      <c r="AX58" s="35"/>
      <c r="AY58" s="35">
        <f t="shared" si="4"/>
        <v>0</v>
      </c>
      <c r="AZ58" s="35"/>
      <c r="BA58" s="35" t="s">
        <v>77</v>
      </c>
      <c r="BB58" s="55"/>
      <c r="BC58" s="35" t="s">
        <v>43</v>
      </c>
      <c r="BD58" s="35"/>
      <c r="BE58" s="35">
        <v>0</v>
      </c>
      <c r="BF58" s="35"/>
      <c r="BG58" s="35">
        <v>0</v>
      </c>
      <c r="BH58" s="35"/>
      <c r="BI58" s="35">
        <v>0</v>
      </c>
      <c r="BJ58" s="35"/>
      <c r="BK58" s="35">
        <v>0</v>
      </c>
      <c r="BL58" s="35"/>
      <c r="BM58" s="35">
        <f t="shared" si="18"/>
        <v>0</v>
      </c>
      <c r="BN58" s="54" t="s">
        <v>347</v>
      </c>
    </row>
    <row r="59" spans="1:67" hidden="1">
      <c r="A59" s="35" t="s">
        <v>78</v>
      </c>
      <c r="C59" s="35" t="s">
        <v>19</v>
      </c>
      <c r="D59" s="35"/>
      <c r="E59" s="35">
        <f t="shared" si="0"/>
        <v>0</v>
      </c>
      <c r="F59" s="35"/>
      <c r="G59" s="35">
        <v>0</v>
      </c>
      <c r="H59" s="35"/>
      <c r="I59" s="35">
        <v>0</v>
      </c>
      <c r="J59" s="35"/>
      <c r="K59" s="35">
        <f t="shared" si="1"/>
        <v>0</v>
      </c>
      <c r="L59" s="35"/>
      <c r="M59" s="35">
        <v>0</v>
      </c>
      <c r="N59" s="35"/>
      <c r="O59" s="35">
        <v>0</v>
      </c>
      <c r="P59" s="35"/>
      <c r="Q59" s="35">
        <v>0</v>
      </c>
      <c r="R59" s="35"/>
      <c r="S59" s="35">
        <v>0</v>
      </c>
      <c r="T59" s="35"/>
      <c r="U59" s="35">
        <v>0</v>
      </c>
      <c r="V59" s="35"/>
      <c r="W59" s="35">
        <f t="shared" si="12"/>
        <v>0</v>
      </c>
      <c r="X59" s="35"/>
      <c r="Y59" s="35" t="s">
        <v>78</v>
      </c>
      <c r="Z59" s="55"/>
      <c r="AA59" s="35" t="s">
        <v>19</v>
      </c>
      <c r="AB59" s="35"/>
      <c r="AC59" s="35">
        <v>0</v>
      </c>
      <c r="AD59" s="35"/>
      <c r="AE59" s="35">
        <v>0</v>
      </c>
      <c r="AF59" s="35"/>
      <c r="AG59" s="35">
        <v>0</v>
      </c>
      <c r="AH59" s="35"/>
      <c r="AI59" s="45">
        <f t="shared" si="19"/>
        <v>0</v>
      </c>
      <c r="AJ59" s="45"/>
      <c r="AK59" s="35"/>
      <c r="AL59" s="35"/>
      <c r="AM59" s="35">
        <v>0</v>
      </c>
      <c r="AN59" s="35"/>
      <c r="AO59" s="35">
        <v>0</v>
      </c>
      <c r="AP59" s="35"/>
      <c r="AQ59" s="35">
        <v>0</v>
      </c>
      <c r="AR59" s="35"/>
      <c r="AS59" s="45">
        <f t="shared" si="17"/>
        <v>0</v>
      </c>
      <c r="AT59" s="45"/>
      <c r="AU59" s="35">
        <v>0</v>
      </c>
      <c r="AV59" s="35"/>
      <c r="AW59" s="35">
        <v>0</v>
      </c>
      <c r="AX59" s="35"/>
      <c r="AY59" s="35">
        <f t="shared" si="4"/>
        <v>0</v>
      </c>
      <c r="AZ59" s="35"/>
      <c r="BA59" s="35" t="s">
        <v>78</v>
      </c>
      <c r="BB59" s="55"/>
      <c r="BC59" s="35" t="s">
        <v>19</v>
      </c>
      <c r="BD59" s="35"/>
      <c r="BE59" s="35">
        <v>0</v>
      </c>
      <c r="BF59" s="35"/>
      <c r="BG59" s="35">
        <v>0</v>
      </c>
      <c r="BH59" s="35"/>
      <c r="BI59" s="35">
        <v>0</v>
      </c>
      <c r="BJ59" s="35"/>
      <c r="BK59" s="35">
        <v>0</v>
      </c>
      <c r="BL59" s="35"/>
      <c r="BM59" s="35">
        <f t="shared" si="18"/>
        <v>0</v>
      </c>
      <c r="BN59" s="54" t="s">
        <v>347</v>
      </c>
    </row>
    <row r="60" spans="1:67" hidden="1">
      <c r="A60" s="35" t="s">
        <v>79</v>
      </c>
      <c r="C60" s="35" t="s">
        <v>80</v>
      </c>
      <c r="D60" s="35"/>
      <c r="E60" s="35">
        <f t="shared" si="0"/>
        <v>0</v>
      </c>
      <c r="F60" s="35"/>
      <c r="G60" s="35">
        <v>0</v>
      </c>
      <c r="H60" s="35"/>
      <c r="I60" s="35">
        <v>0</v>
      </c>
      <c r="J60" s="35"/>
      <c r="K60" s="35">
        <f t="shared" si="1"/>
        <v>0</v>
      </c>
      <c r="L60" s="35"/>
      <c r="M60" s="35">
        <v>0</v>
      </c>
      <c r="N60" s="35"/>
      <c r="O60" s="35">
        <v>0</v>
      </c>
      <c r="P60" s="35"/>
      <c r="Q60" s="35">
        <v>0</v>
      </c>
      <c r="R60" s="35"/>
      <c r="S60" s="35">
        <v>0</v>
      </c>
      <c r="T60" s="35"/>
      <c r="U60" s="35">
        <v>0</v>
      </c>
      <c r="V60" s="35"/>
      <c r="W60" s="35">
        <f t="shared" si="12"/>
        <v>0</v>
      </c>
      <c r="X60" s="35"/>
      <c r="Y60" s="35" t="s">
        <v>79</v>
      </c>
      <c r="Z60" s="55"/>
      <c r="AA60" s="35" t="s">
        <v>80</v>
      </c>
      <c r="AB60" s="35"/>
      <c r="AC60" s="35">
        <v>0</v>
      </c>
      <c r="AD60" s="35"/>
      <c r="AE60" s="35">
        <v>0</v>
      </c>
      <c r="AF60" s="35"/>
      <c r="AG60" s="35">
        <v>0</v>
      </c>
      <c r="AH60" s="35"/>
      <c r="AI60" s="45">
        <f t="shared" si="19"/>
        <v>0</v>
      </c>
      <c r="AJ60" s="45"/>
      <c r="AK60" s="35"/>
      <c r="AL60" s="35"/>
      <c r="AM60" s="35">
        <v>0</v>
      </c>
      <c r="AN60" s="35"/>
      <c r="AO60" s="35">
        <v>0</v>
      </c>
      <c r="AP60" s="35"/>
      <c r="AQ60" s="35">
        <v>0</v>
      </c>
      <c r="AR60" s="35"/>
      <c r="AS60" s="45">
        <f t="shared" si="17"/>
        <v>0</v>
      </c>
      <c r="AT60" s="45"/>
      <c r="AU60" s="35">
        <v>0</v>
      </c>
      <c r="AV60" s="35"/>
      <c r="AW60" s="35">
        <v>0</v>
      </c>
      <c r="AX60" s="35"/>
      <c r="AY60" s="35">
        <f t="shared" si="4"/>
        <v>0</v>
      </c>
      <c r="AZ60" s="35"/>
      <c r="BA60" s="35" t="s">
        <v>79</v>
      </c>
      <c r="BB60" s="55"/>
      <c r="BC60" s="35" t="s">
        <v>80</v>
      </c>
      <c r="BD60" s="35"/>
      <c r="BE60" s="35">
        <v>0</v>
      </c>
      <c r="BF60" s="35"/>
      <c r="BG60" s="35">
        <v>0</v>
      </c>
      <c r="BH60" s="35"/>
      <c r="BI60" s="35">
        <v>0</v>
      </c>
      <c r="BJ60" s="35"/>
      <c r="BK60" s="35">
        <v>0</v>
      </c>
      <c r="BL60" s="35"/>
      <c r="BM60" s="35">
        <f t="shared" si="18"/>
        <v>0</v>
      </c>
      <c r="BN60" s="54" t="s">
        <v>347</v>
      </c>
    </row>
    <row r="61" spans="1:67" hidden="1">
      <c r="A61" s="35" t="s">
        <v>81</v>
      </c>
      <c r="C61" s="35" t="s">
        <v>81</v>
      </c>
      <c r="D61" s="35"/>
      <c r="E61" s="35">
        <f t="shared" si="0"/>
        <v>454384</v>
      </c>
      <c r="F61" s="35"/>
      <c r="G61" s="35">
        <v>0</v>
      </c>
      <c r="H61" s="35"/>
      <c r="I61" s="35">
        <v>454384</v>
      </c>
      <c r="J61" s="35"/>
      <c r="K61" s="35">
        <f t="shared" si="1"/>
        <v>0</v>
      </c>
      <c r="L61" s="35"/>
      <c r="M61" s="35">
        <v>0</v>
      </c>
      <c r="N61" s="35"/>
      <c r="O61" s="35">
        <v>0</v>
      </c>
      <c r="P61" s="35"/>
      <c r="Q61" s="35">
        <v>0</v>
      </c>
      <c r="R61" s="35"/>
      <c r="S61" s="35">
        <v>0</v>
      </c>
      <c r="T61" s="35"/>
      <c r="U61" s="35">
        <v>454384</v>
      </c>
      <c r="V61" s="35"/>
      <c r="W61" s="35">
        <f t="shared" si="12"/>
        <v>454384</v>
      </c>
      <c r="X61" s="35"/>
      <c r="Y61" s="35" t="s">
        <v>81</v>
      </c>
      <c r="Z61" s="55"/>
      <c r="AA61" s="35" t="s">
        <v>81</v>
      </c>
      <c r="AB61" s="35"/>
      <c r="AC61" s="35">
        <v>825081</v>
      </c>
      <c r="AD61" s="35"/>
      <c r="AE61" s="35">
        <v>854181</v>
      </c>
      <c r="AF61" s="35"/>
      <c r="AG61" s="35">
        <v>0</v>
      </c>
      <c r="AH61" s="35"/>
      <c r="AI61" s="45">
        <f t="shared" si="19"/>
        <v>-29100</v>
      </c>
      <c r="AJ61" s="45"/>
      <c r="AK61" s="35">
        <v>0</v>
      </c>
      <c r="AL61" s="35"/>
      <c r="AM61" s="35">
        <v>0</v>
      </c>
      <c r="AN61" s="35"/>
      <c r="AO61" s="35">
        <v>0</v>
      </c>
      <c r="AP61" s="35"/>
      <c r="AQ61" s="35">
        <v>0</v>
      </c>
      <c r="AR61" s="35"/>
      <c r="AS61" s="45">
        <f t="shared" si="17"/>
        <v>-29100</v>
      </c>
      <c r="AT61" s="45"/>
      <c r="AU61" s="35">
        <v>0</v>
      </c>
      <c r="AV61" s="35"/>
      <c r="AW61" s="35">
        <v>0</v>
      </c>
      <c r="AX61" s="35"/>
      <c r="AY61" s="35">
        <f t="shared" ref="AY61:AY124" si="20">+E61-K61</f>
        <v>454384</v>
      </c>
      <c r="AZ61" s="35"/>
      <c r="BA61" s="35" t="s">
        <v>81</v>
      </c>
      <c r="BB61" s="55"/>
      <c r="BC61" s="35" t="s">
        <v>81</v>
      </c>
      <c r="BD61" s="35"/>
      <c r="BE61" s="35">
        <v>0</v>
      </c>
      <c r="BF61" s="35"/>
      <c r="BG61" s="35">
        <v>0</v>
      </c>
      <c r="BH61" s="35"/>
      <c r="BI61" s="35">
        <v>0</v>
      </c>
      <c r="BJ61" s="35"/>
      <c r="BK61" s="35">
        <v>0</v>
      </c>
      <c r="BL61" s="35"/>
      <c r="BM61" s="35">
        <f t="shared" si="18"/>
        <v>0</v>
      </c>
      <c r="BN61" s="54" t="s">
        <v>347</v>
      </c>
    </row>
    <row r="62" spans="1:67">
      <c r="A62" s="35" t="s">
        <v>82</v>
      </c>
      <c r="C62" s="35" t="s">
        <v>13</v>
      </c>
      <c r="D62" s="35"/>
      <c r="E62" s="35">
        <f t="shared" si="0"/>
        <v>2105638</v>
      </c>
      <c r="F62" s="35"/>
      <c r="G62" s="35">
        <v>993811</v>
      </c>
      <c r="H62" s="35"/>
      <c r="I62" s="35">
        <v>3099449</v>
      </c>
      <c r="J62" s="35"/>
      <c r="K62" s="35">
        <f t="shared" si="1"/>
        <v>346367</v>
      </c>
      <c r="L62" s="35"/>
      <c r="M62" s="35">
        <v>494987</v>
      </c>
      <c r="N62" s="35"/>
      <c r="O62" s="35">
        <v>841354</v>
      </c>
      <c r="P62" s="35"/>
      <c r="Q62" s="35">
        <v>755068</v>
      </c>
      <c r="R62" s="35"/>
      <c r="S62" s="35">
        <v>0</v>
      </c>
      <c r="T62" s="35"/>
      <c r="U62" s="35">
        <v>1503027</v>
      </c>
      <c r="V62" s="35"/>
      <c r="W62" s="35">
        <f t="shared" si="12"/>
        <v>2258095</v>
      </c>
      <c r="X62" s="35"/>
      <c r="Y62" s="35" t="s">
        <v>82</v>
      </c>
      <c r="Z62" s="55"/>
      <c r="AA62" s="35" t="s">
        <v>13</v>
      </c>
      <c r="AB62" s="35"/>
      <c r="AC62" s="35">
        <v>3686465</v>
      </c>
      <c r="AD62" s="35"/>
      <c r="AE62" s="35">
        <f>3048616-225720</f>
        <v>2822896</v>
      </c>
      <c r="AF62" s="35"/>
      <c r="AG62" s="35">
        <v>225720</v>
      </c>
      <c r="AH62" s="35"/>
      <c r="AI62" s="45">
        <f t="shared" si="19"/>
        <v>637849</v>
      </c>
      <c r="AJ62" s="45"/>
      <c r="AK62" s="35">
        <v>34981</v>
      </c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7"/>
        <v>672830</v>
      </c>
      <c r="AT62" s="45"/>
      <c r="AU62" s="35">
        <v>0</v>
      </c>
      <c r="AV62" s="35"/>
      <c r="AW62" s="35">
        <v>0</v>
      </c>
      <c r="AX62" s="35"/>
      <c r="AY62" s="35">
        <f t="shared" si="20"/>
        <v>1759271</v>
      </c>
      <c r="AZ62" s="35"/>
      <c r="BA62" s="35" t="s">
        <v>82</v>
      </c>
      <c r="BB62" s="55"/>
      <c r="BC62" s="35" t="s">
        <v>13</v>
      </c>
      <c r="BD62" s="35"/>
      <c r="BE62" s="35">
        <v>0</v>
      </c>
      <c r="BF62" s="35"/>
      <c r="BG62" s="35">
        <v>0</v>
      </c>
      <c r="BH62" s="35"/>
      <c r="BI62" s="35">
        <v>0</v>
      </c>
      <c r="BJ62" s="35"/>
      <c r="BK62" s="35">
        <f>494987+22229+85424</f>
        <v>602640</v>
      </c>
      <c r="BL62" s="35"/>
      <c r="BM62" s="35">
        <f t="shared" si="18"/>
        <v>602640</v>
      </c>
      <c r="BN62" s="54" t="s">
        <v>347</v>
      </c>
    </row>
    <row r="63" spans="1:67" hidden="1">
      <c r="A63" s="35" t="s">
        <v>83</v>
      </c>
      <c r="C63" s="35" t="s">
        <v>66</v>
      </c>
      <c r="D63" s="35"/>
      <c r="E63" s="35">
        <f t="shared" si="0"/>
        <v>0</v>
      </c>
      <c r="F63" s="35"/>
      <c r="G63" s="35">
        <v>0</v>
      </c>
      <c r="H63" s="35"/>
      <c r="I63" s="35">
        <v>0</v>
      </c>
      <c r="J63" s="35"/>
      <c r="K63" s="35">
        <f t="shared" si="1"/>
        <v>0</v>
      </c>
      <c r="L63" s="35"/>
      <c r="M63" s="35">
        <v>0</v>
      </c>
      <c r="N63" s="35"/>
      <c r="O63" s="35">
        <v>0</v>
      </c>
      <c r="P63" s="35"/>
      <c r="Q63" s="35">
        <v>0</v>
      </c>
      <c r="R63" s="35"/>
      <c r="S63" s="35">
        <v>0</v>
      </c>
      <c r="T63" s="35"/>
      <c r="U63" s="35">
        <v>0</v>
      </c>
      <c r="V63" s="35"/>
      <c r="W63" s="35">
        <f t="shared" si="12"/>
        <v>0</v>
      </c>
      <c r="X63" s="35"/>
      <c r="Y63" s="35" t="s">
        <v>83</v>
      </c>
      <c r="Z63" s="55"/>
      <c r="AA63" s="35" t="s">
        <v>66</v>
      </c>
      <c r="AB63" s="35"/>
      <c r="AC63" s="35">
        <v>0</v>
      </c>
      <c r="AD63" s="35"/>
      <c r="AE63" s="35">
        <v>0</v>
      </c>
      <c r="AF63" s="35"/>
      <c r="AG63" s="35">
        <v>0</v>
      </c>
      <c r="AH63" s="35"/>
      <c r="AI63" s="45">
        <f t="shared" si="19"/>
        <v>0</v>
      </c>
      <c r="AJ63" s="45"/>
      <c r="AK63" s="35">
        <v>0</v>
      </c>
      <c r="AL63" s="35"/>
      <c r="AM63" s="35">
        <v>0</v>
      </c>
      <c r="AN63" s="35"/>
      <c r="AO63" s="35">
        <v>0</v>
      </c>
      <c r="AP63" s="35"/>
      <c r="AQ63" s="35">
        <v>0</v>
      </c>
      <c r="AR63" s="35"/>
      <c r="AS63" s="45">
        <f t="shared" si="17"/>
        <v>0</v>
      </c>
      <c r="AT63" s="45"/>
      <c r="AU63" s="35">
        <v>0</v>
      </c>
      <c r="AV63" s="35"/>
      <c r="AW63" s="35">
        <v>0</v>
      </c>
      <c r="AX63" s="35"/>
      <c r="AY63" s="35">
        <f t="shared" si="20"/>
        <v>0</v>
      </c>
      <c r="AZ63" s="35"/>
      <c r="BA63" s="35" t="s">
        <v>83</v>
      </c>
      <c r="BB63" s="55"/>
      <c r="BC63" s="35" t="s">
        <v>66</v>
      </c>
      <c r="BD63" s="35"/>
      <c r="BE63" s="35">
        <v>0</v>
      </c>
      <c r="BF63" s="35"/>
      <c r="BG63" s="35">
        <v>0</v>
      </c>
      <c r="BH63" s="35"/>
      <c r="BI63" s="35">
        <v>0</v>
      </c>
      <c r="BJ63" s="35"/>
      <c r="BK63" s="35">
        <v>0</v>
      </c>
      <c r="BL63" s="35"/>
      <c r="BM63" s="35">
        <f t="shared" si="18"/>
        <v>0</v>
      </c>
      <c r="BN63" s="54" t="s">
        <v>347</v>
      </c>
    </row>
    <row r="64" spans="1:67" hidden="1">
      <c r="A64" s="35" t="s">
        <v>84</v>
      </c>
      <c r="C64" s="35" t="s">
        <v>45</v>
      </c>
      <c r="D64" s="35"/>
      <c r="E64" s="35">
        <f t="shared" si="0"/>
        <v>81956</v>
      </c>
      <c r="F64" s="35"/>
      <c r="G64" s="35">
        <v>9867</v>
      </c>
      <c r="H64" s="35"/>
      <c r="I64" s="35">
        <v>91823</v>
      </c>
      <c r="J64" s="35"/>
      <c r="K64" s="35">
        <f t="shared" si="1"/>
        <v>136967</v>
      </c>
      <c r="L64" s="35"/>
      <c r="M64" s="35">
        <v>0</v>
      </c>
      <c r="N64" s="35"/>
      <c r="O64" s="35">
        <v>136967</v>
      </c>
      <c r="P64" s="35"/>
      <c r="Q64" s="35">
        <v>9867</v>
      </c>
      <c r="R64" s="35"/>
      <c r="S64" s="35">
        <v>0</v>
      </c>
      <c r="T64" s="35"/>
      <c r="U64" s="35">
        <v>-55011</v>
      </c>
      <c r="V64" s="35"/>
      <c r="W64" s="35">
        <f t="shared" si="12"/>
        <v>-45144</v>
      </c>
      <c r="X64" s="35"/>
      <c r="Y64" s="35" t="s">
        <v>84</v>
      </c>
      <c r="Z64" s="55"/>
      <c r="AA64" s="35" t="s">
        <v>45</v>
      </c>
      <c r="AB64" s="35"/>
      <c r="AC64" s="35">
        <v>344357</v>
      </c>
      <c r="AD64" s="35"/>
      <c r="AE64" s="35">
        <v>331624</v>
      </c>
      <c r="AF64" s="35"/>
      <c r="AG64" s="35">
        <v>5311</v>
      </c>
      <c r="AH64" s="35"/>
      <c r="AI64" s="45">
        <f t="shared" si="19"/>
        <v>7422</v>
      </c>
      <c r="AJ64" s="45"/>
      <c r="AK64" s="35">
        <v>0</v>
      </c>
      <c r="AL64" s="35"/>
      <c r="AM64" s="35">
        <v>0</v>
      </c>
      <c r="AN64" s="35"/>
      <c r="AO64" s="35">
        <v>0</v>
      </c>
      <c r="AP64" s="35"/>
      <c r="AQ64" s="35">
        <v>0</v>
      </c>
      <c r="AR64" s="35"/>
      <c r="AS64" s="45">
        <f t="shared" si="17"/>
        <v>7422</v>
      </c>
      <c r="AT64" s="45"/>
      <c r="AU64" s="35">
        <v>0</v>
      </c>
      <c r="AV64" s="35"/>
      <c r="AW64" s="35">
        <v>0</v>
      </c>
      <c r="AX64" s="35"/>
      <c r="AY64" s="35">
        <f t="shared" si="20"/>
        <v>-55011</v>
      </c>
      <c r="AZ64" s="35"/>
      <c r="BA64" s="35" t="s">
        <v>84</v>
      </c>
      <c r="BB64" s="55"/>
      <c r="BC64" s="35" t="s">
        <v>45</v>
      </c>
      <c r="BD64" s="35"/>
      <c r="BE64" s="35">
        <v>0</v>
      </c>
      <c r="BF64" s="35"/>
      <c r="BG64" s="35">
        <v>0</v>
      </c>
      <c r="BH64" s="35"/>
      <c r="BI64" s="35">
        <v>0</v>
      </c>
      <c r="BJ64" s="35"/>
      <c r="BK64" s="35">
        <v>0</v>
      </c>
      <c r="BL64" s="35"/>
      <c r="BM64" s="35">
        <f t="shared" si="18"/>
        <v>0</v>
      </c>
      <c r="BN64" s="54" t="s">
        <v>347</v>
      </c>
      <c r="BO64" s="55" t="s">
        <v>371</v>
      </c>
    </row>
    <row r="65" spans="1:67" hidden="1">
      <c r="A65" s="35" t="s">
        <v>85</v>
      </c>
      <c r="C65" s="35" t="s">
        <v>85</v>
      </c>
      <c r="D65" s="35"/>
      <c r="E65" s="35">
        <f t="shared" si="0"/>
        <v>0</v>
      </c>
      <c r="F65" s="35"/>
      <c r="G65" s="35">
        <v>0</v>
      </c>
      <c r="H65" s="35"/>
      <c r="I65" s="35">
        <v>0</v>
      </c>
      <c r="J65" s="35"/>
      <c r="K65" s="35">
        <f t="shared" si="1"/>
        <v>0</v>
      </c>
      <c r="L65" s="35"/>
      <c r="M65" s="35">
        <v>0</v>
      </c>
      <c r="N65" s="35"/>
      <c r="O65" s="35">
        <v>0</v>
      </c>
      <c r="P65" s="35"/>
      <c r="Q65" s="35">
        <v>0</v>
      </c>
      <c r="R65" s="35"/>
      <c r="S65" s="35">
        <v>0</v>
      </c>
      <c r="T65" s="35"/>
      <c r="U65" s="35">
        <v>0</v>
      </c>
      <c r="V65" s="35"/>
      <c r="W65" s="35">
        <f t="shared" si="12"/>
        <v>0</v>
      </c>
      <c r="X65" s="35"/>
      <c r="Y65" s="35" t="s">
        <v>85</v>
      </c>
      <c r="Z65" s="55"/>
      <c r="AA65" s="35" t="s">
        <v>85</v>
      </c>
      <c r="AB65" s="35"/>
      <c r="AC65" s="35">
        <v>0</v>
      </c>
      <c r="AD65" s="35"/>
      <c r="AE65" s="35">
        <v>0</v>
      </c>
      <c r="AF65" s="35"/>
      <c r="AG65" s="35">
        <v>0</v>
      </c>
      <c r="AH65" s="35"/>
      <c r="AI65" s="45">
        <f t="shared" si="19"/>
        <v>0</v>
      </c>
      <c r="AJ65" s="45"/>
      <c r="AK65" s="35">
        <v>0</v>
      </c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7"/>
        <v>0</v>
      </c>
      <c r="AT65" s="45"/>
      <c r="AU65" s="35">
        <v>0</v>
      </c>
      <c r="AV65" s="35"/>
      <c r="AW65" s="35">
        <v>0</v>
      </c>
      <c r="AX65" s="35"/>
      <c r="AY65" s="35">
        <f t="shared" si="20"/>
        <v>0</v>
      </c>
      <c r="AZ65" s="35"/>
      <c r="BA65" s="35" t="s">
        <v>85</v>
      </c>
      <c r="BB65" s="55"/>
      <c r="BC65" s="35" t="s">
        <v>85</v>
      </c>
      <c r="BD65" s="35"/>
      <c r="BE65" s="35">
        <v>0</v>
      </c>
      <c r="BF65" s="35"/>
      <c r="BG65" s="35">
        <v>0</v>
      </c>
      <c r="BH65" s="35"/>
      <c r="BI65" s="35">
        <v>0</v>
      </c>
      <c r="BJ65" s="35"/>
      <c r="BK65" s="35">
        <v>0</v>
      </c>
      <c r="BL65" s="35"/>
      <c r="BM65" s="35">
        <f t="shared" si="18"/>
        <v>0</v>
      </c>
      <c r="BN65" s="54" t="s">
        <v>347</v>
      </c>
    </row>
    <row r="66" spans="1:67">
      <c r="A66" s="35" t="s">
        <v>86</v>
      </c>
      <c r="C66" s="35" t="s">
        <v>86</v>
      </c>
      <c r="D66" s="35"/>
      <c r="E66" s="35">
        <f t="shared" si="0"/>
        <v>693887</v>
      </c>
      <c r="F66" s="35"/>
      <c r="G66" s="35">
        <v>928381</v>
      </c>
      <c r="H66" s="35"/>
      <c r="I66" s="35">
        <v>1622268</v>
      </c>
      <c r="J66" s="35"/>
      <c r="K66" s="35">
        <f t="shared" si="1"/>
        <v>526173</v>
      </c>
      <c r="L66" s="35"/>
      <c r="M66" s="35">
        <v>562673</v>
      </c>
      <c r="N66" s="35"/>
      <c r="O66" s="35">
        <v>1088846</v>
      </c>
      <c r="P66" s="35"/>
      <c r="Q66" s="35">
        <v>620381</v>
      </c>
      <c r="R66" s="35"/>
      <c r="S66" s="35">
        <v>0</v>
      </c>
      <c r="T66" s="35"/>
      <c r="U66" s="35">
        <v>-86959</v>
      </c>
      <c r="V66" s="35"/>
      <c r="W66" s="35">
        <f t="shared" si="12"/>
        <v>533422</v>
      </c>
      <c r="X66" s="35"/>
      <c r="Y66" s="35" t="s">
        <v>86</v>
      </c>
      <c r="Z66" s="55"/>
      <c r="AA66" s="35" t="s">
        <v>86</v>
      </c>
      <c r="AB66" s="35"/>
      <c r="AC66" s="35">
        <v>2925447</v>
      </c>
      <c r="AD66" s="35"/>
      <c r="AE66" s="35">
        <f>3217547-169954</f>
        <v>3047593</v>
      </c>
      <c r="AF66" s="35"/>
      <c r="AG66" s="35">
        <v>169954</v>
      </c>
      <c r="AH66" s="35"/>
      <c r="AI66" s="45">
        <f t="shared" si="19"/>
        <v>-292100</v>
      </c>
      <c r="AJ66" s="45"/>
      <c r="AK66" s="35">
        <v>-13293</v>
      </c>
      <c r="AL66" s="35"/>
      <c r="AM66" s="35">
        <v>0</v>
      </c>
      <c r="AN66" s="35"/>
      <c r="AO66" s="35">
        <v>0</v>
      </c>
      <c r="AP66" s="35"/>
      <c r="AQ66" s="35">
        <v>0</v>
      </c>
      <c r="AR66" s="35"/>
      <c r="AS66" s="45">
        <f t="shared" si="17"/>
        <v>-305393</v>
      </c>
      <c r="AT66" s="45"/>
      <c r="AU66" s="35">
        <v>0</v>
      </c>
      <c r="AV66" s="35"/>
      <c r="AW66" s="35">
        <v>0</v>
      </c>
      <c r="AX66" s="35"/>
      <c r="AY66" s="35">
        <f t="shared" si="20"/>
        <v>167714</v>
      </c>
      <c r="AZ66" s="35"/>
      <c r="BA66" s="35" t="s">
        <v>86</v>
      </c>
      <c r="BB66" s="55"/>
      <c r="BC66" s="35" t="s">
        <v>86</v>
      </c>
      <c r="BD66" s="35"/>
      <c r="BE66" s="35">
        <f>260000+45000</f>
        <v>305000</v>
      </c>
      <c r="BF66" s="35"/>
      <c r="BG66" s="35">
        <v>0</v>
      </c>
      <c r="BH66" s="35"/>
      <c r="BI66" s="35">
        <v>0</v>
      </c>
      <c r="BJ66" s="35"/>
      <c r="BK66" s="35">
        <f>62673+240000+5000+30154</f>
        <v>337827</v>
      </c>
      <c r="BL66" s="35"/>
      <c r="BM66" s="35">
        <f t="shared" si="18"/>
        <v>642827</v>
      </c>
      <c r="BN66" s="54" t="s">
        <v>347</v>
      </c>
    </row>
    <row r="67" spans="1:67" s="90" customFormat="1" ht="12" hidden="1">
      <c r="A67" s="64" t="s">
        <v>87</v>
      </c>
      <c r="C67" s="64" t="s">
        <v>88</v>
      </c>
      <c r="D67" s="64"/>
      <c r="E67" s="35">
        <f t="shared" si="0"/>
        <v>0</v>
      </c>
      <c r="F67" s="35"/>
      <c r="G67" s="35">
        <v>0</v>
      </c>
      <c r="H67" s="35"/>
      <c r="I67" s="35">
        <v>0</v>
      </c>
      <c r="J67" s="35"/>
      <c r="K67" s="35">
        <f t="shared" si="1"/>
        <v>0</v>
      </c>
      <c r="L67" s="35"/>
      <c r="M67" s="35">
        <v>0</v>
      </c>
      <c r="N67" s="35"/>
      <c r="O67" s="35">
        <v>0</v>
      </c>
      <c r="P67" s="35"/>
      <c r="Q67" s="35">
        <v>0</v>
      </c>
      <c r="R67" s="35"/>
      <c r="S67" s="35">
        <v>0</v>
      </c>
      <c r="T67" s="35"/>
      <c r="U67" s="35">
        <v>0</v>
      </c>
      <c r="V67" s="64"/>
      <c r="W67" s="64">
        <f t="shared" si="12"/>
        <v>0</v>
      </c>
      <c r="X67" s="64"/>
      <c r="Y67" s="64" t="s">
        <v>87</v>
      </c>
      <c r="AA67" s="64" t="s">
        <v>88</v>
      </c>
      <c r="AB67" s="64"/>
      <c r="AC67" s="35">
        <v>0</v>
      </c>
      <c r="AD67" s="35"/>
      <c r="AE67" s="35">
        <v>0</v>
      </c>
      <c r="AF67" s="35"/>
      <c r="AG67" s="35">
        <v>0</v>
      </c>
      <c r="AH67" s="35"/>
      <c r="AI67" s="45">
        <f t="shared" si="19"/>
        <v>0</v>
      </c>
      <c r="AJ67" s="45"/>
      <c r="AK67" s="35">
        <v>0</v>
      </c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7"/>
        <v>0</v>
      </c>
      <c r="AT67" s="45"/>
      <c r="AU67" s="35">
        <v>0</v>
      </c>
      <c r="AV67" s="35"/>
      <c r="AW67" s="35">
        <v>0</v>
      </c>
      <c r="AX67" s="35"/>
      <c r="AY67" s="35">
        <f t="shared" si="20"/>
        <v>0</v>
      </c>
      <c r="AZ67" s="64"/>
      <c r="BA67" s="64" t="s">
        <v>87</v>
      </c>
      <c r="BC67" s="64" t="s">
        <v>88</v>
      </c>
      <c r="BD67" s="64"/>
      <c r="BE67" s="35">
        <v>0</v>
      </c>
      <c r="BF67" s="35"/>
      <c r="BG67" s="35">
        <v>0</v>
      </c>
      <c r="BH67" s="35"/>
      <c r="BI67" s="35">
        <v>0</v>
      </c>
      <c r="BJ67" s="35"/>
      <c r="BK67" s="35">
        <v>0</v>
      </c>
      <c r="BL67" s="64"/>
      <c r="BM67" s="64">
        <f t="shared" si="18"/>
        <v>0</v>
      </c>
      <c r="BN67" s="91" t="s">
        <v>347</v>
      </c>
    </row>
    <row r="68" spans="1:67" hidden="1">
      <c r="A68" s="35" t="s">
        <v>394</v>
      </c>
      <c r="C68" s="35" t="s">
        <v>89</v>
      </c>
      <c r="D68" s="35"/>
      <c r="E68" s="35">
        <f t="shared" si="0"/>
        <v>0</v>
      </c>
      <c r="F68" s="35"/>
      <c r="G68" s="35">
        <v>0</v>
      </c>
      <c r="H68" s="35"/>
      <c r="I68" s="35">
        <v>0</v>
      </c>
      <c r="J68" s="35"/>
      <c r="K68" s="35">
        <f t="shared" si="1"/>
        <v>0</v>
      </c>
      <c r="L68" s="35"/>
      <c r="M68" s="35">
        <v>0</v>
      </c>
      <c r="N68" s="35"/>
      <c r="O68" s="35">
        <v>0</v>
      </c>
      <c r="P68" s="35"/>
      <c r="Q68" s="35">
        <v>0</v>
      </c>
      <c r="R68" s="35"/>
      <c r="S68" s="35">
        <v>0</v>
      </c>
      <c r="T68" s="35"/>
      <c r="U68" s="35">
        <v>0</v>
      </c>
      <c r="V68" s="35"/>
      <c r="W68" s="35">
        <f t="shared" si="12"/>
        <v>0</v>
      </c>
      <c r="X68" s="35"/>
      <c r="Y68" s="35" t="s">
        <v>394</v>
      </c>
      <c r="Z68" s="55"/>
      <c r="AA68" s="35" t="s">
        <v>89</v>
      </c>
      <c r="AB68" s="35"/>
      <c r="AC68" s="35">
        <v>0</v>
      </c>
      <c r="AD68" s="35"/>
      <c r="AE68" s="35">
        <v>0</v>
      </c>
      <c r="AF68" s="35"/>
      <c r="AG68" s="35">
        <v>0</v>
      </c>
      <c r="AH68" s="35"/>
      <c r="AI68" s="45">
        <f t="shared" si="19"/>
        <v>0</v>
      </c>
      <c r="AJ68" s="45"/>
      <c r="AK68" s="35">
        <v>0</v>
      </c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7"/>
        <v>0</v>
      </c>
      <c r="AT68" s="45"/>
      <c r="AU68" s="35">
        <v>0</v>
      </c>
      <c r="AV68" s="35"/>
      <c r="AW68" s="35">
        <v>0</v>
      </c>
      <c r="AX68" s="35"/>
      <c r="AY68" s="35">
        <f t="shared" si="20"/>
        <v>0</v>
      </c>
      <c r="AZ68" s="35"/>
      <c r="BA68" s="35" t="s">
        <v>394</v>
      </c>
      <c r="BB68" s="55"/>
      <c r="BC68" s="35" t="s">
        <v>89</v>
      </c>
      <c r="BD68" s="35"/>
      <c r="BE68" s="35">
        <v>0</v>
      </c>
      <c r="BF68" s="35"/>
      <c r="BG68" s="35">
        <v>0</v>
      </c>
      <c r="BH68" s="35"/>
      <c r="BI68" s="35">
        <v>0</v>
      </c>
      <c r="BJ68" s="35"/>
      <c r="BK68" s="35">
        <v>0</v>
      </c>
      <c r="BL68" s="35"/>
      <c r="BM68" s="35">
        <f t="shared" si="18"/>
        <v>0</v>
      </c>
      <c r="BN68" s="54" t="s">
        <v>347</v>
      </c>
      <c r="BO68" s="55" t="s">
        <v>315</v>
      </c>
    </row>
    <row r="69" spans="1:67" hidden="1">
      <c r="A69" s="35" t="s">
        <v>90</v>
      </c>
      <c r="C69" s="35" t="s">
        <v>43</v>
      </c>
      <c r="D69" s="35"/>
      <c r="E69" s="35">
        <f t="shared" si="0"/>
        <v>0</v>
      </c>
      <c r="F69" s="35"/>
      <c r="G69" s="35">
        <v>0</v>
      </c>
      <c r="H69" s="35"/>
      <c r="I69" s="35">
        <v>0</v>
      </c>
      <c r="J69" s="35"/>
      <c r="K69" s="35">
        <f t="shared" si="1"/>
        <v>0</v>
      </c>
      <c r="L69" s="35"/>
      <c r="M69" s="35">
        <v>0</v>
      </c>
      <c r="N69" s="35"/>
      <c r="O69" s="35">
        <v>0</v>
      </c>
      <c r="P69" s="35"/>
      <c r="Q69" s="35">
        <v>0</v>
      </c>
      <c r="R69" s="35"/>
      <c r="S69" s="35">
        <v>0</v>
      </c>
      <c r="T69" s="35"/>
      <c r="U69" s="35">
        <v>0</v>
      </c>
      <c r="V69" s="35"/>
      <c r="W69" s="35">
        <f t="shared" si="12"/>
        <v>0</v>
      </c>
      <c r="X69" s="35"/>
      <c r="Y69" s="35" t="s">
        <v>90</v>
      </c>
      <c r="Z69" s="55"/>
      <c r="AA69" s="35" t="s">
        <v>43</v>
      </c>
      <c r="AB69" s="35"/>
      <c r="AC69" s="35">
        <v>0</v>
      </c>
      <c r="AD69" s="35"/>
      <c r="AE69" s="35">
        <v>0</v>
      </c>
      <c r="AF69" s="35"/>
      <c r="AG69" s="35">
        <v>0</v>
      </c>
      <c r="AH69" s="35"/>
      <c r="AI69" s="45">
        <f t="shared" si="19"/>
        <v>0</v>
      </c>
      <c r="AJ69" s="45"/>
      <c r="AK69" s="35">
        <v>0</v>
      </c>
      <c r="AL69" s="35"/>
      <c r="AM69" s="35">
        <v>0</v>
      </c>
      <c r="AN69" s="35"/>
      <c r="AO69" s="35">
        <v>0</v>
      </c>
      <c r="AP69" s="35"/>
      <c r="AQ69" s="35">
        <v>0</v>
      </c>
      <c r="AR69" s="35"/>
      <c r="AS69" s="45">
        <f t="shared" si="17"/>
        <v>0</v>
      </c>
      <c r="AT69" s="45"/>
      <c r="AU69" s="35">
        <v>0</v>
      </c>
      <c r="AV69" s="35"/>
      <c r="AW69" s="35">
        <v>0</v>
      </c>
      <c r="AX69" s="35"/>
      <c r="AY69" s="35">
        <f t="shared" si="20"/>
        <v>0</v>
      </c>
      <c r="AZ69" s="35"/>
      <c r="BA69" s="35" t="s">
        <v>90</v>
      </c>
      <c r="BB69" s="55"/>
      <c r="BC69" s="35" t="s">
        <v>43</v>
      </c>
      <c r="BD69" s="35"/>
      <c r="BE69" s="35">
        <v>0</v>
      </c>
      <c r="BF69" s="35"/>
      <c r="BG69" s="35">
        <v>0</v>
      </c>
      <c r="BH69" s="35"/>
      <c r="BI69" s="35">
        <v>0</v>
      </c>
      <c r="BJ69" s="35"/>
      <c r="BK69" s="35">
        <v>0</v>
      </c>
      <c r="BL69" s="35"/>
      <c r="BM69" s="35">
        <f t="shared" si="18"/>
        <v>0</v>
      </c>
      <c r="BN69" s="54" t="s">
        <v>347</v>
      </c>
    </row>
    <row r="70" spans="1:67" hidden="1">
      <c r="A70" s="35" t="s">
        <v>93</v>
      </c>
      <c r="C70" s="35" t="s">
        <v>94</v>
      </c>
      <c r="D70" s="35"/>
      <c r="E70" s="35">
        <f t="shared" si="0"/>
        <v>0</v>
      </c>
      <c r="F70" s="35"/>
      <c r="G70" s="35">
        <v>0</v>
      </c>
      <c r="H70" s="35"/>
      <c r="I70" s="35">
        <v>0</v>
      </c>
      <c r="J70" s="35"/>
      <c r="K70" s="35">
        <f t="shared" si="1"/>
        <v>0</v>
      </c>
      <c r="L70" s="35"/>
      <c r="M70" s="35">
        <v>0</v>
      </c>
      <c r="N70" s="35"/>
      <c r="O70" s="35">
        <v>0</v>
      </c>
      <c r="P70" s="35"/>
      <c r="Q70" s="35">
        <v>0</v>
      </c>
      <c r="R70" s="35"/>
      <c r="S70" s="35">
        <v>0</v>
      </c>
      <c r="T70" s="35"/>
      <c r="U70" s="35">
        <v>0</v>
      </c>
      <c r="V70" s="35"/>
      <c r="W70" s="35">
        <f t="shared" si="12"/>
        <v>0</v>
      </c>
      <c r="X70" s="35"/>
      <c r="Y70" s="35" t="s">
        <v>93</v>
      </c>
      <c r="Z70" s="55"/>
      <c r="AA70" s="35" t="s">
        <v>94</v>
      </c>
      <c r="AB70" s="35"/>
      <c r="AC70" s="35">
        <v>0</v>
      </c>
      <c r="AD70" s="35"/>
      <c r="AE70" s="35">
        <v>0</v>
      </c>
      <c r="AF70" s="35"/>
      <c r="AG70" s="35">
        <v>0</v>
      </c>
      <c r="AH70" s="35"/>
      <c r="AI70" s="45">
        <f t="shared" si="19"/>
        <v>0</v>
      </c>
      <c r="AJ70" s="45"/>
      <c r="AK70" s="35">
        <v>0</v>
      </c>
      <c r="AL70" s="35"/>
      <c r="AM70" s="35">
        <v>0</v>
      </c>
      <c r="AN70" s="35"/>
      <c r="AO70" s="35">
        <v>0</v>
      </c>
      <c r="AP70" s="35"/>
      <c r="AQ70" s="35">
        <v>0</v>
      </c>
      <c r="AR70" s="35"/>
      <c r="AS70" s="45">
        <f t="shared" si="17"/>
        <v>0</v>
      </c>
      <c r="AT70" s="45"/>
      <c r="AU70" s="35">
        <v>0</v>
      </c>
      <c r="AV70" s="35"/>
      <c r="AW70" s="35">
        <v>0</v>
      </c>
      <c r="AX70" s="35"/>
      <c r="AY70" s="35">
        <f t="shared" si="20"/>
        <v>0</v>
      </c>
      <c r="AZ70" s="35"/>
      <c r="BA70" s="35" t="s">
        <v>93</v>
      </c>
      <c r="BB70" s="55"/>
      <c r="BC70" s="35" t="s">
        <v>94</v>
      </c>
      <c r="BD70" s="35"/>
      <c r="BE70" s="35">
        <v>0</v>
      </c>
      <c r="BF70" s="35"/>
      <c r="BG70" s="35">
        <v>0</v>
      </c>
      <c r="BH70" s="35"/>
      <c r="BI70" s="35">
        <v>0</v>
      </c>
      <c r="BJ70" s="35"/>
      <c r="BK70" s="35">
        <v>0</v>
      </c>
      <c r="BL70" s="35"/>
      <c r="BM70" s="35">
        <f t="shared" si="18"/>
        <v>0</v>
      </c>
      <c r="BN70" s="54" t="s">
        <v>347</v>
      </c>
    </row>
    <row r="71" spans="1:67" hidden="1">
      <c r="A71" s="35" t="s">
        <v>95</v>
      </c>
      <c r="C71" s="35" t="s">
        <v>94</v>
      </c>
      <c r="D71" s="35"/>
      <c r="E71" s="35">
        <f t="shared" si="0"/>
        <v>0</v>
      </c>
      <c r="F71" s="35"/>
      <c r="G71" s="35">
        <v>0</v>
      </c>
      <c r="H71" s="35"/>
      <c r="I71" s="35">
        <v>0</v>
      </c>
      <c r="J71" s="35"/>
      <c r="K71" s="35">
        <f t="shared" si="1"/>
        <v>0</v>
      </c>
      <c r="L71" s="35"/>
      <c r="M71" s="35">
        <v>0</v>
      </c>
      <c r="N71" s="35"/>
      <c r="O71" s="35">
        <v>0</v>
      </c>
      <c r="P71" s="35"/>
      <c r="Q71" s="35">
        <v>0</v>
      </c>
      <c r="R71" s="35"/>
      <c r="S71" s="35">
        <v>0</v>
      </c>
      <c r="T71" s="35"/>
      <c r="U71" s="35">
        <v>0</v>
      </c>
      <c r="V71" s="35"/>
      <c r="W71" s="35">
        <f t="shared" si="12"/>
        <v>0</v>
      </c>
      <c r="X71" s="35"/>
      <c r="Y71" s="35" t="s">
        <v>95</v>
      </c>
      <c r="Z71" s="55"/>
      <c r="AA71" s="35" t="s">
        <v>94</v>
      </c>
      <c r="AB71" s="35"/>
      <c r="AC71" s="35">
        <v>0</v>
      </c>
      <c r="AD71" s="35"/>
      <c r="AE71" s="35">
        <v>0</v>
      </c>
      <c r="AF71" s="35"/>
      <c r="AG71" s="35">
        <v>0</v>
      </c>
      <c r="AH71" s="35"/>
      <c r="AI71" s="45">
        <f t="shared" si="19"/>
        <v>0</v>
      </c>
      <c r="AJ71" s="45"/>
      <c r="AK71" s="35">
        <v>0</v>
      </c>
      <c r="AL71" s="35"/>
      <c r="AM71" s="35">
        <v>0</v>
      </c>
      <c r="AN71" s="35"/>
      <c r="AO71" s="35">
        <v>0</v>
      </c>
      <c r="AP71" s="35"/>
      <c r="AQ71" s="35">
        <v>0</v>
      </c>
      <c r="AR71" s="35"/>
      <c r="AS71" s="45">
        <f t="shared" si="17"/>
        <v>0</v>
      </c>
      <c r="AT71" s="45"/>
      <c r="AU71" s="35">
        <v>0</v>
      </c>
      <c r="AV71" s="35"/>
      <c r="AW71" s="35">
        <v>0</v>
      </c>
      <c r="AX71" s="35"/>
      <c r="AY71" s="35">
        <f t="shared" si="20"/>
        <v>0</v>
      </c>
      <c r="AZ71" s="35"/>
      <c r="BA71" s="35" t="s">
        <v>95</v>
      </c>
      <c r="BB71" s="55"/>
      <c r="BC71" s="35" t="s">
        <v>94</v>
      </c>
      <c r="BD71" s="35"/>
      <c r="BE71" s="35">
        <v>0</v>
      </c>
      <c r="BF71" s="35"/>
      <c r="BG71" s="35">
        <v>0</v>
      </c>
      <c r="BH71" s="35"/>
      <c r="BI71" s="35">
        <v>0</v>
      </c>
      <c r="BJ71" s="35"/>
      <c r="BK71" s="35">
        <v>0</v>
      </c>
      <c r="BL71" s="35"/>
      <c r="BM71" s="35">
        <f t="shared" si="18"/>
        <v>0</v>
      </c>
      <c r="BN71" s="54" t="s">
        <v>347</v>
      </c>
    </row>
    <row r="72" spans="1:67" hidden="1">
      <c r="A72" s="35" t="s">
        <v>91</v>
      </c>
      <c r="C72" s="35" t="s">
        <v>92</v>
      </c>
      <c r="D72" s="35"/>
      <c r="E72" s="35">
        <f t="shared" si="0"/>
        <v>0</v>
      </c>
      <c r="F72" s="35"/>
      <c r="G72" s="35">
        <v>0</v>
      </c>
      <c r="H72" s="35"/>
      <c r="I72" s="35">
        <v>0</v>
      </c>
      <c r="J72" s="35"/>
      <c r="K72" s="35">
        <f t="shared" si="1"/>
        <v>0</v>
      </c>
      <c r="L72" s="35"/>
      <c r="M72" s="35">
        <v>0</v>
      </c>
      <c r="N72" s="35"/>
      <c r="O72" s="35">
        <v>0</v>
      </c>
      <c r="P72" s="35"/>
      <c r="Q72" s="35">
        <v>0</v>
      </c>
      <c r="R72" s="35"/>
      <c r="S72" s="35">
        <v>0</v>
      </c>
      <c r="T72" s="35"/>
      <c r="U72" s="35">
        <v>0</v>
      </c>
      <c r="V72" s="35"/>
      <c r="W72" s="35">
        <f t="shared" si="12"/>
        <v>0</v>
      </c>
      <c r="X72" s="35"/>
      <c r="Y72" s="35" t="s">
        <v>91</v>
      </c>
      <c r="Z72" s="55"/>
      <c r="AA72" s="35" t="s">
        <v>92</v>
      </c>
      <c r="AB72" s="35"/>
      <c r="AC72" s="35">
        <v>0</v>
      </c>
      <c r="AD72" s="35"/>
      <c r="AE72" s="35">
        <v>0</v>
      </c>
      <c r="AF72" s="35"/>
      <c r="AG72" s="35">
        <v>0</v>
      </c>
      <c r="AH72" s="35"/>
      <c r="AI72" s="45">
        <f t="shared" si="19"/>
        <v>0</v>
      </c>
      <c r="AJ72" s="45"/>
      <c r="AK72" s="35">
        <v>0</v>
      </c>
      <c r="AL72" s="35"/>
      <c r="AM72" s="35">
        <v>0</v>
      </c>
      <c r="AN72" s="35"/>
      <c r="AO72" s="35">
        <v>0</v>
      </c>
      <c r="AP72" s="35"/>
      <c r="AQ72" s="35">
        <v>0</v>
      </c>
      <c r="AR72" s="35"/>
      <c r="AS72" s="45">
        <f t="shared" si="17"/>
        <v>0</v>
      </c>
      <c r="AT72" s="45"/>
      <c r="AU72" s="35">
        <v>0</v>
      </c>
      <c r="AV72" s="35"/>
      <c r="AW72" s="35">
        <v>0</v>
      </c>
      <c r="AX72" s="35"/>
      <c r="AY72" s="35">
        <f t="shared" si="20"/>
        <v>0</v>
      </c>
      <c r="AZ72" s="35"/>
      <c r="BA72" s="35" t="s">
        <v>91</v>
      </c>
      <c r="BB72" s="55"/>
      <c r="BC72" s="35" t="s">
        <v>92</v>
      </c>
      <c r="BD72" s="35"/>
      <c r="BE72" s="35">
        <v>0</v>
      </c>
      <c r="BF72" s="35"/>
      <c r="BG72" s="35">
        <v>0</v>
      </c>
      <c r="BH72" s="35"/>
      <c r="BI72" s="35">
        <v>0</v>
      </c>
      <c r="BJ72" s="35"/>
      <c r="BK72" s="35">
        <v>0</v>
      </c>
      <c r="BL72" s="35"/>
      <c r="BM72" s="35">
        <f t="shared" si="18"/>
        <v>0</v>
      </c>
      <c r="BN72" s="54" t="s">
        <v>347</v>
      </c>
    </row>
    <row r="73" spans="1:67" hidden="1">
      <c r="A73" s="35" t="s">
        <v>96</v>
      </c>
      <c r="C73" s="35" t="s">
        <v>97</v>
      </c>
      <c r="D73" s="35"/>
      <c r="E73" s="35">
        <f t="shared" si="0"/>
        <v>6379</v>
      </c>
      <c r="F73" s="35"/>
      <c r="G73" s="35">
        <v>0</v>
      </c>
      <c r="H73" s="35"/>
      <c r="I73" s="35">
        <v>6379</v>
      </c>
      <c r="J73" s="35"/>
      <c r="K73" s="35">
        <f t="shared" si="1"/>
        <v>0</v>
      </c>
      <c r="L73" s="35"/>
      <c r="M73" s="35">
        <v>0</v>
      </c>
      <c r="N73" s="35"/>
      <c r="O73" s="35">
        <v>0</v>
      </c>
      <c r="P73" s="35"/>
      <c r="Q73" s="35">
        <v>0</v>
      </c>
      <c r="R73" s="35"/>
      <c r="S73" s="35">
        <v>0</v>
      </c>
      <c r="T73" s="35"/>
      <c r="U73" s="35">
        <v>6379</v>
      </c>
      <c r="V73" s="35"/>
      <c r="W73" s="35">
        <f t="shared" si="12"/>
        <v>6379</v>
      </c>
      <c r="X73" s="35"/>
      <c r="Y73" s="35" t="s">
        <v>96</v>
      </c>
      <c r="Z73" s="55"/>
      <c r="AA73" s="35" t="s">
        <v>97</v>
      </c>
      <c r="AB73" s="35"/>
      <c r="AC73" s="35">
        <v>588039</v>
      </c>
      <c r="AD73" s="35"/>
      <c r="AE73" s="35">
        <v>567725</v>
      </c>
      <c r="AF73" s="35"/>
      <c r="AG73" s="35">
        <v>0</v>
      </c>
      <c r="AH73" s="35"/>
      <c r="AI73" s="45">
        <f t="shared" si="19"/>
        <v>20314</v>
      </c>
      <c r="AJ73" s="45"/>
      <c r="AK73" s="35">
        <v>0</v>
      </c>
      <c r="AL73" s="35"/>
      <c r="AM73" s="35">
        <v>0</v>
      </c>
      <c r="AN73" s="35"/>
      <c r="AO73" s="35">
        <v>0</v>
      </c>
      <c r="AP73" s="35"/>
      <c r="AQ73" s="35">
        <v>0</v>
      </c>
      <c r="AR73" s="35"/>
      <c r="AS73" s="45">
        <f t="shared" si="17"/>
        <v>20314</v>
      </c>
      <c r="AT73" s="45"/>
      <c r="AU73" s="35">
        <v>0</v>
      </c>
      <c r="AV73" s="35"/>
      <c r="AW73" s="35">
        <v>0</v>
      </c>
      <c r="AX73" s="35"/>
      <c r="AY73" s="35">
        <f t="shared" si="20"/>
        <v>6379</v>
      </c>
      <c r="AZ73" s="35"/>
      <c r="BA73" s="35" t="s">
        <v>96</v>
      </c>
      <c r="BB73" s="55"/>
      <c r="BC73" s="35" t="s">
        <v>97</v>
      </c>
      <c r="BD73" s="35"/>
      <c r="BE73" s="35">
        <v>0</v>
      </c>
      <c r="BF73" s="35"/>
      <c r="BG73" s="35">
        <v>0</v>
      </c>
      <c r="BH73" s="35"/>
      <c r="BI73" s="35">
        <v>0</v>
      </c>
      <c r="BJ73" s="35"/>
      <c r="BK73" s="35">
        <v>0</v>
      </c>
      <c r="BL73" s="35"/>
      <c r="BM73" s="35">
        <f t="shared" si="18"/>
        <v>0</v>
      </c>
      <c r="BN73" s="54" t="s">
        <v>347</v>
      </c>
    </row>
    <row r="74" spans="1:67">
      <c r="A74" s="35" t="s">
        <v>98</v>
      </c>
      <c r="C74" s="35" t="s">
        <v>17</v>
      </c>
      <c r="D74" s="35"/>
      <c r="E74" s="35">
        <f t="shared" si="0"/>
        <v>2875077</v>
      </c>
      <c r="F74" s="35"/>
      <c r="G74" s="35">
        <v>2759301</v>
      </c>
      <c r="H74" s="35"/>
      <c r="I74" s="35">
        <v>5634378</v>
      </c>
      <c r="J74" s="35"/>
      <c r="K74" s="35">
        <f t="shared" si="1"/>
        <v>3718491</v>
      </c>
      <c r="L74" s="35"/>
      <c r="M74" s="35">
        <v>116674</v>
      </c>
      <c r="N74" s="35"/>
      <c r="O74" s="35">
        <v>3835165</v>
      </c>
      <c r="P74" s="35"/>
      <c r="Q74" s="35">
        <v>428786</v>
      </c>
      <c r="R74" s="35"/>
      <c r="S74" s="35">
        <v>0</v>
      </c>
      <c r="T74" s="35"/>
      <c r="U74" s="35">
        <v>1370427</v>
      </c>
      <c r="V74" s="35"/>
      <c r="W74" s="35">
        <f t="shared" si="12"/>
        <v>1799213</v>
      </c>
      <c r="X74" s="35"/>
      <c r="Y74" s="35" t="s">
        <v>98</v>
      </c>
      <c r="Z74" s="55"/>
      <c r="AA74" s="35" t="s">
        <v>17</v>
      </c>
      <c r="AB74" s="35"/>
      <c r="AC74" s="35">
        <v>4036988</v>
      </c>
      <c r="AD74" s="35"/>
      <c r="AE74" s="35">
        <f>3722441-155577</f>
        <v>3566864</v>
      </c>
      <c r="AF74" s="35"/>
      <c r="AG74" s="35">
        <v>155577</v>
      </c>
      <c r="AH74" s="35"/>
      <c r="AI74" s="45">
        <f t="shared" si="19"/>
        <v>314547</v>
      </c>
      <c r="AJ74" s="45"/>
      <c r="AK74" s="35">
        <v>0</v>
      </c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7"/>
        <v>314547</v>
      </c>
      <c r="AT74" s="45"/>
      <c r="AU74" s="35">
        <v>0</v>
      </c>
      <c r="AV74" s="35"/>
      <c r="AW74" s="35">
        <v>0</v>
      </c>
      <c r="AX74" s="35"/>
      <c r="AY74" s="35">
        <f t="shared" si="20"/>
        <v>-843414</v>
      </c>
      <c r="AZ74" s="35"/>
      <c r="BA74" s="35" t="s">
        <v>98</v>
      </c>
      <c r="BB74" s="55"/>
      <c r="BC74" s="35" t="s">
        <v>17</v>
      </c>
      <c r="BD74" s="35"/>
      <c r="BE74" s="35">
        <v>0</v>
      </c>
      <c r="BF74" s="35"/>
      <c r="BG74" s="35">
        <v>0</v>
      </c>
      <c r="BH74" s="35"/>
      <c r="BI74" s="35">
        <v>0</v>
      </c>
      <c r="BJ74" s="35"/>
      <c r="BK74" s="35">
        <v>116674</v>
      </c>
      <c r="BL74" s="35"/>
      <c r="BM74" s="35">
        <f t="shared" si="18"/>
        <v>116674</v>
      </c>
      <c r="BN74" s="54" t="s">
        <v>347</v>
      </c>
    </row>
    <row r="75" spans="1:67" hidden="1">
      <c r="A75" s="35" t="s">
        <v>99</v>
      </c>
      <c r="C75" s="35" t="s">
        <v>66</v>
      </c>
      <c r="D75" s="35"/>
      <c r="E75" s="35">
        <f t="shared" si="0"/>
        <v>676417</v>
      </c>
      <c r="F75" s="35"/>
      <c r="G75" s="35">
        <v>153250</v>
      </c>
      <c r="H75" s="35"/>
      <c r="I75" s="35">
        <v>829667</v>
      </c>
      <c r="J75" s="35"/>
      <c r="K75" s="35">
        <f t="shared" si="1"/>
        <v>71390</v>
      </c>
      <c r="L75" s="35"/>
      <c r="M75" s="35">
        <v>0</v>
      </c>
      <c r="N75" s="35"/>
      <c r="O75" s="35">
        <v>71390</v>
      </c>
      <c r="P75" s="35"/>
      <c r="Q75" s="35">
        <v>153250</v>
      </c>
      <c r="R75" s="35"/>
      <c r="S75" s="35">
        <v>0</v>
      </c>
      <c r="T75" s="35"/>
      <c r="U75" s="35">
        <v>605027</v>
      </c>
      <c r="V75" s="35"/>
      <c r="W75" s="35">
        <f t="shared" ref="W75:W106" si="21">SUM(Q75:U75)</f>
        <v>758277</v>
      </c>
      <c r="X75" s="35"/>
      <c r="Y75" s="35" t="s">
        <v>99</v>
      </c>
      <c r="Z75" s="55"/>
      <c r="AA75" s="35" t="s">
        <v>66</v>
      </c>
      <c r="AB75" s="35"/>
      <c r="AC75" s="35">
        <v>784277</v>
      </c>
      <c r="AD75" s="35"/>
      <c r="AE75" s="35">
        <f>667264-8767</f>
        <v>658497</v>
      </c>
      <c r="AF75" s="35"/>
      <c r="AG75" s="35">
        <v>8767</v>
      </c>
      <c r="AH75" s="35"/>
      <c r="AI75" s="45">
        <f t="shared" si="19"/>
        <v>117013</v>
      </c>
      <c r="AJ75" s="45"/>
      <c r="AK75" s="35">
        <v>0</v>
      </c>
      <c r="AL75" s="35"/>
      <c r="AM75" s="35">
        <v>0</v>
      </c>
      <c r="AN75" s="35"/>
      <c r="AO75" s="35">
        <v>0</v>
      </c>
      <c r="AP75" s="35"/>
      <c r="AQ75" s="35">
        <v>0</v>
      </c>
      <c r="AR75" s="35"/>
      <c r="AS75" s="45">
        <f t="shared" si="17"/>
        <v>117013</v>
      </c>
      <c r="AT75" s="45"/>
      <c r="AU75" s="35">
        <v>0</v>
      </c>
      <c r="AV75" s="35"/>
      <c r="AW75" s="35">
        <v>0</v>
      </c>
      <c r="AX75" s="35"/>
      <c r="AY75" s="35">
        <f t="shared" si="20"/>
        <v>605027</v>
      </c>
      <c r="AZ75" s="35"/>
      <c r="BA75" s="35" t="s">
        <v>99</v>
      </c>
      <c r="BB75" s="55"/>
      <c r="BC75" s="35" t="s">
        <v>66</v>
      </c>
      <c r="BD75" s="35"/>
      <c r="BE75" s="35">
        <v>0</v>
      </c>
      <c r="BF75" s="35"/>
      <c r="BG75" s="35">
        <v>0</v>
      </c>
      <c r="BH75" s="35"/>
      <c r="BI75" s="35">
        <v>0</v>
      </c>
      <c r="BJ75" s="35"/>
      <c r="BK75" s="35">
        <v>0</v>
      </c>
      <c r="BL75" s="35"/>
      <c r="BM75" s="35">
        <f t="shared" si="18"/>
        <v>0</v>
      </c>
      <c r="BN75" s="54" t="s">
        <v>347</v>
      </c>
    </row>
    <row r="76" spans="1:67" hidden="1">
      <c r="A76" s="35" t="s">
        <v>100</v>
      </c>
      <c r="C76" s="35" t="s">
        <v>27</v>
      </c>
      <c r="D76" s="35"/>
      <c r="E76" s="35">
        <f t="shared" ref="E76:E115" si="22">I76-G76</f>
        <v>0</v>
      </c>
      <c r="F76" s="35"/>
      <c r="G76" s="35">
        <v>0</v>
      </c>
      <c r="H76" s="35"/>
      <c r="I76" s="35">
        <v>0</v>
      </c>
      <c r="J76" s="35"/>
      <c r="K76" s="35">
        <f t="shared" ref="K76:K115" si="23">O76-M76</f>
        <v>0</v>
      </c>
      <c r="L76" s="35"/>
      <c r="M76" s="35">
        <v>0</v>
      </c>
      <c r="N76" s="35"/>
      <c r="O76" s="35">
        <v>0</v>
      </c>
      <c r="P76" s="35"/>
      <c r="Q76" s="35">
        <v>0</v>
      </c>
      <c r="R76" s="35"/>
      <c r="S76" s="35">
        <v>0</v>
      </c>
      <c r="T76" s="35"/>
      <c r="U76" s="35">
        <v>0</v>
      </c>
      <c r="V76" s="35"/>
      <c r="W76" s="35">
        <f t="shared" si="21"/>
        <v>0</v>
      </c>
      <c r="X76" s="35"/>
      <c r="Y76" s="35" t="s">
        <v>100</v>
      </c>
      <c r="Z76" s="55"/>
      <c r="AA76" s="35" t="s">
        <v>27</v>
      </c>
      <c r="AB76" s="35"/>
      <c r="AC76" s="35">
        <v>0</v>
      </c>
      <c r="AD76" s="35"/>
      <c r="AE76" s="35">
        <v>0</v>
      </c>
      <c r="AF76" s="35"/>
      <c r="AG76" s="35">
        <v>0</v>
      </c>
      <c r="AH76" s="35"/>
      <c r="AI76" s="45">
        <f t="shared" si="19"/>
        <v>0</v>
      </c>
      <c r="AJ76" s="45"/>
      <c r="AK76" s="35">
        <v>0</v>
      </c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7"/>
        <v>0</v>
      </c>
      <c r="AT76" s="45"/>
      <c r="AU76" s="35">
        <v>0</v>
      </c>
      <c r="AV76" s="35"/>
      <c r="AW76" s="35">
        <v>0</v>
      </c>
      <c r="AX76" s="35"/>
      <c r="AY76" s="35">
        <f t="shared" si="20"/>
        <v>0</v>
      </c>
      <c r="AZ76" s="35"/>
      <c r="BA76" s="35" t="s">
        <v>100</v>
      </c>
      <c r="BB76" s="55"/>
      <c r="BC76" s="35" t="s">
        <v>27</v>
      </c>
      <c r="BD76" s="35"/>
      <c r="BE76" s="35">
        <v>0</v>
      </c>
      <c r="BF76" s="35"/>
      <c r="BG76" s="35">
        <v>0</v>
      </c>
      <c r="BH76" s="35"/>
      <c r="BI76" s="35">
        <v>0</v>
      </c>
      <c r="BJ76" s="35"/>
      <c r="BK76" s="35">
        <v>0</v>
      </c>
      <c r="BL76" s="35"/>
      <c r="BM76" s="35">
        <f t="shared" si="18"/>
        <v>0</v>
      </c>
      <c r="BN76" s="54" t="s">
        <v>347</v>
      </c>
    </row>
    <row r="77" spans="1:67">
      <c r="A77" s="35" t="s">
        <v>101</v>
      </c>
      <c r="C77" s="35" t="s">
        <v>30</v>
      </c>
      <c r="D77" s="35"/>
      <c r="E77" s="35">
        <f t="shared" si="22"/>
        <v>1101909</v>
      </c>
      <c r="F77" s="35"/>
      <c r="G77" s="35">
        <v>180906</v>
      </c>
      <c r="H77" s="35"/>
      <c r="I77" s="35">
        <v>1282815</v>
      </c>
      <c r="J77" s="35"/>
      <c r="K77" s="35">
        <f t="shared" si="23"/>
        <v>296782</v>
      </c>
      <c r="L77" s="35"/>
      <c r="M77" s="35">
        <v>274225</v>
      </c>
      <c r="N77" s="35"/>
      <c r="O77" s="35">
        <v>571007</v>
      </c>
      <c r="P77" s="35"/>
      <c r="Q77" s="35">
        <v>180906</v>
      </c>
      <c r="R77" s="35"/>
      <c r="S77" s="35">
        <v>0</v>
      </c>
      <c r="T77" s="35"/>
      <c r="U77" s="35">
        <v>530902</v>
      </c>
      <c r="V77" s="35"/>
      <c r="W77" s="35">
        <f t="shared" si="21"/>
        <v>711808</v>
      </c>
      <c r="X77" s="35"/>
      <c r="Y77" s="35" t="s">
        <v>101</v>
      </c>
      <c r="Z77" s="55"/>
      <c r="AA77" s="35" t="s">
        <v>30</v>
      </c>
      <c r="AB77" s="35"/>
      <c r="AC77" s="35">
        <v>2525807</v>
      </c>
      <c r="AD77" s="35"/>
      <c r="AE77" s="35">
        <f>2331254-42325</f>
        <v>2288929</v>
      </c>
      <c r="AF77" s="35"/>
      <c r="AG77" s="35">
        <v>42325</v>
      </c>
      <c r="AH77" s="35"/>
      <c r="AI77" s="45">
        <f t="shared" si="19"/>
        <v>194553</v>
      </c>
      <c r="AJ77" s="45"/>
      <c r="AK77" s="35">
        <v>0</v>
      </c>
      <c r="AL77" s="35"/>
      <c r="AM77" s="35">
        <v>22500</v>
      </c>
      <c r="AN77" s="35"/>
      <c r="AO77" s="35">
        <v>22800</v>
      </c>
      <c r="AP77" s="35"/>
      <c r="AQ77" s="35">
        <v>0</v>
      </c>
      <c r="AR77" s="35"/>
      <c r="AS77" s="45">
        <f t="shared" si="17"/>
        <v>194253</v>
      </c>
      <c r="AT77" s="45"/>
      <c r="AU77" s="35">
        <v>0</v>
      </c>
      <c r="AV77" s="35"/>
      <c r="AW77" s="35">
        <v>0</v>
      </c>
      <c r="AX77" s="35"/>
      <c r="AY77" s="35">
        <f t="shared" si="20"/>
        <v>805127</v>
      </c>
      <c r="AZ77" s="35"/>
      <c r="BA77" s="35" t="s">
        <v>101</v>
      </c>
      <c r="BB77" s="55"/>
      <c r="BC77" s="35" t="s">
        <v>30</v>
      </c>
      <c r="BD77" s="35"/>
      <c r="BE77" s="35">
        <v>0</v>
      </c>
      <c r="BF77" s="35"/>
      <c r="BG77" s="35">
        <v>0</v>
      </c>
      <c r="BH77" s="35"/>
      <c r="BI77" s="35">
        <v>0</v>
      </c>
      <c r="BJ77" s="35"/>
      <c r="BK77" s="35">
        <f>274225+39175</f>
        <v>313400</v>
      </c>
      <c r="BL77" s="35"/>
      <c r="BM77" s="35">
        <f t="shared" si="18"/>
        <v>313400</v>
      </c>
      <c r="BN77" s="54" t="s">
        <v>347</v>
      </c>
    </row>
    <row r="78" spans="1:67">
      <c r="A78" s="35" t="s">
        <v>102</v>
      </c>
      <c r="C78" s="35" t="s">
        <v>103</v>
      </c>
      <c r="D78" s="35"/>
      <c r="E78" s="35">
        <f t="shared" si="22"/>
        <v>353581</v>
      </c>
      <c r="F78" s="35"/>
      <c r="G78" s="35">
        <v>0</v>
      </c>
      <c r="H78" s="35"/>
      <c r="I78" s="35">
        <v>353581</v>
      </c>
      <c r="J78" s="35"/>
      <c r="K78" s="35">
        <f t="shared" si="23"/>
        <v>2165</v>
      </c>
      <c r="L78" s="35"/>
      <c r="M78" s="35">
        <v>428</v>
      </c>
      <c r="N78" s="35"/>
      <c r="O78" s="35">
        <v>2593</v>
      </c>
      <c r="P78" s="35"/>
      <c r="Q78" s="35">
        <v>0</v>
      </c>
      <c r="R78" s="35"/>
      <c r="S78" s="35">
        <v>0</v>
      </c>
      <c r="T78" s="35"/>
      <c r="U78" s="35">
        <v>350988</v>
      </c>
      <c r="V78" s="35"/>
      <c r="W78" s="35">
        <f t="shared" si="21"/>
        <v>350988</v>
      </c>
      <c r="X78" s="35"/>
      <c r="Y78" s="35" t="s">
        <v>102</v>
      </c>
      <c r="Z78" s="55"/>
      <c r="AA78" s="35" t="s">
        <v>103</v>
      </c>
      <c r="AB78" s="35"/>
      <c r="AC78" s="35">
        <v>1937544</v>
      </c>
      <c r="AD78" s="35"/>
      <c r="AE78" s="35">
        <v>2513726</v>
      </c>
      <c r="AF78" s="35"/>
      <c r="AG78" s="35">
        <v>0</v>
      </c>
      <c r="AH78" s="35"/>
      <c r="AI78" s="45">
        <f t="shared" si="19"/>
        <v>-576182</v>
      </c>
      <c r="AJ78" s="45"/>
      <c r="AK78" s="35">
        <v>65667</v>
      </c>
      <c r="AL78" s="35"/>
      <c r="AM78" s="35">
        <v>630000</v>
      </c>
      <c r="AN78" s="35"/>
      <c r="AO78" s="35">
        <v>0</v>
      </c>
      <c r="AP78" s="35"/>
      <c r="AQ78" s="35">
        <v>0</v>
      </c>
      <c r="AR78" s="35"/>
      <c r="AS78" s="45">
        <f t="shared" si="17"/>
        <v>119485</v>
      </c>
      <c r="AT78" s="45"/>
      <c r="AU78" s="35">
        <v>0</v>
      </c>
      <c r="AV78" s="35"/>
      <c r="AW78" s="35">
        <v>0</v>
      </c>
      <c r="AX78" s="35"/>
      <c r="AY78" s="35">
        <f t="shared" si="20"/>
        <v>351416</v>
      </c>
      <c r="AZ78" s="35"/>
      <c r="BA78" s="35" t="s">
        <v>102</v>
      </c>
      <c r="BB78" s="55"/>
      <c r="BC78" s="35" t="s">
        <v>103</v>
      </c>
      <c r="BD78" s="35"/>
      <c r="BE78" s="35">
        <v>0</v>
      </c>
      <c r="BF78" s="35"/>
      <c r="BG78" s="35">
        <v>0</v>
      </c>
      <c r="BH78" s="35"/>
      <c r="BI78" s="35">
        <v>0</v>
      </c>
      <c r="BJ78" s="35"/>
      <c r="BK78" s="35">
        <f>428+27</f>
        <v>455</v>
      </c>
      <c r="BL78" s="35"/>
      <c r="BM78" s="35">
        <f t="shared" si="18"/>
        <v>455</v>
      </c>
      <c r="BN78" s="54" t="s">
        <v>347</v>
      </c>
    </row>
    <row r="79" spans="1:67" hidden="1">
      <c r="A79" s="35" t="s">
        <v>104</v>
      </c>
      <c r="C79" s="35" t="s">
        <v>13</v>
      </c>
      <c r="D79" s="35"/>
      <c r="E79" s="35">
        <f t="shared" si="22"/>
        <v>0</v>
      </c>
      <c r="F79" s="35"/>
      <c r="G79" s="35">
        <v>0</v>
      </c>
      <c r="H79" s="35"/>
      <c r="I79" s="35">
        <v>0</v>
      </c>
      <c r="J79" s="35"/>
      <c r="K79" s="35">
        <f t="shared" si="23"/>
        <v>0</v>
      </c>
      <c r="L79" s="35"/>
      <c r="M79" s="35">
        <v>0</v>
      </c>
      <c r="N79" s="35"/>
      <c r="O79" s="35">
        <v>0</v>
      </c>
      <c r="P79" s="35"/>
      <c r="Q79" s="35">
        <v>0</v>
      </c>
      <c r="R79" s="35"/>
      <c r="S79" s="35">
        <v>0</v>
      </c>
      <c r="T79" s="35"/>
      <c r="U79" s="35">
        <v>0</v>
      </c>
      <c r="V79" s="35"/>
      <c r="W79" s="35">
        <f t="shared" si="21"/>
        <v>0</v>
      </c>
      <c r="X79" s="35"/>
      <c r="Y79" s="35" t="s">
        <v>104</v>
      </c>
      <c r="Z79" s="55"/>
      <c r="AA79" s="35" t="s">
        <v>13</v>
      </c>
      <c r="AB79" s="35"/>
      <c r="AC79" s="35">
        <v>0</v>
      </c>
      <c r="AD79" s="35"/>
      <c r="AE79" s="35">
        <v>0</v>
      </c>
      <c r="AF79" s="35"/>
      <c r="AG79" s="35">
        <v>0</v>
      </c>
      <c r="AH79" s="35"/>
      <c r="AI79" s="45">
        <f t="shared" si="19"/>
        <v>0</v>
      </c>
      <c r="AJ79" s="45"/>
      <c r="AK79" s="35">
        <v>0</v>
      </c>
      <c r="AL79" s="35"/>
      <c r="AM79" s="35">
        <v>0</v>
      </c>
      <c r="AN79" s="35"/>
      <c r="AO79" s="35">
        <v>0</v>
      </c>
      <c r="AP79" s="35"/>
      <c r="AQ79" s="35">
        <v>0</v>
      </c>
      <c r="AR79" s="35"/>
      <c r="AS79" s="45">
        <f t="shared" si="17"/>
        <v>0</v>
      </c>
      <c r="AT79" s="45"/>
      <c r="AU79" s="35">
        <v>0</v>
      </c>
      <c r="AV79" s="35"/>
      <c r="AW79" s="35">
        <v>0</v>
      </c>
      <c r="AX79" s="35"/>
      <c r="AY79" s="35">
        <f t="shared" si="20"/>
        <v>0</v>
      </c>
      <c r="AZ79" s="35"/>
      <c r="BA79" s="35" t="s">
        <v>104</v>
      </c>
      <c r="BB79" s="55"/>
      <c r="BC79" s="35" t="s">
        <v>13</v>
      </c>
      <c r="BD79" s="35"/>
      <c r="BE79" s="35">
        <v>0</v>
      </c>
      <c r="BF79" s="35"/>
      <c r="BG79" s="35">
        <v>0</v>
      </c>
      <c r="BH79" s="35"/>
      <c r="BI79" s="35">
        <v>0</v>
      </c>
      <c r="BJ79" s="35"/>
      <c r="BK79" s="35">
        <v>0</v>
      </c>
      <c r="BL79" s="35"/>
      <c r="BM79" s="35">
        <f t="shared" si="18"/>
        <v>0</v>
      </c>
      <c r="BN79" s="54" t="s">
        <v>347</v>
      </c>
    </row>
    <row r="80" spans="1:67" hidden="1">
      <c r="A80" s="35" t="s">
        <v>105</v>
      </c>
      <c r="C80" s="35" t="s">
        <v>27</v>
      </c>
      <c r="D80" s="35"/>
      <c r="E80" s="35">
        <f t="shared" si="22"/>
        <v>0</v>
      </c>
      <c r="F80" s="35"/>
      <c r="G80" s="35">
        <v>0</v>
      </c>
      <c r="H80" s="35"/>
      <c r="I80" s="35">
        <v>0</v>
      </c>
      <c r="J80" s="35"/>
      <c r="K80" s="35">
        <f t="shared" si="23"/>
        <v>0</v>
      </c>
      <c r="L80" s="35"/>
      <c r="M80" s="35">
        <v>0</v>
      </c>
      <c r="N80" s="35"/>
      <c r="O80" s="35">
        <v>0</v>
      </c>
      <c r="P80" s="35"/>
      <c r="Q80" s="35">
        <v>0</v>
      </c>
      <c r="R80" s="35"/>
      <c r="S80" s="35">
        <v>0</v>
      </c>
      <c r="T80" s="35"/>
      <c r="U80" s="35">
        <v>0</v>
      </c>
      <c r="V80" s="35"/>
      <c r="W80" s="35">
        <f t="shared" si="21"/>
        <v>0</v>
      </c>
      <c r="X80" s="35"/>
      <c r="Y80" s="35" t="s">
        <v>105</v>
      </c>
      <c r="Z80" s="55"/>
      <c r="AA80" s="35" t="s">
        <v>27</v>
      </c>
      <c r="AB80" s="35"/>
      <c r="AC80" s="35">
        <v>0</v>
      </c>
      <c r="AD80" s="35"/>
      <c r="AE80" s="35">
        <v>0</v>
      </c>
      <c r="AF80" s="35"/>
      <c r="AG80" s="35">
        <v>0</v>
      </c>
      <c r="AH80" s="35"/>
      <c r="AI80" s="45">
        <f t="shared" si="19"/>
        <v>0</v>
      </c>
      <c r="AJ80" s="45"/>
      <c r="AK80" s="35">
        <v>0</v>
      </c>
      <c r="AL80" s="35"/>
      <c r="AM80" s="35">
        <v>0</v>
      </c>
      <c r="AN80" s="35"/>
      <c r="AO80" s="35">
        <v>0</v>
      </c>
      <c r="AP80" s="35"/>
      <c r="AQ80" s="35">
        <v>0</v>
      </c>
      <c r="AR80" s="35"/>
      <c r="AS80" s="45">
        <f t="shared" si="17"/>
        <v>0</v>
      </c>
      <c r="AT80" s="45"/>
      <c r="AU80" s="35">
        <v>0</v>
      </c>
      <c r="AV80" s="35"/>
      <c r="AW80" s="35">
        <v>0</v>
      </c>
      <c r="AX80" s="35"/>
      <c r="AY80" s="35">
        <f t="shared" si="20"/>
        <v>0</v>
      </c>
      <c r="AZ80" s="35"/>
      <c r="BA80" s="35" t="s">
        <v>105</v>
      </c>
      <c r="BB80" s="55"/>
      <c r="BC80" s="35" t="s">
        <v>27</v>
      </c>
      <c r="BD80" s="35"/>
      <c r="BE80" s="35">
        <v>0</v>
      </c>
      <c r="BF80" s="35"/>
      <c r="BG80" s="35">
        <v>0</v>
      </c>
      <c r="BH80" s="35"/>
      <c r="BI80" s="35">
        <v>0</v>
      </c>
      <c r="BJ80" s="35"/>
      <c r="BK80" s="35">
        <v>0</v>
      </c>
      <c r="BL80" s="35"/>
      <c r="BM80" s="35">
        <f t="shared" si="18"/>
        <v>0</v>
      </c>
      <c r="BN80" s="54" t="s">
        <v>347</v>
      </c>
    </row>
    <row r="81" spans="1:67" hidden="1">
      <c r="A81" s="35" t="s">
        <v>106</v>
      </c>
      <c r="C81" s="35" t="s">
        <v>107</v>
      </c>
      <c r="D81" s="35"/>
      <c r="E81" s="35">
        <f t="shared" si="22"/>
        <v>0</v>
      </c>
      <c r="F81" s="35"/>
      <c r="G81" s="35">
        <v>0</v>
      </c>
      <c r="H81" s="35"/>
      <c r="I81" s="35">
        <v>0</v>
      </c>
      <c r="J81" s="35"/>
      <c r="K81" s="35">
        <f t="shared" si="23"/>
        <v>0</v>
      </c>
      <c r="L81" s="35"/>
      <c r="M81" s="35">
        <v>0</v>
      </c>
      <c r="N81" s="35"/>
      <c r="O81" s="35">
        <v>0</v>
      </c>
      <c r="P81" s="35"/>
      <c r="Q81" s="35">
        <v>0</v>
      </c>
      <c r="R81" s="35"/>
      <c r="S81" s="35">
        <v>0</v>
      </c>
      <c r="T81" s="35"/>
      <c r="U81" s="35">
        <v>0</v>
      </c>
      <c r="V81" s="35"/>
      <c r="W81" s="35">
        <f t="shared" si="21"/>
        <v>0</v>
      </c>
      <c r="X81" s="35"/>
      <c r="Y81" s="35" t="s">
        <v>106</v>
      </c>
      <c r="Z81" s="55"/>
      <c r="AA81" s="35" t="s">
        <v>107</v>
      </c>
      <c r="AB81" s="35"/>
      <c r="AC81" s="35">
        <v>0</v>
      </c>
      <c r="AD81" s="35"/>
      <c r="AE81" s="35">
        <v>0</v>
      </c>
      <c r="AF81" s="35"/>
      <c r="AG81" s="35">
        <v>0</v>
      </c>
      <c r="AH81" s="35"/>
      <c r="AI81" s="45">
        <f t="shared" si="19"/>
        <v>0</v>
      </c>
      <c r="AJ81" s="45"/>
      <c r="AK81" s="35">
        <v>0</v>
      </c>
      <c r="AL81" s="35"/>
      <c r="AM81" s="35">
        <v>0</v>
      </c>
      <c r="AN81" s="35"/>
      <c r="AO81" s="35">
        <v>0</v>
      </c>
      <c r="AP81" s="35"/>
      <c r="AQ81" s="35">
        <v>0</v>
      </c>
      <c r="AR81" s="35"/>
      <c r="AS81" s="45">
        <f t="shared" si="17"/>
        <v>0</v>
      </c>
      <c r="AT81" s="45"/>
      <c r="AU81" s="35">
        <v>0</v>
      </c>
      <c r="AV81" s="35"/>
      <c r="AW81" s="35">
        <v>0</v>
      </c>
      <c r="AX81" s="35"/>
      <c r="AY81" s="35">
        <f t="shared" si="20"/>
        <v>0</v>
      </c>
      <c r="AZ81" s="35"/>
      <c r="BA81" s="35" t="s">
        <v>106</v>
      </c>
      <c r="BB81" s="55"/>
      <c r="BC81" s="35" t="s">
        <v>107</v>
      </c>
      <c r="BD81" s="35"/>
      <c r="BE81" s="35">
        <v>0</v>
      </c>
      <c r="BF81" s="35"/>
      <c r="BG81" s="35">
        <v>0</v>
      </c>
      <c r="BH81" s="35"/>
      <c r="BI81" s="35">
        <v>0</v>
      </c>
      <c r="BJ81" s="35"/>
      <c r="BK81" s="35">
        <v>0</v>
      </c>
      <c r="BL81" s="35"/>
      <c r="BM81" s="35">
        <f t="shared" si="18"/>
        <v>0</v>
      </c>
      <c r="BN81" s="54" t="s">
        <v>347</v>
      </c>
    </row>
    <row r="82" spans="1:67" hidden="1">
      <c r="A82" s="35" t="s">
        <v>108</v>
      </c>
      <c r="C82" s="35" t="s">
        <v>45</v>
      </c>
      <c r="D82" s="35"/>
      <c r="E82" s="35">
        <f t="shared" si="22"/>
        <v>0</v>
      </c>
      <c r="F82" s="35"/>
      <c r="G82" s="35">
        <v>0</v>
      </c>
      <c r="H82" s="35"/>
      <c r="I82" s="35">
        <v>0</v>
      </c>
      <c r="J82" s="35"/>
      <c r="K82" s="35">
        <f t="shared" si="23"/>
        <v>0</v>
      </c>
      <c r="L82" s="35"/>
      <c r="M82" s="35">
        <v>0</v>
      </c>
      <c r="N82" s="35"/>
      <c r="O82" s="35">
        <v>0</v>
      </c>
      <c r="P82" s="35"/>
      <c r="Q82" s="35">
        <v>0</v>
      </c>
      <c r="R82" s="35"/>
      <c r="S82" s="35">
        <v>0</v>
      </c>
      <c r="T82" s="35"/>
      <c r="U82" s="35">
        <v>0</v>
      </c>
      <c r="V82" s="35"/>
      <c r="W82" s="35">
        <f t="shared" si="21"/>
        <v>0</v>
      </c>
      <c r="X82" s="35"/>
      <c r="Y82" s="35" t="s">
        <v>108</v>
      </c>
      <c r="Z82" s="55"/>
      <c r="AA82" s="35" t="s">
        <v>45</v>
      </c>
      <c r="AB82" s="35"/>
      <c r="AC82" s="35">
        <v>0</v>
      </c>
      <c r="AD82" s="35"/>
      <c r="AE82" s="35">
        <v>0</v>
      </c>
      <c r="AF82" s="35"/>
      <c r="AG82" s="35">
        <v>0</v>
      </c>
      <c r="AH82" s="35"/>
      <c r="AI82" s="45">
        <f t="shared" si="19"/>
        <v>0</v>
      </c>
      <c r="AJ82" s="45"/>
      <c r="AK82" s="35">
        <v>0</v>
      </c>
      <c r="AL82" s="35"/>
      <c r="AM82" s="35">
        <v>0</v>
      </c>
      <c r="AN82" s="35"/>
      <c r="AO82" s="35">
        <v>0</v>
      </c>
      <c r="AP82" s="35"/>
      <c r="AQ82" s="35">
        <v>0</v>
      </c>
      <c r="AR82" s="35"/>
      <c r="AS82" s="45">
        <f t="shared" si="17"/>
        <v>0</v>
      </c>
      <c r="AT82" s="45"/>
      <c r="AU82" s="35">
        <v>0</v>
      </c>
      <c r="AV82" s="35"/>
      <c r="AW82" s="35">
        <v>0</v>
      </c>
      <c r="AX82" s="35"/>
      <c r="AY82" s="35">
        <f t="shared" si="20"/>
        <v>0</v>
      </c>
      <c r="AZ82" s="35"/>
      <c r="BA82" s="35" t="s">
        <v>108</v>
      </c>
      <c r="BB82" s="55"/>
      <c r="BC82" s="35" t="s">
        <v>45</v>
      </c>
      <c r="BD82" s="35"/>
      <c r="BE82" s="35">
        <v>0</v>
      </c>
      <c r="BF82" s="35"/>
      <c r="BG82" s="35">
        <v>0</v>
      </c>
      <c r="BH82" s="35"/>
      <c r="BI82" s="35">
        <v>0</v>
      </c>
      <c r="BJ82" s="35"/>
      <c r="BK82" s="35">
        <v>0</v>
      </c>
      <c r="BL82" s="35"/>
      <c r="BM82" s="35">
        <f t="shared" si="18"/>
        <v>0</v>
      </c>
      <c r="BN82" s="54" t="s">
        <v>347</v>
      </c>
    </row>
    <row r="83" spans="1:67" hidden="1">
      <c r="A83" s="35" t="s">
        <v>109</v>
      </c>
      <c r="C83" s="35" t="s">
        <v>110</v>
      </c>
      <c r="D83" s="35"/>
      <c r="E83" s="35">
        <f t="shared" si="22"/>
        <v>0</v>
      </c>
      <c r="F83" s="35"/>
      <c r="G83" s="35">
        <v>0</v>
      </c>
      <c r="H83" s="35"/>
      <c r="I83" s="35">
        <v>0</v>
      </c>
      <c r="J83" s="35"/>
      <c r="K83" s="35">
        <f t="shared" si="23"/>
        <v>0</v>
      </c>
      <c r="L83" s="35"/>
      <c r="M83" s="35">
        <v>0</v>
      </c>
      <c r="N83" s="35"/>
      <c r="O83" s="35">
        <v>0</v>
      </c>
      <c r="P83" s="35"/>
      <c r="Q83" s="35">
        <v>0</v>
      </c>
      <c r="R83" s="35"/>
      <c r="S83" s="35">
        <v>0</v>
      </c>
      <c r="T83" s="35"/>
      <c r="U83" s="35">
        <v>0</v>
      </c>
      <c r="V83" s="35"/>
      <c r="W83" s="35">
        <f t="shared" si="21"/>
        <v>0</v>
      </c>
      <c r="X83" s="35"/>
      <c r="Y83" s="35" t="s">
        <v>109</v>
      </c>
      <c r="Z83" s="55"/>
      <c r="AA83" s="35" t="s">
        <v>110</v>
      </c>
      <c r="AB83" s="35"/>
      <c r="AC83" s="35">
        <v>0</v>
      </c>
      <c r="AD83" s="35"/>
      <c r="AE83" s="35">
        <v>0</v>
      </c>
      <c r="AF83" s="35"/>
      <c r="AG83" s="35">
        <v>0</v>
      </c>
      <c r="AH83" s="35"/>
      <c r="AI83" s="45">
        <f t="shared" si="19"/>
        <v>0</v>
      </c>
      <c r="AJ83" s="45"/>
      <c r="AK83" s="35">
        <v>0</v>
      </c>
      <c r="AL83" s="35"/>
      <c r="AM83" s="35">
        <v>0</v>
      </c>
      <c r="AN83" s="35"/>
      <c r="AO83" s="35">
        <v>0</v>
      </c>
      <c r="AP83" s="35"/>
      <c r="AQ83" s="35">
        <v>0</v>
      </c>
      <c r="AR83" s="35"/>
      <c r="AS83" s="45">
        <f t="shared" si="17"/>
        <v>0</v>
      </c>
      <c r="AT83" s="45"/>
      <c r="AU83" s="35">
        <v>0</v>
      </c>
      <c r="AV83" s="35"/>
      <c r="AW83" s="35">
        <v>0</v>
      </c>
      <c r="AX83" s="35"/>
      <c r="AY83" s="35">
        <f t="shared" si="20"/>
        <v>0</v>
      </c>
      <c r="AZ83" s="35"/>
      <c r="BA83" s="35" t="s">
        <v>109</v>
      </c>
      <c r="BB83" s="55"/>
      <c r="BC83" s="35" t="s">
        <v>110</v>
      </c>
      <c r="BD83" s="35"/>
      <c r="BE83" s="35">
        <v>0</v>
      </c>
      <c r="BF83" s="35"/>
      <c r="BG83" s="35">
        <v>0</v>
      </c>
      <c r="BH83" s="35"/>
      <c r="BI83" s="35">
        <v>0</v>
      </c>
      <c r="BJ83" s="35"/>
      <c r="BK83" s="35">
        <v>0</v>
      </c>
      <c r="BL83" s="35"/>
      <c r="BM83" s="35">
        <f t="shared" si="18"/>
        <v>0</v>
      </c>
      <c r="BN83" s="54" t="s">
        <v>347</v>
      </c>
    </row>
    <row r="84" spans="1:67" hidden="1">
      <c r="A84" s="35" t="s">
        <v>43</v>
      </c>
      <c r="C84" s="35" t="s">
        <v>111</v>
      </c>
      <c r="D84" s="35"/>
      <c r="E84" s="35">
        <f t="shared" si="22"/>
        <v>220680</v>
      </c>
      <c r="F84" s="35"/>
      <c r="G84" s="35">
        <v>0</v>
      </c>
      <c r="H84" s="35"/>
      <c r="I84" s="35">
        <v>220680</v>
      </c>
      <c r="J84" s="35"/>
      <c r="K84" s="35">
        <f t="shared" si="23"/>
        <v>5367</v>
      </c>
      <c r="L84" s="35"/>
      <c r="M84" s="35">
        <v>0</v>
      </c>
      <c r="N84" s="35"/>
      <c r="O84" s="35">
        <v>5367</v>
      </c>
      <c r="P84" s="35"/>
      <c r="Q84" s="35">
        <v>0</v>
      </c>
      <c r="R84" s="35"/>
      <c r="S84" s="35">
        <v>0</v>
      </c>
      <c r="T84" s="35"/>
      <c r="U84" s="35">
        <v>215313</v>
      </c>
      <c r="V84" s="35"/>
      <c r="W84" s="35">
        <f t="shared" si="21"/>
        <v>215313</v>
      </c>
      <c r="X84" s="35"/>
      <c r="Y84" s="35" t="s">
        <v>43</v>
      </c>
      <c r="Z84" s="55"/>
      <c r="AA84" s="35" t="s">
        <v>111</v>
      </c>
      <c r="AB84" s="35"/>
      <c r="AC84" s="35">
        <v>700817</v>
      </c>
      <c r="AD84" s="35"/>
      <c r="AE84" s="35">
        <v>684848</v>
      </c>
      <c r="AF84" s="35"/>
      <c r="AG84" s="35">
        <v>0</v>
      </c>
      <c r="AH84" s="35"/>
      <c r="AI84" s="45">
        <f t="shared" si="19"/>
        <v>15969</v>
      </c>
      <c r="AJ84" s="45"/>
      <c r="AK84" s="35">
        <v>0</v>
      </c>
      <c r="AL84" s="35"/>
      <c r="AM84" s="35">
        <v>0</v>
      </c>
      <c r="AN84" s="35"/>
      <c r="AO84" s="35">
        <v>0</v>
      </c>
      <c r="AP84" s="35"/>
      <c r="AQ84" s="35">
        <v>0</v>
      </c>
      <c r="AR84" s="35"/>
      <c r="AS84" s="45">
        <f t="shared" si="17"/>
        <v>15969</v>
      </c>
      <c r="AT84" s="45"/>
      <c r="AU84" s="35">
        <v>0</v>
      </c>
      <c r="AV84" s="35"/>
      <c r="AW84" s="35">
        <v>0</v>
      </c>
      <c r="AX84" s="35"/>
      <c r="AY84" s="35">
        <f t="shared" si="20"/>
        <v>215313</v>
      </c>
      <c r="AZ84" s="35"/>
      <c r="BA84" s="35" t="s">
        <v>43</v>
      </c>
      <c r="BB84" s="55"/>
      <c r="BC84" s="35" t="s">
        <v>111</v>
      </c>
      <c r="BD84" s="35"/>
      <c r="BE84" s="35">
        <v>0</v>
      </c>
      <c r="BF84" s="35"/>
      <c r="BG84" s="35">
        <v>0</v>
      </c>
      <c r="BH84" s="35"/>
      <c r="BI84" s="35">
        <v>0</v>
      </c>
      <c r="BJ84" s="35"/>
      <c r="BK84" s="35">
        <v>0</v>
      </c>
      <c r="BL84" s="35"/>
      <c r="BM84" s="35">
        <f t="shared" si="18"/>
        <v>0</v>
      </c>
      <c r="BN84" s="54" t="s">
        <v>347</v>
      </c>
    </row>
    <row r="85" spans="1:67" hidden="1">
      <c r="A85" s="35" t="s">
        <v>112</v>
      </c>
      <c r="C85" s="35" t="s">
        <v>76</v>
      </c>
      <c r="D85" s="35"/>
      <c r="E85" s="35">
        <f t="shared" si="22"/>
        <v>0</v>
      </c>
      <c r="F85" s="35"/>
      <c r="G85" s="35">
        <v>0</v>
      </c>
      <c r="H85" s="35"/>
      <c r="I85" s="35">
        <v>0</v>
      </c>
      <c r="J85" s="35"/>
      <c r="K85" s="35">
        <f t="shared" si="23"/>
        <v>0</v>
      </c>
      <c r="L85" s="35"/>
      <c r="M85" s="35">
        <v>0</v>
      </c>
      <c r="N85" s="35"/>
      <c r="O85" s="35">
        <v>0</v>
      </c>
      <c r="P85" s="35"/>
      <c r="Q85" s="35">
        <v>0</v>
      </c>
      <c r="R85" s="35"/>
      <c r="S85" s="35">
        <v>0</v>
      </c>
      <c r="T85" s="35"/>
      <c r="U85" s="35">
        <v>0</v>
      </c>
      <c r="V85" s="35"/>
      <c r="W85" s="35">
        <f t="shared" si="21"/>
        <v>0</v>
      </c>
      <c r="X85" s="35"/>
      <c r="Y85" s="35" t="s">
        <v>112</v>
      </c>
      <c r="Z85" s="55"/>
      <c r="AA85" s="35" t="s">
        <v>76</v>
      </c>
      <c r="AB85" s="35"/>
      <c r="AC85" s="35">
        <v>0</v>
      </c>
      <c r="AD85" s="35"/>
      <c r="AE85" s="35">
        <v>0</v>
      </c>
      <c r="AF85" s="35"/>
      <c r="AG85" s="35">
        <v>0</v>
      </c>
      <c r="AH85" s="35"/>
      <c r="AI85" s="45">
        <f t="shared" si="19"/>
        <v>0</v>
      </c>
      <c r="AJ85" s="45"/>
      <c r="AK85" s="35">
        <v>0</v>
      </c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7"/>
        <v>0</v>
      </c>
      <c r="AT85" s="45"/>
      <c r="AU85" s="35">
        <v>0</v>
      </c>
      <c r="AV85" s="35"/>
      <c r="AW85" s="35">
        <v>0</v>
      </c>
      <c r="AX85" s="35"/>
      <c r="AY85" s="35">
        <f t="shared" si="20"/>
        <v>0</v>
      </c>
      <c r="AZ85" s="35"/>
      <c r="BA85" s="35" t="s">
        <v>112</v>
      </c>
      <c r="BB85" s="55"/>
      <c r="BC85" s="35" t="s">
        <v>76</v>
      </c>
      <c r="BD85" s="35"/>
      <c r="BE85" s="35">
        <v>0</v>
      </c>
      <c r="BF85" s="35"/>
      <c r="BG85" s="35">
        <v>0</v>
      </c>
      <c r="BH85" s="35"/>
      <c r="BI85" s="35">
        <v>0</v>
      </c>
      <c r="BJ85" s="35"/>
      <c r="BK85" s="35">
        <v>0</v>
      </c>
      <c r="BL85" s="35"/>
      <c r="BM85" s="35">
        <f t="shared" si="18"/>
        <v>0</v>
      </c>
      <c r="BN85" s="54" t="s">
        <v>347</v>
      </c>
    </row>
    <row r="86" spans="1:67" hidden="1">
      <c r="A86" s="35" t="s">
        <v>113</v>
      </c>
      <c r="C86" s="35" t="s">
        <v>43</v>
      </c>
      <c r="D86" s="35"/>
      <c r="E86" s="35">
        <f t="shared" si="22"/>
        <v>0</v>
      </c>
      <c r="F86" s="35"/>
      <c r="G86" s="35">
        <v>0</v>
      </c>
      <c r="H86" s="35"/>
      <c r="I86" s="35">
        <v>0</v>
      </c>
      <c r="J86" s="35"/>
      <c r="K86" s="35">
        <f t="shared" si="23"/>
        <v>0</v>
      </c>
      <c r="L86" s="35"/>
      <c r="M86" s="35">
        <v>0</v>
      </c>
      <c r="N86" s="35"/>
      <c r="O86" s="35">
        <v>0</v>
      </c>
      <c r="P86" s="35"/>
      <c r="Q86" s="35">
        <v>0</v>
      </c>
      <c r="R86" s="35"/>
      <c r="S86" s="35">
        <v>0</v>
      </c>
      <c r="T86" s="35"/>
      <c r="U86" s="35">
        <v>0</v>
      </c>
      <c r="V86" s="35"/>
      <c r="W86" s="35">
        <f t="shared" si="21"/>
        <v>0</v>
      </c>
      <c r="X86" s="35"/>
      <c r="Y86" s="35" t="s">
        <v>113</v>
      </c>
      <c r="Z86" s="55"/>
      <c r="AA86" s="35" t="s">
        <v>43</v>
      </c>
      <c r="AB86" s="35"/>
      <c r="AC86" s="35">
        <v>0</v>
      </c>
      <c r="AD86" s="35"/>
      <c r="AE86" s="35">
        <v>0</v>
      </c>
      <c r="AF86" s="35"/>
      <c r="AG86" s="35">
        <v>0</v>
      </c>
      <c r="AH86" s="35"/>
      <c r="AI86" s="45">
        <f t="shared" si="19"/>
        <v>0</v>
      </c>
      <c r="AJ86" s="45"/>
      <c r="AK86" s="35">
        <v>0</v>
      </c>
      <c r="AL86" s="35"/>
      <c r="AM86" s="35">
        <v>0</v>
      </c>
      <c r="AN86" s="35"/>
      <c r="AO86" s="35">
        <v>0</v>
      </c>
      <c r="AP86" s="35"/>
      <c r="AQ86" s="35">
        <v>0</v>
      </c>
      <c r="AR86" s="35"/>
      <c r="AS86" s="45">
        <f t="shared" si="17"/>
        <v>0</v>
      </c>
      <c r="AT86" s="45"/>
      <c r="AU86" s="35">
        <v>0</v>
      </c>
      <c r="AV86" s="35"/>
      <c r="AW86" s="35">
        <v>0</v>
      </c>
      <c r="AX86" s="35"/>
      <c r="AY86" s="35">
        <f t="shared" si="20"/>
        <v>0</v>
      </c>
      <c r="AZ86" s="35"/>
      <c r="BA86" s="35" t="s">
        <v>113</v>
      </c>
      <c r="BB86" s="55"/>
      <c r="BC86" s="35" t="s">
        <v>43</v>
      </c>
      <c r="BD86" s="35"/>
      <c r="BE86" s="35">
        <v>0</v>
      </c>
      <c r="BF86" s="35"/>
      <c r="BG86" s="35">
        <v>0</v>
      </c>
      <c r="BH86" s="35"/>
      <c r="BI86" s="35">
        <v>0</v>
      </c>
      <c r="BJ86" s="35"/>
      <c r="BK86" s="35">
        <v>0</v>
      </c>
      <c r="BL86" s="35"/>
      <c r="BM86" s="35">
        <f t="shared" si="18"/>
        <v>0</v>
      </c>
      <c r="BN86" s="54" t="s">
        <v>347</v>
      </c>
    </row>
    <row r="87" spans="1:67" hidden="1">
      <c r="A87" s="44" t="s">
        <v>489</v>
      </c>
      <c r="C87" s="35" t="s">
        <v>57</v>
      </c>
      <c r="D87" s="35"/>
      <c r="E87" s="35">
        <f t="shared" si="22"/>
        <v>0</v>
      </c>
      <c r="F87" s="35"/>
      <c r="G87" s="35">
        <v>0</v>
      </c>
      <c r="H87" s="35"/>
      <c r="I87" s="35">
        <v>0</v>
      </c>
      <c r="J87" s="35"/>
      <c r="K87" s="35">
        <f t="shared" si="23"/>
        <v>0</v>
      </c>
      <c r="L87" s="35"/>
      <c r="M87" s="35">
        <v>0</v>
      </c>
      <c r="N87" s="35"/>
      <c r="O87" s="35">
        <v>0</v>
      </c>
      <c r="P87" s="35"/>
      <c r="Q87" s="35">
        <v>0</v>
      </c>
      <c r="R87" s="35"/>
      <c r="S87" s="35">
        <v>0</v>
      </c>
      <c r="T87" s="35"/>
      <c r="U87" s="35">
        <v>0</v>
      </c>
      <c r="V87" s="35"/>
      <c r="W87" s="35">
        <f>SUM(Q87:U87)</f>
        <v>0</v>
      </c>
      <c r="X87" s="35"/>
      <c r="Y87" s="44" t="s">
        <v>489</v>
      </c>
      <c r="Z87" s="55"/>
      <c r="AA87" s="35" t="s">
        <v>57</v>
      </c>
      <c r="AB87" s="35"/>
      <c r="AC87" s="35">
        <v>0</v>
      </c>
      <c r="AD87" s="35"/>
      <c r="AE87" s="35">
        <v>0</v>
      </c>
      <c r="AF87" s="35"/>
      <c r="AG87" s="35">
        <v>0</v>
      </c>
      <c r="AH87" s="35"/>
      <c r="AI87" s="45">
        <f t="shared" si="19"/>
        <v>0</v>
      </c>
      <c r="AJ87" s="45"/>
      <c r="AK87" s="35">
        <v>0</v>
      </c>
      <c r="AL87" s="35"/>
      <c r="AM87" s="35">
        <v>0</v>
      </c>
      <c r="AN87" s="35"/>
      <c r="AO87" s="35">
        <v>0</v>
      </c>
      <c r="AP87" s="35"/>
      <c r="AQ87" s="35">
        <v>0</v>
      </c>
      <c r="AR87" s="35"/>
      <c r="AS87" s="45">
        <f t="shared" si="17"/>
        <v>0</v>
      </c>
      <c r="AT87" s="45"/>
      <c r="AU87" s="35">
        <v>0</v>
      </c>
      <c r="AV87" s="35"/>
      <c r="AW87" s="35">
        <v>0</v>
      </c>
      <c r="AX87" s="35"/>
      <c r="AY87" s="35">
        <f t="shared" si="20"/>
        <v>0</v>
      </c>
      <c r="AZ87" s="35"/>
      <c r="BA87" s="44" t="s">
        <v>489</v>
      </c>
      <c r="BB87" s="55"/>
      <c r="BC87" s="35" t="s">
        <v>57</v>
      </c>
      <c r="BD87" s="35"/>
      <c r="BE87" s="35">
        <v>0</v>
      </c>
      <c r="BF87" s="35"/>
      <c r="BG87" s="35">
        <v>0</v>
      </c>
      <c r="BH87" s="35"/>
      <c r="BI87" s="35">
        <v>0</v>
      </c>
      <c r="BJ87" s="35"/>
      <c r="BK87" s="35">
        <v>0</v>
      </c>
      <c r="BL87" s="35"/>
      <c r="BM87" s="35">
        <f>SUM(BE87:BK87)</f>
        <v>0</v>
      </c>
      <c r="BN87" s="54" t="s">
        <v>347</v>
      </c>
      <c r="BO87" s="55" t="s">
        <v>315</v>
      </c>
    </row>
    <row r="88" spans="1:67" hidden="1">
      <c r="A88" s="35" t="s">
        <v>114</v>
      </c>
      <c r="C88" s="35" t="s">
        <v>27</v>
      </c>
      <c r="D88" s="35"/>
      <c r="E88" s="35">
        <f t="shared" si="22"/>
        <v>0</v>
      </c>
      <c r="F88" s="35"/>
      <c r="G88" s="35">
        <v>0</v>
      </c>
      <c r="H88" s="35"/>
      <c r="I88" s="35">
        <v>0</v>
      </c>
      <c r="J88" s="35"/>
      <c r="K88" s="35">
        <f t="shared" si="23"/>
        <v>0</v>
      </c>
      <c r="L88" s="35"/>
      <c r="M88" s="35">
        <v>0</v>
      </c>
      <c r="N88" s="35"/>
      <c r="O88" s="35">
        <v>0</v>
      </c>
      <c r="P88" s="35"/>
      <c r="Q88" s="35">
        <v>0</v>
      </c>
      <c r="R88" s="35"/>
      <c r="S88" s="35">
        <v>0</v>
      </c>
      <c r="T88" s="35"/>
      <c r="U88" s="35">
        <v>0</v>
      </c>
      <c r="V88" s="35"/>
      <c r="W88" s="35">
        <f t="shared" si="21"/>
        <v>0</v>
      </c>
      <c r="X88" s="35"/>
      <c r="Y88" s="35" t="s">
        <v>114</v>
      </c>
      <c r="Z88" s="55"/>
      <c r="AA88" s="35" t="s">
        <v>27</v>
      </c>
      <c r="AB88" s="35"/>
      <c r="AC88" s="35">
        <v>0</v>
      </c>
      <c r="AD88" s="35"/>
      <c r="AE88" s="35">
        <v>0</v>
      </c>
      <c r="AF88" s="35"/>
      <c r="AG88" s="35">
        <v>0</v>
      </c>
      <c r="AH88" s="35"/>
      <c r="AI88" s="45">
        <f t="shared" si="19"/>
        <v>0</v>
      </c>
      <c r="AJ88" s="45"/>
      <c r="AK88" s="35">
        <v>0</v>
      </c>
      <c r="AL88" s="35"/>
      <c r="AM88" s="35">
        <v>0</v>
      </c>
      <c r="AN88" s="35"/>
      <c r="AO88" s="35">
        <v>0</v>
      </c>
      <c r="AP88" s="35"/>
      <c r="AQ88" s="35">
        <v>0</v>
      </c>
      <c r="AR88" s="35"/>
      <c r="AS88" s="45">
        <f t="shared" si="17"/>
        <v>0</v>
      </c>
      <c r="AT88" s="45"/>
      <c r="AU88" s="35">
        <v>0</v>
      </c>
      <c r="AV88" s="35"/>
      <c r="AW88" s="35">
        <v>0</v>
      </c>
      <c r="AX88" s="35"/>
      <c r="AY88" s="35">
        <f t="shared" si="20"/>
        <v>0</v>
      </c>
      <c r="AZ88" s="35"/>
      <c r="BA88" s="35" t="s">
        <v>114</v>
      </c>
      <c r="BB88" s="55"/>
      <c r="BC88" s="35" t="s">
        <v>27</v>
      </c>
      <c r="BD88" s="35"/>
      <c r="BE88" s="35">
        <v>0</v>
      </c>
      <c r="BF88" s="35"/>
      <c r="BG88" s="35">
        <v>0</v>
      </c>
      <c r="BH88" s="35"/>
      <c r="BI88" s="35">
        <v>0</v>
      </c>
      <c r="BJ88" s="35"/>
      <c r="BK88" s="35">
        <v>0</v>
      </c>
      <c r="BL88" s="35"/>
      <c r="BM88" s="35">
        <f t="shared" si="18"/>
        <v>0</v>
      </c>
      <c r="BN88" s="54" t="s">
        <v>347</v>
      </c>
    </row>
    <row r="89" spans="1:67" hidden="1">
      <c r="A89" s="35" t="s">
        <v>115</v>
      </c>
      <c r="C89" s="35" t="s">
        <v>19</v>
      </c>
      <c r="D89" s="35"/>
      <c r="E89" s="35">
        <f t="shared" si="22"/>
        <v>0</v>
      </c>
      <c r="F89" s="35"/>
      <c r="G89" s="35">
        <v>0</v>
      </c>
      <c r="H89" s="35"/>
      <c r="I89" s="35">
        <v>0</v>
      </c>
      <c r="J89" s="35"/>
      <c r="K89" s="35">
        <f t="shared" si="23"/>
        <v>0</v>
      </c>
      <c r="L89" s="35"/>
      <c r="M89" s="35">
        <v>0</v>
      </c>
      <c r="N89" s="35"/>
      <c r="O89" s="35">
        <v>0</v>
      </c>
      <c r="P89" s="35"/>
      <c r="Q89" s="35">
        <v>0</v>
      </c>
      <c r="R89" s="35"/>
      <c r="S89" s="35">
        <v>0</v>
      </c>
      <c r="T89" s="35"/>
      <c r="U89" s="35">
        <v>0</v>
      </c>
      <c r="V89" s="35"/>
      <c r="W89" s="35">
        <f t="shared" si="21"/>
        <v>0</v>
      </c>
      <c r="X89" s="35"/>
      <c r="Y89" s="35" t="s">
        <v>115</v>
      </c>
      <c r="Z89" s="55"/>
      <c r="AA89" s="35" t="s">
        <v>19</v>
      </c>
      <c r="AB89" s="35"/>
      <c r="AC89" s="35">
        <v>0</v>
      </c>
      <c r="AD89" s="35"/>
      <c r="AE89" s="35">
        <v>0</v>
      </c>
      <c r="AF89" s="35"/>
      <c r="AG89" s="35">
        <v>0</v>
      </c>
      <c r="AH89" s="35"/>
      <c r="AI89" s="45">
        <f t="shared" si="19"/>
        <v>0</v>
      </c>
      <c r="AJ89" s="45"/>
      <c r="AK89" s="35">
        <v>0</v>
      </c>
      <c r="AL89" s="35"/>
      <c r="AM89" s="35">
        <v>0</v>
      </c>
      <c r="AN89" s="35"/>
      <c r="AO89" s="35">
        <v>0</v>
      </c>
      <c r="AP89" s="35"/>
      <c r="AQ89" s="35">
        <v>0</v>
      </c>
      <c r="AR89" s="35"/>
      <c r="AS89" s="45">
        <f t="shared" si="17"/>
        <v>0</v>
      </c>
      <c r="AT89" s="45"/>
      <c r="AU89" s="35">
        <v>0</v>
      </c>
      <c r="AV89" s="35"/>
      <c r="AW89" s="35">
        <v>0</v>
      </c>
      <c r="AX89" s="35"/>
      <c r="AY89" s="35">
        <f t="shared" si="20"/>
        <v>0</v>
      </c>
      <c r="AZ89" s="35"/>
      <c r="BA89" s="35" t="s">
        <v>115</v>
      </c>
      <c r="BB89" s="55"/>
      <c r="BC89" s="35" t="s">
        <v>19</v>
      </c>
      <c r="BD89" s="35"/>
      <c r="BE89" s="35">
        <v>0</v>
      </c>
      <c r="BF89" s="35"/>
      <c r="BG89" s="35">
        <v>0</v>
      </c>
      <c r="BH89" s="35"/>
      <c r="BI89" s="35">
        <v>0</v>
      </c>
      <c r="BJ89" s="35"/>
      <c r="BK89" s="35">
        <v>0</v>
      </c>
      <c r="BL89" s="35"/>
      <c r="BM89" s="35">
        <f t="shared" si="18"/>
        <v>0</v>
      </c>
      <c r="BN89" s="54" t="s">
        <v>347</v>
      </c>
    </row>
    <row r="90" spans="1:67" hidden="1">
      <c r="A90" s="35" t="s">
        <v>116</v>
      </c>
      <c r="C90" s="35" t="s">
        <v>80</v>
      </c>
      <c r="D90" s="35"/>
      <c r="E90" s="35">
        <f t="shared" si="22"/>
        <v>0</v>
      </c>
      <c r="F90" s="35"/>
      <c r="G90" s="35">
        <v>0</v>
      </c>
      <c r="H90" s="35"/>
      <c r="I90" s="35">
        <v>0</v>
      </c>
      <c r="J90" s="35"/>
      <c r="K90" s="35">
        <f t="shared" si="23"/>
        <v>0</v>
      </c>
      <c r="L90" s="35"/>
      <c r="M90" s="35">
        <v>0</v>
      </c>
      <c r="N90" s="35"/>
      <c r="O90" s="35">
        <v>0</v>
      </c>
      <c r="P90" s="35"/>
      <c r="Q90" s="35">
        <v>0</v>
      </c>
      <c r="R90" s="35"/>
      <c r="S90" s="35">
        <v>0</v>
      </c>
      <c r="T90" s="35"/>
      <c r="U90" s="35">
        <v>0</v>
      </c>
      <c r="V90" s="35"/>
      <c r="W90" s="35">
        <f t="shared" si="21"/>
        <v>0</v>
      </c>
      <c r="X90" s="35"/>
      <c r="Y90" s="35" t="s">
        <v>116</v>
      </c>
      <c r="Z90" s="55"/>
      <c r="AA90" s="35" t="s">
        <v>80</v>
      </c>
      <c r="AB90" s="35"/>
      <c r="AC90" s="35">
        <v>0</v>
      </c>
      <c r="AD90" s="35"/>
      <c r="AE90" s="35">
        <v>0</v>
      </c>
      <c r="AF90" s="35"/>
      <c r="AG90" s="35">
        <v>0</v>
      </c>
      <c r="AH90" s="35"/>
      <c r="AI90" s="45">
        <f t="shared" si="19"/>
        <v>0</v>
      </c>
      <c r="AJ90" s="45"/>
      <c r="AK90" s="35">
        <v>0</v>
      </c>
      <c r="AL90" s="35"/>
      <c r="AM90" s="35">
        <v>0</v>
      </c>
      <c r="AN90" s="35"/>
      <c r="AO90" s="35">
        <v>0</v>
      </c>
      <c r="AP90" s="35"/>
      <c r="AQ90" s="35">
        <v>0</v>
      </c>
      <c r="AR90" s="35"/>
      <c r="AS90" s="45">
        <f t="shared" si="17"/>
        <v>0</v>
      </c>
      <c r="AT90" s="45"/>
      <c r="AU90" s="35">
        <v>0</v>
      </c>
      <c r="AV90" s="35"/>
      <c r="AW90" s="35">
        <v>0</v>
      </c>
      <c r="AX90" s="35"/>
      <c r="AY90" s="35">
        <f t="shared" si="20"/>
        <v>0</v>
      </c>
      <c r="AZ90" s="35"/>
      <c r="BA90" s="35" t="s">
        <v>116</v>
      </c>
      <c r="BB90" s="55"/>
      <c r="BC90" s="35" t="s">
        <v>80</v>
      </c>
      <c r="BD90" s="35"/>
      <c r="BE90" s="35">
        <v>0</v>
      </c>
      <c r="BF90" s="35"/>
      <c r="BG90" s="35">
        <v>0</v>
      </c>
      <c r="BH90" s="35"/>
      <c r="BI90" s="35">
        <v>0</v>
      </c>
      <c r="BJ90" s="35"/>
      <c r="BK90" s="35">
        <v>0</v>
      </c>
      <c r="BL90" s="35"/>
      <c r="BM90" s="35">
        <f t="shared" si="18"/>
        <v>0</v>
      </c>
      <c r="BN90" s="54" t="s">
        <v>347</v>
      </c>
    </row>
    <row r="91" spans="1:67" hidden="1">
      <c r="A91" s="44" t="s">
        <v>117</v>
      </c>
      <c r="C91" s="35" t="s">
        <v>43</v>
      </c>
      <c r="D91" s="35"/>
      <c r="E91" s="35">
        <f t="shared" si="22"/>
        <v>0</v>
      </c>
      <c r="F91" s="35"/>
      <c r="G91" s="35">
        <v>0</v>
      </c>
      <c r="H91" s="35"/>
      <c r="I91" s="35">
        <v>0</v>
      </c>
      <c r="J91" s="35"/>
      <c r="K91" s="35">
        <f t="shared" si="23"/>
        <v>0</v>
      </c>
      <c r="L91" s="35"/>
      <c r="M91" s="35">
        <v>0</v>
      </c>
      <c r="N91" s="35"/>
      <c r="O91" s="35">
        <v>0</v>
      </c>
      <c r="P91" s="35"/>
      <c r="Q91" s="35">
        <v>0</v>
      </c>
      <c r="R91" s="35"/>
      <c r="S91" s="35">
        <v>0</v>
      </c>
      <c r="T91" s="35"/>
      <c r="U91" s="35">
        <v>0</v>
      </c>
      <c r="V91" s="35"/>
      <c r="W91" s="35">
        <f t="shared" si="21"/>
        <v>0</v>
      </c>
      <c r="X91" s="35"/>
      <c r="Y91" s="44" t="s">
        <v>117</v>
      </c>
      <c r="Z91" s="55"/>
      <c r="AA91" s="35" t="s">
        <v>43</v>
      </c>
      <c r="AB91" s="35"/>
      <c r="AC91" s="35">
        <v>0</v>
      </c>
      <c r="AD91" s="35"/>
      <c r="AE91" s="35">
        <v>0</v>
      </c>
      <c r="AF91" s="35"/>
      <c r="AG91" s="35">
        <v>0</v>
      </c>
      <c r="AH91" s="35"/>
      <c r="AI91" s="45">
        <f t="shared" si="19"/>
        <v>0</v>
      </c>
      <c r="AJ91" s="45"/>
      <c r="AK91" s="35">
        <v>0</v>
      </c>
      <c r="AL91" s="35"/>
      <c r="AM91" s="35">
        <v>0</v>
      </c>
      <c r="AN91" s="35"/>
      <c r="AO91" s="35">
        <v>0</v>
      </c>
      <c r="AP91" s="35"/>
      <c r="AQ91" s="35">
        <v>0</v>
      </c>
      <c r="AR91" s="35"/>
      <c r="AS91" s="45">
        <f t="shared" si="17"/>
        <v>0</v>
      </c>
      <c r="AT91" s="45"/>
      <c r="AU91" s="35">
        <v>0</v>
      </c>
      <c r="AV91" s="35"/>
      <c r="AW91" s="35">
        <v>0</v>
      </c>
      <c r="AX91" s="35"/>
      <c r="AY91" s="35">
        <f t="shared" si="20"/>
        <v>0</v>
      </c>
      <c r="AZ91" s="35"/>
      <c r="BA91" s="44" t="s">
        <v>117</v>
      </c>
      <c r="BB91" s="55"/>
      <c r="BC91" s="35" t="s">
        <v>43</v>
      </c>
      <c r="BD91" s="35"/>
      <c r="BE91" s="35">
        <v>0</v>
      </c>
      <c r="BF91" s="35"/>
      <c r="BG91" s="35">
        <v>0</v>
      </c>
      <c r="BH91" s="35"/>
      <c r="BI91" s="35">
        <v>0</v>
      </c>
      <c r="BJ91" s="35"/>
      <c r="BK91" s="35">
        <v>0</v>
      </c>
      <c r="BL91" s="35"/>
      <c r="BM91" s="35">
        <f t="shared" si="18"/>
        <v>0</v>
      </c>
      <c r="BN91" s="54" t="s">
        <v>347</v>
      </c>
    </row>
    <row r="92" spans="1:67" hidden="1">
      <c r="A92" s="35" t="s">
        <v>118</v>
      </c>
      <c r="C92" s="35" t="s">
        <v>13</v>
      </c>
      <c r="D92" s="35"/>
      <c r="E92" s="35">
        <f t="shared" si="22"/>
        <v>0</v>
      </c>
      <c r="F92" s="35"/>
      <c r="G92" s="35">
        <v>0</v>
      </c>
      <c r="H92" s="35"/>
      <c r="I92" s="35">
        <v>0</v>
      </c>
      <c r="J92" s="35"/>
      <c r="K92" s="35">
        <f t="shared" si="23"/>
        <v>0</v>
      </c>
      <c r="L92" s="35"/>
      <c r="M92" s="35">
        <v>0</v>
      </c>
      <c r="N92" s="35"/>
      <c r="O92" s="35">
        <v>0</v>
      </c>
      <c r="P92" s="35"/>
      <c r="Q92" s="35">
        <v>0</v>
      </c>
      <c r="R92" s="35"/>
      <c r="S92" s="35">
        <v>0</v>
      </c>
      <c r="T92" s="35"/>
      <c r="U92" s="35">
        <v>0</v>
      </c>
      <c r="V92" s="35"/>
      <c r="W92" s="35">
        <f t="shared" si="21"/>
        <v>0</v>
      </c>
      <c r="X92" s="35"/>
      <c r="Y92" s="35" t="s">
        <v>118</v>
      </c>
      <c r="Z92" s="55"/>
      <c r="AA92" s="35" t="s">
        <v>13</v>
      </c>
      <c r="AB92" s="35"/>
      <c r="AC92" s="35">
        <v>0</v>
      </c>
      <c r="AD92" s="35"/>
      <c r="AE92" s="35">
        <v>0</v>
      </c>
      <c r="AF92" s="35"/>
      <c r="AG92" s="35">
        <v>0</v>
      </c>
      <c r="AH92" s="35"/>
      <c r="AI92" s="45">
        <f t="shared" si="19"/>
        <v>0</v>
      </c>
      <c r="AJ92" s="45"/>
      <c r="AK92" s="35">
        <v>0</v>
      </c>
      <c r="AL92" s="35"/>
      <c r="AM92" s="35">
        <v>0</v>
      </c>
      <c r="AN92" s="35"/>
      <c r="AO92" s="35">
        <v>0</v>
      </c>
      <c r="AP92" s="35"/>
      <c r="AQ92" s="35">
        <v>0</v>
      </c>
      <c r="AR92" s="35"/>
      <c r="AS92" s="45">
        <f t="shared" si="17"/>
        <v>0</v>
      </c>
      <c r="AT92" s="45"/>
      <c r="AU92" s="35">
        <v>0</v>
      </c>
      <c r="AV92" s="35"/>
      <c r="AW92" s="35">
        <v>0</v>
      </c>
      <c r="AX92" s="35"/>
      <c r="AY92" s="35">
        <f t="shared" si="20"/>
        <v>0</v>
      </c>
      <c r="AZ92" s="35"/>
      <c r="BA92" s="35" t="s">
        <v>118</v>
      </c>
      <c r="BB92" s="55"/>
      <c r="BC92" s="35" t="s">
        <v>13</v>
      </c>
      <c r="BD92" s="35"/>
      <c r="BE92" s="35">
        <v>0</v>
      </c>
      <c r="BF92" s="35"/>
      <c r="BG92" s="35">
        <v>0</v>
      </c>
      <c r="BH92" s="35"/>
      <c r="BI92" s="35">
        <v>0</v>
      </c>
      <c r="BJ92" s="35"/>
      <c r="BK92" s="35">
        <v>0</v>
      </c>
      <c r="BL92" s="35"/>
      <c r="BM92" s="35">
        <f t="shared" si="18"/>
        <v>0</v>
      </c>
      <c r="BN92" s="54" t="s">
        <v>347</v>
      </c>
    </row>
    <row r="93" spans="1:67" hidden="1">
      <c r="A93" s="35" t="s">
        <v>120</v>
      </c>
      <c r="C93" s="35" t="s">
        <v>121</v>
      </c>
      <c r="D93" s="35"/>
      <c r="E93" s="35">
        <f t="shared" si="22"/>
        <v>0</v>
      </c>
      <c r="F93" s="35"/>
      <c r="G93" s="35">
        <v>0</v>
      </c>
      <c r="H93" s="35"/>
      <c r="I93" s="35">
        <v>0</v>
      </c>
      <c r="J93" s="35"/>
      <c r="K93" s="35">
        <f t="shared" si="23"/>
        <v>0</v>
      </c>
      <c r="L93" s="35"/>
      <c r="M93" s="35">
        <v>0</v>
      </c>
      <c r="N93" s="35"/>
      <c r="O93" s="35">
        <v>0</v>
      </c>
      <c r="P93" s="35"/>
      <c r="Q93" s="35">
        <v>0</v>
      </c>
      <c r="R93" s="35"/>
      <c r="S93" s="35">
        <v>0</v>
      </c>
      <c r="T93" s="35"/>
      <c r="U93" s="35">
        <v>0</v>
      </c>
      <c r="V93" s="35"/>
      <c r="W93" s="35">
        <f t="shared" si="21"/>
        <v>0</v>
      </c>
      <c r="X93" s="35"/>
      <c r="Y93" s="35" t="s">
        <v>120</v>
      </c>
      <c r="Z93" s="55"/>
      <c r="AA93" s="35" t="s">
        <v>121</v>
      </c>
      <c r="AB93" s="35"/>
      <c r="AC93" s="35">
        <v>0</v>
      </c>
      <c r="AD93" s="35"/>
      <c r="AE93" s="35">
        <v>0</v>
      </c>
      <c r="AF93" s="35"/>
      <c r="AG93" s="35">
        <v>0</v>
      </c>
      <c r="AH93" s="35"/>
      <c r="AI93" s="45">
        <f t="shared" si="19"/>
        <v>0</v>
      </c>
      <c r="AJ93" s="45"/>
      <c r="AK93" s="35">
        <v>0</v>
      </c>
      <c r="AL93" s="35"/>
      <c r="AM93" s="35">
        <v>0</v>
      </c>
      <c r="AN93" s="35"/>
      <c r="AO93" s="35">
        <v>0</v>
      </c>
      <c r="AP93" s="35"/>
      <c r="AQ93" s="35">
        <v>0</v>
      </c>
      <c r="AR93" s="35"/>
      <c r="AS93" s="45">
        <f t="shared" si="17"/>
        <v>0</v>
      </c>
      <c r="AT93" s="45"/>
      <c r="AU93" s="35">
        <v>0</v>
      </c>
      <c r="AV93" s="35"/>
      <c r="AW93" s="35">
        <v>0</v>
      </c>
      <c r="AX93" s="35"/>
      <c r="AY93" s="35">
        <f t="shared" si="20"/>
        <v>0</v>
      </c>
      <c r="AZ93" s="35"/>
      <c r="BA93" s="35" t="s">
        <v>120</v>
      </c>
      <c r="BB93" s="55"/>
      <c r="BC93" s="35" t="s">
        <v>121</v>
      </c>
      <c r="BD93" s="35"/>
      <c r="BE93" s="35">
        <v>0</v>
      </c>
      <c r="BF93" s="35"/>
      <c r="BG93" s="35">
        <v>0</v>
      </c>
      <c r="BH93" s="35"/>
      <c r="BI93" s="35">
        <v>0</v>
      </c>
      <c r="BJ93" s="35"/>
      <c r="BK93" s="35">
        <v>0</v>
      </c>
      <c r="BL93" s="35"/>
      <c r="BM93" s="35">
        <f t="shared" si="18"/>
        <v>0</v>
      </c>
      <c r="BN93" s="54" t="s">
        <v>347</v>
      </c>
      <c r="BO93" s="55" t="s">
        <v>371</v>
      </c>
    </row>
    <row r="94" spans="1:67" hidden="1">
      <c r="A94" s="35" t="s">
        <v>122</v>
      </c>
      <c r="C94" s="35" t="s">
        <v>43</v>
      </c>
      <c r="D94" s="35"/>
      <c r="E94" s="35">
        <f t="shared" si="22"/>
        <v>0</v>
      </c>
      <c r="F94" s="35"/>
      <c r="G94" s="35">
        <v>0</v>
      </c>
      <c r="H94" s="35"/>
      <c r="I94" s="35">
        <v>0</v>
      </c>
      <c r="J94" s="35"/>
      <c r="K94" s="35">
        <f t="shared" si="23"/>
        <v>0</v>
      </c>
      <c r="L94" s="35"/>
      <c r="M94" s="35">
        <v>0</v>
      </c>
      <c r="N94" s="35"/>
      <c r="O94" s="35">
        <v>0</v>
      </c>
      <c r="P94" s="35"/>
      <c r="Q94" s="35">
        <v>0</v>
      </c>
      <c r="R94" s="35"/>
      <c r="S94" s="35">
        <v>0</v>
      </c>
      <c r="T94" s="35"/>
      <c r="U94" s="35">
        <v>0</v>
      </c>
      <c r="V94" s="35"/>
      <c r="W94" s="35">
        <f t="shared" si="21"/>
        <v>0</v>
      </c>
      <c r="X94" s="35"/>
      <c r="Y94" s="35" t="s">
        <v>122</v>
      </c>
      <c r="Z94" s="55"/>
      <c r="AA94" s="35" t="s">
        <v>43</v>
      </c>
      <c r="AB94" s="35"/>
      <c r="AC94" s="35">
        <v>0</v>
      </c>
      <c r="AD94" s="35"/>
      <c r="AE94" s="35">
        <v>0</v>
      </c>
      <c r="AF94" s="35"/>
      <c r="AG94" s="35">
        <v>0</v>
      </c>
      <c r="AH94" s="35"/>
      <c r="AI94" s="45">
        <f t="shared" si="19"/>
        <v>0</v>
      </c>
      <c r="AJ94" s="45"/>
      <c r="AK94" s="35">
        <v>0</v>
      </c>
      <c r="AL94" s="35"/>
      <c r="AM94" s="35">
        <v>0</v>
      </c>
      <c r="AN94" s="35"/>
      <c r="AO94" s="35">
        <v>0</v>
      </c>
      <c r="AP94" s="35"/>
      <c r="AQ94" s="35">
        <v>0</v>
      </c>
      <c r="AR94" s="35"/>
      <c r="AS94" s="45">
        <f t="shared" si="17"/>
        <v>0</v>
      </c>
      <c r="AT94" s="45"/>
      <c r="AU94" s="35">
        <v>0</v>
      </c>
      <c r="AV94" s="35"/>
      <c r="AW94" s="35">
        <v>0</v>
      </c>
      <c r="AX94" s="35"/>
      <c r="AY94" s="35">
        <f t="shared" si="20"/>
        <v>0</v>
      </c>
      <c r="AZ94" s="35"/>
      <c r="BA94" s="35" t="s">
        <v>122</v>
      </c>
      <c r="BB94" s="55"/>
      <c r="BC94" s="35" t="s">
        <v>43</v>
      </c>
      <c r="BD94" s="35"/>
      <c r="BE94" s="35">
        <v>0</v>
      </c>
      <c r="BF94" s="35"/>
      <c r="BG94" s="35">
        <v>0</v>
      </c>
      <c r="BH94" s="35"/>
      <c r="BI94" s="35">
        <v>0</v>
      </c>
      <c r="BJ94" s="35"/>
      <c r="BK94" s="35">
        <v>0</v>
      </c>
      <c r="BL94" s="35"/>
      <c r="BM94" s="35">
        <f t="shared" si="18"/>
        <v>0</v>
      </c>
      <c r="BN94" s="54" t="s">
        <v>347</v>
      </c>
    </row>
    <row r="95" spans="1:67" hidden="1">
      <c r="A95" s="44" t="s">
        <v>45</v>
      </c>
      <c r="C95" s="35" t="s">
        <v>103</v>
      </c>
      <c r="D95" s="35"/>
      <c r="E95" s="35">
        <f t="shared" si="22"/>
        <v>0</v>
      </c>
      <c r="F95" s="35"/>
      <c r="G95" s="35">
        <v>0</v>
      </c>
      <c r="H95" s="35"/>
      <c r="I95" s="35">
        <v>0</v>
      </c>
      <c r="J95" s="35"/>
      <c r="K95" s="35">
        <f t="shared" si="23"/>
        <v>0</v>
      </c>
      <c r="L95" s="35"/>
      <c r="M95" s="35">
        <v>0</v>
      </c>
      <c r="N95" s="35"/>
      <c r="O95" s="35">
        <v>0</v>
      </c>
      <c r="P95" s="35"/>
      <c r="Q95" s="35">
        <v>0</v>
      </c>
      <c r="R95" s="35"/>
      <c r="S95" s="35">
        <v>0</v>
      </c>
      <c r="T95" s="35"/>
      <c r="U95" s="35">
        <v>0</v>
      </c>
      <c r="V95" s="35"/>
      <c r="W95" s="35">
        <f t="shared" si="21"/>
        <v>0</v>
      </c>
      <c r="X95" s="35"/>
      <c r="Y95" s="44" t="s">
        <v>45</v>
      </c>
      <c r="Z95" s="55"/>
      <c r="AA95" s="35" t="s">
        <v>103</v>
      </c>
      <c r="AB95" s="35"/>
      <c r="AC95" s="35">
        <v>0</v>
      </c>
      <c r="AD95" s="35"/>
      <c r="AE95" s="35">
        <v>0</v>
      </c>
      <c r="AF95" s="35"/>
      <c r="AG95" s="35">
        <v>0</v>
      </c>
      <c r="AH95" s="35"/>
      <c r="AI95" s="45">
        <f t="shared" si="19"/>
        <v>0</v>
      </c>
      <c r="AJ95" s="45"/>
      <c r="AK95" s="35">
        <v>0</v>
      </c>
      <c r="AL95" s="35"/>
      <c r="AM95" s="35">
        <v>0</v>
      </c>
      <c r="AN95" s="35"/>
      <c r="AO95" s="35">
        <v>0</v>
      </c>
      <c r="AP95" s="35"/>
      <c r="AQ95" s="35">
        <v>0</v>
      </c>
      <c r="AR95" s="35"/>
      <c r="AS95" s="45">
        <f t="shared" si="17"/>
        <v>0</v>
      </c>
      <c r="AT95" s="45"/>
      <c r="AU95" s="35">
        <v>0</v>
      </c>
      <c r="AV95" s="35"/>
      <c r="AW95" s="35">
        <v>0</v>
      </c>
      <c r="AX95" s="35"/>
      <c r="AY95" s="35">
        <f t="shared" si="20"/>
        <v>0</v>
      </c>
      <c r="AZ95" s="35"/>
      <c r="BA95" s="44" t="s">
        <v>45</v>
      </c>
      <c r="BB95" s="55"/>
      <c r="BC95" s="35" t="s">
        <v>103</v>
      </c>
      <c r="BD95" s="35"/>
      <c r="BE95" s="35">
        <v>0</v>
      </c>
      <c r="BF95" s="35"/>
      <c r="BG95" s="35">
        <v>0</v>
      </c>
      <c r="BH95" s="35"/>
      <c r="BI95" s="35">
        <v>0</v>
      </c>
      <c r="BJ95" s="35"/>
      <c r="BK95" s="35">
        <v>0</v>
      </c>
      <c r="BL95" s="35"/>
      <c r="BM95" s="35">
        <f t="shared" si="18"/>
        <v>0</v>
      </c>
      <c r="BN95" s="54" t="s">
        <v>347</v>
      </c>
      <c r="BO95" s="55" t="s">
        <v>315</v>
      </c>
    </row>
    <row r="96" spans="1:67" hidden="1">
      <c r="A96" s="44" t="s">
        <v>123</v>
      </c>
      <c r="C96" s="35" t="s">
        <v>45</v>
      </c>
      <c r="D96" s="35"/>
      <c r="E96" s="35">
        <f t="shared" si="22"/>
        <v>0</v>
      </c>
      <c r="F96" s="35"/>
      <c r="G96" s="35">
        <v>0</v>
      </c>
      <c r="H96" s="35"/>
      <c r="I96" s="35">
        <v>0</v>
      </c>
      <c r="J96" s="35"/>
      <c r="K96" s="35">
        <f t="shared" si="23"/>
        <v>0</v>
      </c>
      <c r="L96" s="35"/>
      <c r="M96" s="35">
        <v>0</v>
      </c>
      <c r="N96" s="35"/>
      <c r="O96" s="35">
        <v>0</v>
      </c>
      <c r="P96" s="35"/>
      <c r="Q96" s="35">
        <v>0</v>
      </c>
      <c r="R96" s="35"/>
      <c r="S96" s="35">
        <v>0</v>
      </c>
      <c r="T96" s="35"/>
      <c r="U96" s="35">
        <v>0</v>
      </c>
      <c r="V96" s="35"/>
      <c r="W96" s="35">
        <f t="shared" si="21"/>
        <v>0</v>
      </c>
      <c r="X96" s="35"/>
      <c r="Y96" s="44" t="s">
        <v>123</v>
      </c>
      <c r="Z96" s="55"/>
      <c r="AA96" s="35" t="s">
        <v>45</v>
      </c>
      <c r="AB96" s="35"/>
      <c r="AC96" s="35">
        <v>0</v>
      </c>
      <c r="AD96" s="35"/>
      <c r="AE96" s="35">
        <v>0</v>
      </c>
      <c r="AF96" s="35"/>
      <c r="AG96" s="35">
        <v>0</v>
      </c>
      <c r="AH96" s="35"/>
      <c r="AI96" s="45">
        <f t="shared" si="19"/>
        <v>0</v>
      </c>
      <c r="AJ96" s="45"/>
      <c r="AK96" s="35">
        <v>0</v>
      </c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7"/>
        <v>0</v>
      </c>
      <c r="AT96" s="45"/>
      <c r="AU96" s="35">
        <v>0</v>
      </c>
      <c r="AV96" s="35"/>
      <c r="AW96" s="35">
        <v>0</v>
      </c>
      <c r="AX96" s="35"/>
      <c r="AY96" s="35">
        <f t="shared" si="20"/>
        <v>0</v>
      </c>
      <c r="AZ96" s="35"/>
      <c r="BA96" s="44" t="s">
        <v>123</v>
      </c>
      <c r="BB96" s="55"/>
      <c r="BC96" s="35" t="s">
        <v>45</v>
      </c>
      <c r="BD96" s="35"/>
      <c r="BE96" s="35">
        <v>0</v>
      </c>
      <c r="BF96" s="35"/>
      <c r="BG96" s="35">
        <v>0</v>
      </c>
      <c r="BH96" s="35"/>
      <c r="BI96" s="35">
        <v>0</v>
      </c>
      <c r="BJ96" s="35"/>
      <c r="BK96" s="35">
        <v>0</v>
      </c>
      <c r="BL96" s="35"/>
      <c r="BM96" s="35">
        <f t="shared" si="18"/>
        <v>0</v>
      </c>
      <c r="BN96" s="54" t="s">
        <v>347</v>
      </c>
    </row>
    <row r="97" spans="1:67" hidden="1">
      <c r="A97" s="35" t="s">
        <v>124</v>
      </c>
      <c r="C97" s="35" t="s">
        <v>125</v>
      </c>
      <c r="D97" s="35"/>
      <c r="E97" s="35">
        <f t="shared" si="22"/>
        <v>0</v>
      </c>
      <c r="F97" s="35"/>
      <c r="G97" s="35">
        <v>0</v>
      </c>
      <c r="H97" s="35"/>
      <c r="I97" s="35">
        <v>0</v>
      </c>
      <c r="J97" s="35"/>
      <c r="K97" s="35">
        <f t="shared" si="23"/>
        <v>0</v>
      </c>
      <c r="L97" s="35"/>
      <c r="M97" s="35">
        <v>0</v>
      </c>
      <c r="N97" s="35"/>
      <c r="O97" s="35">
        <v>0</v>
      </c>
      <c r="P97" s="35"/>
      <c r="Q97" s="35">
        <v>0</v>
      </c>
      <c r="R97" s="35"/>
      <c r="S97" s="35">
        <v>0</v>
      </c>
      <c r="T97" s="35"/>
      <c r="U97" s="35">
        <v>0</v>
      </c>
      <c r="V97" s="35"/>
      <c r="W97" s="35">
        <f t="shared" si="21"/>
        <v>0</v>
      </c>
      <c r="X97" s="35"/>
      <c r="Y97" s="35" t="s">
        <v>124</v>
      </c>
      <c r="Z97" s="55"/>
      <c r="AA97" s="35" t="s">
        <v>125</v>
      </c>
      <c r="AB97" s="35"/>
      <c r="AC97" s="35">
        <v>0</v>
      </c>
      <c r="AD97" s="35"/>
      <c r="AE97" s="35">
        <v>0</v>
      </c>
      <c r="AF97" s="35"/>
      <c r="AG97" s="35">
        <v>0</v>
      </c>
      <c r="AH97" s="35"/>
      <c r="AI97" s="45">
        <f t="shared" si="19"/>
        <v>0</v>
      </c>
      <c r="AJ97" s="45"/>
      <c r="AK97" s="35">
        <v>0</v>
      </c>
      <c r="AL97" s="35"/>
      <c r="AM97" s="35">
        <v>0</v>
      </c>
      <c r="AN97" s="35"/>
      <c r="AO97" s="35">
        <v>0</v>
      </c>
      <c r="AP97" s="35"/>
      <c r="AQ97" s="35">
        <v>0</v>
      </c>
      <c r="AR97" s="35"/>
      <c r="AS97" s="45">
        <f t="shared" si="17"/>
        <v>0</v>
      </c>
      <c r="AT97" s="45"/>
      <c r="AU97" s="35">
        <v>0</v>
      </c>
      <c r="AV97" s="35"/>
      <c r="AW97" s="35">
        <v>0</v>
      </c>
      <c r="AX97" s="35"/>
      <c r="AY97" s="35">
        <f t="shared" si="20"/>
        <v>0</v>
      </c>
      <c r="AZ97" s="35"/>
      <c r="BA97" s="35" t="s">
        <v>124</v>
      </c>
      <c r="BB97" s="55"/>
      <c r="BC97" s="35" t="s">
        <v>125</v>
      </c>
      <c r="BD97" s="35"/>
      <c r="BE97" s="35">
        <v>0</v>
      </c>
      <c r="BF97" s="35"/>
      <c r="BG97" s="35">
        <v>0</v>
      </c>
      <c r="BH97" s="35"/>
      <c r="BI97" s="35">
        <v>0</v>
      </c>
      <c r="BJ97" s="35"/>
      <c r="BK97" s="35">
        <v>0</v>
      </c>
      <c r="BL97" s="35"/>
      <c r="BM97" s="35">
        <f t="shared" si="18"/>
        <v>0</v>
      </c>
      <c r="BN97" s="54" t="s">
        <v>347</v>
      </c>
    </row>
    <row r="98" spans="1:67" hidden="1">
      <c r="A98" s="35" t="s">
        <v>126</v>
      </c>
      <c r="C98" s="35" t="s">
        <v>27</v>
      </c>
      <c r="D98" s="35"/>
      <c r="E98" s="35">
        <f t="shared" si="22"/>
        <v>0</v>
      </c>
      <c r="F98" s="35"/>
      <c r="G98" s="35">
        <v>0</v>
      </c>
      <c r="H98" s="35"/>
      <c r="I98" s="35">
        <v>0</v>
      </c>
      <c r="J98" s="35"/>
      <c r="K98" s="35">
        <f t="shared" si="23"/>
        <v>0</v>
      </c>
      <c r="L98" s="35"/>
      <c r="M98" s="35">
        <v>0</v>
      </c>
      <c r="N98" s="35"/>
      <c r="O98" s="35">
        <v>0</v>
      </c>
      <c r="P98" s="35"/>
      <c r="Q98" s="35">
        <v>0</v>
      </c>
      <c r="R98" s="35"/>
      <c r="S98" s="35">
        <v>0</v>
      </c>
      <c r="T98" s="35"/>
      <c r="U98" s="35">
        <v>0</v>
      </c>
      <c r="V98" s="35"/>
      <c r="W98" s="35">
        <f t="shared" si="21"/>
        <v>0</v>
      </c>
      <c r="X98" s="35"/>
      <c r="Y98" s="35" t="s">
        <v>126</v>
      </c>
      <c r="Z98" s="55"/>
      <c r="AA98" s="35" t="s">
        <v>27</v>
      </c>
      <c r="AB98" s="35"/>
      <c r="AC98" s="35">
        <v>0</v>
      </c>
      <c r="AD98" s="35"/>
      <c r="AE98" s="35">
        <v>0</v>
      </c>
      <c r="AF98" s="35"/>
      <c r="AG98" s="35">
        <v>0</v>
      </c>
      <c r="AH98" s="35"/>
      <c r="AI98" s="45">
        <f t="shared" si="19"/>
        <v>0</v>
      </c>
      <c r="AJ98" s="45"/>
      <c r="AK98" s="35">
        <v>0</v>
      </c>
      <c r="AL98" s="35"/>
      <c r="AM98" s="35">
        <v>0</v>
      </c>
      <c r="AN98" s="35"/>
      <c r="AO98" s="35">
        <v>0</v>
      </c>
      <c r="AP98" s="35"/>
      <c r="AQ98" s="35">
        <v>0</v>
      </c>
      <c r="AR98" s="35"/>
      <c r="AS98" s="45">
        <f t="shared" si="17"/>
        <v>0</v>
      </c>
      <c r="AT98" s="45"/>
      <c r="AU98" s="35">
        <v>0</v>
      </c>
      <c r="AV98" s="35"/>
      <c r="AW98" s="35">
        <v>0</v>
      </c>
      <c r="AX98" s="35"/>
      <c r="AY98" s="35">
        <f t="shared" si="20"/>
        <v>0</v>
      </c>
      <c r="AZ98" s="35"/>
      <c r="BA98" s="35" t="s">
        <v>126</v>
      </c>
      <c r="BB98" s="55"/>
      <c r="BC98" s="35" t="s">
        <v>27</v>
      </c>
      <c r="BD98" s="35"/>
      <c r="BE98" s="35">
        <v>0</v>
      </c>
      <c r="BF98" s="35"/>
      <c r="BG98" s="35">
        <v>0</v>
      </c>
      <c r="BH98" s="35"/>
      <c r="BI98" s="35">
        <v>0</v>
      </c>
      <c r="BJ98" s="35"/>
      <c r="BK98" s="35">
        <v>0</v>
      </c>
      <c r="BL98" s="35"/>
      <c r="BM98" s="35">
        <f t="shared" si="18"/>
        <v>0</v>
      </c>
      <c r="BN98" s="54" t="s">
        <v>347</v>
      </c>
    </row>
    <row r="99" spans="1:67" hidden="1">
      <c r="A99" s="35" t="s">
        <v>127</v>
      </c>
      <c r="C99" s="35" t="s">
        <v>43</v>
      </c>
      <c r="D99" s="35"/>
      <c r="E99" s="35">
        <f t="shared" si="22"/>
        <v>0</v>
      </c>
      <c r="F99" s="35"/>
      <c r="G99" s="35">
        <v>0</v>
      </c>
      <c r="H99" s="35"/>
      <c r="I99" s="35">
        <v>0</v>
      </c>
      <c r="J99" s="35"/>
      <c r="K99" s="35">
        <f t="shared" si="23"/>
        <v>0</v>
      </c>
      <c r="L99" s="35"/>
      <c r="M99" s="35">
        <v>0</v>
      </c>
      <c r="N99" s="35"/>
      <c r="O99" s="35">
        <v>0</v>
      </c>
      <c r="P99" s="35"/>
      <c r="Q99" s="35">
        <v>0</v>
      </c>
      <c r="R99" s="35"/>
      <c r="S99" s="35">
        <v>0</v>
      </c>
      <c r="T99" s="35"/>
      <c r="U99" s="35">
        <v>0</v>
      </c>
      <c r="V99" s="35"/>
      <c r="W99" s="35">
        <f t="shared" si="21"/>
        <v>0</v>
      </c>
      <c r="X99" s="35"/>
      <c r="Y99" s="35" t="s">
        <v>127</v>
      </c>
      <c r="Z99" s="55"/>
      <c r="AA99" s="35" t="s">
        <v>43</v>
      </c>
      <c r="AB99" s="35"/>
      <c r="AC99" s="35">
        <v>0</v>
      </c>
      <c r="AD99" s="35"/>
      <c r="AE99" s="35">
        <v>0</v>
      </c>
      <c r="AF99" s="35"/>
      <c r="AG99" s="35">
        <v>0</v>
      </c>
      <c r="AH99" s="35"/>
      <c r="AI99" s="45">
        <f t="shared" si="19"/>
        <v>0</v>
      </c>
      <c r="AJ99" s="45"/>
      <c r="AK99" s="35">
        <v>0</v>
      </c>
      <c r="AL99" s="35"/>
      <c r="AM99" s="35">
        <v>0</v>
      </c>
      <c r="AN99" s="35"/>
      <c r="AO99" s="35">
        <v>0</v>
      </c>
      <c r="AP99" s="35"/>
      <c r="AQ99" s="35">
        <v>0</v>
      </c>
      <c r="AR99" s="35"/>
      <c r="AS99" s="45">
        <f t="shared" si="17"/>
        <v>0</v>
      </c>
      <c r="AT99" s="45"/>
      <c r="AU99" s="35">
        <v>0</v>
      </c>
      <c r="AV99" s="35"/>
      <c r="AW99" s="35">
        <v>0</v>
      </c>
      <c r="AX99" s="35"/>
      <c r="AY99" s="35">
        <f t="shared" si="20"/>
        <v>0</v>
      </c>
      <c r="AZ99" s="35"/>
      <c r="BA99" s="35" t="s">
        <v>127</v>
      </c>
      <c r="BB99" s="55"/>
      <c r="BC99" s="35" t="s">
        <v>43</v>
      </c>
      <c r="BD99" s="35"/>
      <c r="BE99" s="35">
        <v>0</v>
      </c>
      <c r="BF99" s="35"/>
      <c r="BG99" s="35">
        <v>0</v>
      </c>
      <c r="BH99" s="35"/>
      <c r="BI99" s="35">
        <v>0</v>
      </c>
      <c r="BJ99" s="35"/>
      <c r="BK99" s="35">
        <v>0</v>
      </c>
      <c r="BL99" s="35"/>
      <c r="BM99" s="35">
        <f t="shared" ref="BM99:BM141" si="24">SUM(BE99:BK99)</f>
        <v>0</v>
      </c>
      <c r="BN99" s="54" t="s">
        <v>347</v>
      </c>
    </row>
    <row r="100" spans="1:67" hidden="1">
      <c r="A100" s="35" t="s">
        <v>128</v>
      </c>
      <c r="C100" s="35" t="s">
        <v>119</v>
      </c>
      <c r="D100" s="35"/>
      <c r="E100" s="35">
        <f t="shared" si="22"/>
        <v>0</v>
      </c>
      <c r="F100" s="35"/>
      <c r="G100" s="35">
        <v>0</v>
      </c>
      <c r="H100" s="35"/>
      <c r="I100" s="35">
        <v>0</v>
      </c>
      <c r="J100" s="35"/>
      <c r="K100" s="35">
        <f t="shared" si="23"/>
        <v>0</v>
      </c>
      <c r="L100" s="35"/>
      <c r="M100" s="35">
        <v>0</v>
      </c>
      <c r="N100" s="35"/>
      <c r="O100" s="35">
        <v>0</v>
      </c>
      <c r="P100" s="35"/>
      <c r="Q100" s="35">
        <v>0</v>
      </c>
      <c r="R100" s="35"/>
      <c r="S100" s="35">
        <v>0</v>
      </c>
      <c r="T100" s="35"/>
      <c r="U100" s="35">
        <v>0</v>
      </c>
      <c r="V100" s="35"/>
      <c r="W100" s="35">
        <f t="shared" si="21"/>
        <v>0</v>
      </c>
      <c r="X100" s="35"/>
      <c r="Y100" s="35" t="s">
        <v>128</v>
      </c>
      <c r="Z100" s="55"/>
      <c r="AA100" s="35" t="s">
        <v>119</v>
      </c>
      <c r="AB100" s="35"/>
      <c r="AC100" s="35">
        <v>0</v>
      </c>
      <c r="AD100" s="35"/>
      <c r="AE100" s="35">
        <v>0</v>
      </c>
      <c r="AF100" s="35"/>
      <c r="AG100" s="35">
        <v>0</v>
      </c>
      <c r="AH100" s="35"/>
      <c r="AI100" s="45">
        <f t="shared" si="19"/>
        <v>0</v>
      </c>
      <c r="AJ100" s="45"/>
      <c r="AK100" s="35">
        <v>0</v>
      </c>
      <c r="AL100" s="35"/>
      <c r="AM100" s="35">
        <v>0</v>
      </c>
      <c r="AN100" s="35"/>
      <c r="AO100" s="35">
        <v>0</v>
      </c>
      <c r="AP100" s="35"/>
      <c r="AQ100" s="35">
        <v>0</v>
      </c>
      <c r="AR100" s="35"/>
      <c r="AS100" s="45">
        <f t="shared" si="17"/>
        <v>0</v>
      </c>
      <c r="AT100" s="45"/>
      <c r="AU100" s="35">
        <v>0</v>
      </c>
      <c r="AV100" s="35"/>
      <c r="AW100" s="35">
        <v>0</v>
      </c>
      <c r="AX100" s="35"/>
      <c r="AY100" s="35">
        <f t="shared" si="20"/>
        <v>0</v>
      </c>
      <c r="AZ100" s="35"/>
      <c r="BA100" s="35" t="s">
        <v>128</v>
      </c>
      <c r="BB100" s="55"/>
      <c r="BC100" s="35" t="s">
        <v>119</v>
      </c>
      <c r="BD100" s="35"/>
      <c r="BE100" s="35">
        <v>0</v>
      </c>
      <c r="BF100" s="35"/>
      <c r="BG100" s="35">
        <v>0</v>
      </c>
      <c r="BH100" s="35"/>
      <c r="BI100" s="35">
        <v>0</v>
      </c>
      <c r="BJ100" s="35"/>
      <c r="BK100" s="35">
        <v>0</v>
      </c>
      <c r="BL100" s="35"/>
      <c r="BM100" s="35">
        <f t="shared" si="24"/>
        <v>0</v>
      </c>
      <c r="BN100" s="54" t="s">
        <v>347</v>
      </c>
    </row>
    <row r="101" spans="1:67" ht="12" hidden="1">
      <c r="A101" s="35" t="s">
        <v>129</v>
      </c>
      <c r="B101" s="55"/>
      <c r="C101" s="35" t="s">
        <v>80</v>
      </c>
      <c r="D101" s="35"/>
      <c r="E101" s="35">
        <f t="shared" si="22"/>
        <v>0</v>
      </c>
      <c r="F101" s="35"/>
      <c r="G101" s="35">
        <v>0</v>
      </c>
      <c r="H101" s="35"/>
      <c r="I101" s="35">
        <v>0</v>
      </c>
      <c r="J101" s="35"/>
      <c r="K101" s="35">
        <f t="shared" si="23"/>
        <v>0</v>
      </c>
      <c r="L101" s="35"/>
      <c r="M101" s="35">
        <v>0</v>
      </c>
      <c r="N101" s="35"/>
      <c r="O101" s="35">
        <v>0</v>
      </c>
      <c r="P101" s="35"/>
      <c r="Q101" s="35">
        <v>0</v>
      </c>
      <c r="R101" s="35"/>
      <c r="S101" s="35">
        <v>0</v>
      </c>
      <c r="T101" s="35"/>
      <c r="U101" s="35">
        <v>0</v>
      </c>
      <c r="V101" s="35"/>
      <c r="W101" s="35">
        <f t="shared" si="21"/>
        <v>0</v>
      </c>
      <c r="X101" s="35"/>
      <c r="Y101" s="35" t="s">
        <v>129</v>
      </c>
      <c r="Z101" s="55"/>
      <c r="AA101" s="35" t="s">
        <v>80</v>
      </c>
      <c r="AB101" s="35"/>
      <c r="AC101" s="35">
        <v>0</v>
      </c>
      <c r="AD101" s="35"/>
      <c r="AE101" s="35">
        <v>0</v>
      </c>
      <c r="AF101" s="35"/>
      <c r="AG101" s="35">
        <v>0</v>
      </c>
      <c r="AH101" s="35"/>
      <c r="AI101" s="45">
        <f t="shared" si="19"/>
        <v>0</v>
      </c>
      <c r="AJ101" s="45"/>
      <c r="AK101" s="35">
        <v>0</v>
      </c>
      <c r="AL101" s="35"/>
      <c r="AM101" s="35">
        <v>0</v>
      </c>
      <c r="AN101" s="35"/>
      <c r="AO101" s="35">
        <v>0</v>
      </c>
      <c r="AP101" s="35"/>
      <c r="AQ101" s="35">
        <v>0</v>
      </c>
      <c r="AR101" s="35"/>
      <c r="AS101" s="45">
        <f t="shared" si="17"/>
        <v>0</v>
      </c>
      <c r="AT101" s="45"/>
      <c r="AU101" s="35">
        <v>0</v>
      </c>
      <c r="AV101" s="35"/>
      <c r="AW101" s="35">
        <v>0</v>
      </c>
      <c r="AX101" s="35"/>
      <c r="AY101" s="35">
        <f t="shared" si="20"/>
        <v>0</v>
      </c>
      <c r="AZ101" s="35"/>
      <c r="BA101" s="35" t="s">
        <v>129</v>
      </c>
      <c r="BB101" s="55"/>
      <c r="BC101" s="35" t="s">
        <v>80</v>
      </c>
      <c r="BD101" s="35"/>
      <c r="BE101" s="35">
        <v>0</v>
      </c>
      <c r="BF101" s="35"/>
      <c r="BG101" s="35">
        <v>0</v>
      </c>
      <c r="BH101" s="35"/>
      <c r="BI101" s="35">
        <v>0</v>
      </c>
      <c r="BJ101" s="35"/>
      <c r="BK101" s="35">
        <v>0</v>
      </c>
      <c r="BL101" s="35"/>
      <c r="BM101" s="35">
        <f t="shared" si="24"/>
        <v>0</v>
      </c>
      <c r="BN101" s="54" t="s">
        <v>347</v>
      </c>
    </row>
    <row r="102" spans="1:67" hidden="1">
      <c r="A102" s="35" t="s">
        <v>130</v>
      </c>
      <c r="C102" s="35" t="s">
        <v>66</v>
      </c>
      <c r="D102" s="35"/>
      <c r="E102" s="35">
        <f t="shared" si="22"/>
        <v>0</v>
      </c>
      <c r="F102" s="35"/>
      <c r="G102" s="35">
        <v>0</v>
      </c>
      <c r="H102" s="35"/>
      <c r="I102" s="35">
        <v>0</v>
      </c>
      <c r="J102" s="35"/>
      <c r="K102" s="35">
        <f t="shared" si="23"/>
        <v>0</v>
      </c>
      <c r="L102" s="35"/>
      <c r="M102" s="35">
        <v>0</v>
      </c>
      <c r="N102" s="35"/>
      <c r="O102" s="35">
        <v>0</v>
      </c>
      <c r="P102" s="35"/>
      <c r="Q102" s="35">
        <v>0</v>
      </c>
      <c r="R102" s="35"/>
      <c r="S102" s="35">
        <v>0</v>
      </c>
      <c r="T102" s="35"/>
      <c r="U102" s="35">
        <v>0</v>
      </c>
      <c r="V102" s="35"/>
      <c r="W102" s="35">
        <f t="shared" si="21"/>
        <v>0</v>
      </c>
      <c r="X102" s="35"/>
      <c r="Y102" s="35" t="s">
        <v>130</v>
      </c>
      <c r="Z102" s="55"/>
      <c r="AA102" s="35" t="s">
        <v>66</v>
      </c>
      <c r="AB102" s="35"/>
      <c r="AC102" s="35">
        <v>0</v>
      </c>
      <c r="AD102" s="35"/>
      <c r="AE102" s="35">
        <v>0</v>
      </c>
      <c r="AF102" s="35"/>
      <c r="AG102" s="35">
        <v>0</v>
      </c>
      <c r="AH102" s="35"/>
      <c r="AI102" s="45">
        <f t="shared" si="19"/>
        <v>0</v>
      </c>
      <c r="AJ102" s="45"/>
      <c r="AK102" s="35">
        <v>0</v>
      </c>
      <c r="AL102" s="35"/>
      <c r="AM102" s="35">
        <v>0</v>
      </c>
      <c r="AN102" s="35"/>
      <c r="AO102" s="35">
        <v>0</v>
      </c>
      <c r="AP102" s="35"/>
      <c r="AQ102" s="35">
        <v>0</v>
      </c>
      <c r="AR102" s="35"/>
      <c r="AS102" s="45">
        <f t="shared" si="17"/>
        <v>0</v>
      </c>
      <c r="AT102" s="45"/>
      <c r="AU102" s="35">
        <v>0</v>
      </c>
      <c r="AV102" s="35"/>
      <c r="AW102" s="35">
        <v>0</v>
      </c>
      <c r="AX102" s="35"/>
      <c r="AY102" s="35">
        <f t="shared" si="20"/>
        <v>0</v>
      </c>
      <c r="AZ102" s="35"/>
      <c r="BA102" s="35" t="s">
        <v>130</v>
      </c>
      <c r="BB102" s="55"/>
      <c r="BC102" s="35" t="s">
        <v>66</v>
      </c>
      <c r="BD102" s="35"/>
      <c r="BE102" s="35">
        <v>0</v>
      </c>
      <c r="BF102" s="35"/>
      <c r="BG102" s="35">
        <v>0</v>
      </c>
      <c r="BH102" s="35"/>
      <c r="BI102" s="35">
        <v>0</v>
      </c>
      <c r="BJ102" s="35"/>
      <c r="BK102" s="35">
        <v>0</v>
      </c>
      <c r="BL102" s="35"/>
      <c r="BM102" s="35">
        <f t="shared" si="24"/>
        <v>0</v>
      </c>
      <c r="BN102" s="54" t="s">
        <v>347</v>
      </c>
    </row>
    <row r="103" spans="1:67" hidden="1">
      <c r="A103" s="35" t="s">
        <v>131</v>
      </c>
      <c r="C103" s="35" t="s">
        <v>13</v>
      </c>
      <c r="D103" s="35"/>
      <c r="E103" s="35">
        <f t="shared" si="22"/>
        <v>0</v>
      </c>
      <c r="F103" s="35"/>
      <c r="G103" s="35">
        <v>0</v>
      </c>
      <c r="H103" s="35"/>
      <c r="I103" s="35">
        <v>0</v>
      </c>
      <c r="J103" s="35"/>
      <c r="K103" s="35">
        <f t="shared" si="23"/>
        <v>0</v>
      </c>
      <c r="L103" s="35"/>
      <c r="M103" s="35">
        <v>0</v>
      </c>
      <c r="N103" s="35"/>
      <c r="O103" s="35">
        <v>0</v>
      </c>
      <c r="P103" s="35"/>
      <c r="Q103" s="35">
        <v>0</v>
      </c>
      <c r="R103" s="35"/>
      <c r="S103" s="35">
        <v>0</v>
      </c>
      <c r="T103" s="35"/>
      <c r="U103" s="35">
        <v>0</v>
      </c>
      <c r="V103" s="35"/>
      <c r="W103" s="35">
        <f t="shared" si="21"/>
        <v>0</v>
      </c>
      <c r="X103" s="35"/>
      <c r="Y103" s="35" t="s">
        <v>131</v>
      </c>
      <c r="Z103" s="55"/>
      <c r="AA103" s="35" t="s">
        <v>13</v>
      </c>
      <c r="AB103" s="35"/>
      <c r="AC103" s="35">
        <v>0</v>
      </c>
      <c r="AD103" s="35"/>
      <c r="AE103" s="35">
        <v>0</v>
      </c>
      <c r="AF103" s="35"/>
      <c r="AG103" s="35">
        <v>0</v>
      </c>
      <c r="AH103" s="35"/>
      <c r="AI103" s="45">
        <f t="shared" si="19"/>
        <v>0</v>
      </c>
      <c r="AJ103" s="45"/>
      <c r="AK103" s="35">
        <v>0</v>
      </c>
      <c r="AL103" s="35"/>
      <c r="AM103" s="35">
        <v>0</v>
      </c>
      <c r="AN103" s="35"/>
      <c r="AO103" s="35">
        <v>0</v>
      </c>
      <c r="AP103" s="35"/>
      <c r="AQ103" s="35">
        <v>0</v>
      </c>
      <c r="AR103" s="35"/>
      <c r="AS103" s="45">
        <f t="shared" ref="AS103:AS166" si="25">+AI103+AK103+AM103-AO103+AQ103</f>
        <v>0</v>
      </c>
      <c r="AT103" s="45"/>
      <c r="AU103" s="35">
        <v>0</v>
      </c>
      <c r="AV103" s="35"/>
      <c r="AW103" s="35">
        <v>0</v>
      </c>
      <c r="AX103" s="35"/>
      <c r="AY103" s="35">
        <f t="shared" si="20"/>
        <v>0</v>
      </c>
      <c r="AZ103" s="35"/>
      <c r="BA103" s="35" t="s">
        <v>131</v>
      </c>
      <c r="BB103" s="55"/>
      <c r="BC103" s="35" t="s">
        <v>13</v>
      </c>
      <c r="BD103" s="35"/>
      <c r="BE103" s="35">
        <v>0</v>
      </c>
      <c r="BF103" s="35"/>
      <c r="BG103" s="35">
        <v>0</v>
      </c>
      <c r="BH103" s="35"/>
      <c r="BI103" s="35">
        <v>0</v>
      </c>
      <c r="BJ103" s="35"/>
      <c r="BK103" s="35">
        <v>0</v>
      </c>
      <c r="BL103" s="35"/>
      <c r="BM103" s="35">
        <f t="shared" si="24"/>
        <v>0</v>
      </c>
      <c r="BN103" s="54" t="s">
        <v>347</v>
      </c>
    </row>
    <row r="104" spans="1:67" hidden="1">
      <c r="A104" s="35" t="s">
        <v>38</v>
      </c>
      <c r="C104" s="35" t="s">
        <v>132</v>
      </c>
      <c r="D104" s="35"/>
      <c r="E104" s="35">
        <f t="shared" si="22"/>
        <v>0</v>
      </c>
      <c r="F104" s="35"/>
      <c r="G104" s="35">
        <v>0</v>
      </c>
      <c r="H104" s="35"/>
      <c r="I104" s="35">
        <v>0</v>
      </c>
      <c r="J104" s="35"/>
      <c r="K104" s="35">
        <f t="shared" si="23"/>
        <v>0</v>
      </c>
      <c r="L104" s="35"/>
      <c r="M104" s="35">
        <v>0</v>
      </c>
      <c r="N104" s="35"/>
      <c r="O104" s="35">
        <v>0</v>
      </c>
      <c r="P104" s="35"/>
      <c r="Q104" s="35">
        <v>0</v>
      </c>
      <c r="R104" s="35"/>
      <c r="S104" s="35">
        <v>0</v>
      </c>
      <c r="T104" s="35"/>
      <c r="U104" s="35">
        <v>0</v>
      </c>
      <c r="V104" s="35"/>
      <c r="W104" s="35">
        <f t="shared" si="21"/>
        <v>0</v>
      </c>
      <c r="X104" s="35"/>
      <c r="Y104" s="35" t="s">
        <v>38</v>
      </c>
      <c r="Z104" s="55"/>
      <c r="AA104" s="35" t="s">
        <v>132</v>
      </c>
      <c r="AB104" s="35"/>
      <c r="AC104" s="35">
        <v>0</v>
      </c>
      <c r="AD104" s="35"/>
      <c r="AE104" s="35">
        <v>0</v>
      </c>
      <c r="AF104" s="35"/>
      <c r="AG104" s="35">
        <v>0</v>
      </c>
      <c r="AH104" s="35"/>
      <c r="AI104" s="45">
        <f t="shared" si="19"/>
        <v>0</v>
      </c>
      <c r="AJ104" s="45"/>
      <c r="AK104" s="35">
        <v>0</v>
      </c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si="25"/>
        <v>0</v>
      </c>
      <c r="AT104" s="45"/>
      <c r="AU104" s="35">
        <v>0</v>
      </c>
      <c r="AV104" s="35"/>
      <c r="AW104" s="35">
        <v>0</v>
      </c>
      <c r="AX104" s="35"/>
      <c r="AY104" s="35">
        <f t="shared" si="20"/>
        <v>0</v>
      </c>
      <c r="AZ104" s="35"/>
      <c r="BA104" s="35" t="s">
        <v>38</v>
      </c>
      <c r="BB104" s="55"/>
      <c r="BC104" s="35" t="s">
        <v>132</v>
      </c>
      <c r="BD104" s="35"/>
      <c r="BE104" s="35">
        <v>0</v>
      </c>
      <c r="BF104" s="35"/>
      <c r="BG104" s="35">
        <v>0</v>
      </c>
      <c r="BH104" s="35"/>
      <c r="BI104" s="35">
        <v>0</v>
      </c>
      <c r="BJ104" s="35"/>
      <c r="BK104" s="35">
        <v>0</v>
      </c>
      <c r="BL104" s="35"/>
      <c r="BM104" s="35">
        <f t="shared" si="24"/>
        <v>0</v>
      </c>
      <c r="BN104" s="54" t="s">
        <v>347</v>
      </c>
    </row>
    <row r="105" spans="1:67" hidden="1">
      <c r="A105" s="35" t="s">
        <v>133</v>
      </c>
      <c r="C105" s="35" t="s">
        <v>27</v>
      </c>
      <c r="D105" s="35"/>
      <c r="E105" s="35">
        <f t="shared" si="22"/>
        <v>0</v>
      </c>
      <c r="F105" s="35"/>
      <c r="G105" s="35">
        <v>0</v>
      </c>
      <c r="H105" s="35"/>
      <c r="I105" s="35">
        <v>0</v>
      </c>
      <c r="J105" s="35"/>
      <c r="K105" s="35">
        <f t="shared" si="23"/>
        <v>0</v>
      </c>
      <c r="L105" s="35"/>
      <c r="M105" s="35">
        <v>0</v>
      </c>
      <c r="N105" s="35"/>
      <c r="O105" s="35">
        <v>0</v>
      </c>
      <c r="P105" s="35"/>
      <c r="Q105" s="35">
        <v>0</v>
      </c>
      <c r="R105" s="35"/>
      <c r="S105" s="35">
        <v>0</v>
      </c>
      <c r="T105" s="35"/>
      <c r="U105" s="35">
        <v>0</v>
      </c>
      <c r="V105" s="35"/>
      <c r="W105" s="35">
        <f t="shared" si="21"/>
        <v>0</v>
      </c>
      <c r="X105" s="35"/>
      <c r="Y105" s="35" t="s">
        <v>133</v>
      </c>
      <c r="Z105" s="55"/>
      <c r="AA105" s="35" t="s">
        <v>27</v>
      </c>
      <c r="AB105" s="35"/>
      <c r="AC105" s="35">
        <v>0</v>
      </c>
      <c r="AD105" s="35"/>
      <c r="AE105" s="35">
        <v>0</v>
      </c>
      <c r="AF105" s="35"/>
      <c r="AG105" s="35">
        <v>0</v>
      </c>
      <c r="AH105" s="35"/>
      <c r="AI105" s="45">
        <f t="shared" si="19"/>
        <v>0</v>
      </c>
      <c r="AJ105" s="45"/>
      <c r="AK105" s="35">
        <v>0</v>
      </c>
      <c r="AL105" s="35"/>
      <c r="AM105" s="35">
        <v>0</v>
      </c>
      <c r="AN105" s="35"/>
      <c r="AO105" s="35">
        <v>0</v>
      </c>
      <c r="AP105" s="35"/>
      <c r="AQ105" s="35">
        <v>0</v>
      </c>
      <c r="AR105" s="35"/>
      <c r="AS105" s="45">
        <f t="shared" si="25"/>
        <v>0</v>
      </c>
      <c r="AT105" s="45"/>
      <c r="AU105" s="35">
        <v>0</v>
      </c>
      <c r="AV105" s="35"/>
      <c r="AW105" s="35">
        <v>0</v>
      </c>
      <c r="AX105" s="35"/>
      <c r="AY105" s="35">
        <f t="shared" si="20"/>
        <v>0</v>
      </c>
      <c r="AZ105" s="35"/>
      <c r="BA105" s="35" t="s">
        <v>133</v>
      </c>
      <c r="BB105" s="55"/>
      <c r="BC105" s="35" t="s">
        <v>27</v>
      </c>
      <c r="BD105" s="35"/>
      <c r="BE105" s="35">
        <v>0</v>
      </c>
      <c r="BF105" s="35"/>
      <c r="BG105" s="35">
        <v>0</v>
      </c>
      <c r="BH105" s="35"/>
      <c r="BI105" s="35">
        <v>0</v>
      </c>
      <c r="BJ105" s="35"/>
      <c r="BK105" s="35">
        <v>0</v>
      </c>
      <c r="BL105" s="35"/>
      <c r="BM105" s="35">
        <f t="shared" si="24"/>
        <v>0</v>
      </c>
      <c r="BN105" s="54" t="s">
        <v>347</v>
      </c>
    </row>
    <row r="106" spans="1:67">
      <c r="A106" s="35" t="s">
        <v>136</v>
      </c>
      <c r="C106" s="35" t="s">
        <v>136</v>
      </c>
      <c r="D106" s="35"/>
      <c r="E106" s="35">
        <f t="shared" si="22"/>
        <v>279306</v>
      </c>
      <c r="F106" s="35"/>
      <c r="G106" s="35">
        <v>250767</v>
      </c>
      <c r="H106" s="35"/>
      <c r="I106" s="35">
        <v>530073</v>
      </c>
      <c r="J106" s="35"/>
      <c r="K106" s="35">
        <f t="shared" si="23"/>
        <v>73605</v>
      </c>
      <c r="L106" s="35"/>
      <c r="M106" s="35">
        <v>88630</v>
      </c>
      <c r="N106" s="35"/>
      <c r="O106" s="35">
        <v>162235</v>
      </c>
      <c r="P106" s="35"/>
      <c r="Q106" s="35">
        <v>138567</v>
      </c>
      <c r="R106" s="35"/>
      <c r="S106" s="35">
        <v>0</v>
      </c>
      <c r="T106" s="35"/>
      <c r="U106" s="35">
        <v>229271</v>
      </c>
      <c r="V106" s="35"/>
      <c r="W106" s="35">
        <f t="shared" si="21"/>
        <v>367838</v>
      </c>
      <c r="X106" s="35"/>
      <c r="Y106" s="35" t="s">
        <v>136</v>
      </c>
      <c r="Z106" s="55"/>
      <c r="AA106" s="35" t="s">
        <v>136</v>
      </c>
      <c r="AB106" s="35"/>
      <c r="AC106" s="35">
        <v>649620</v>
      </c>
      <c r="AD106" s="35"/>
      <c r="AE106" s="35">
        <f>711807-51864</f>
        <v>659943</v>
      </c>
      <c r="AF106" s="35"/>
      <c r="AG106" s="35">
        <v>51864</v>
      </c>
      <c r="AH106" s="35"/>
      <c r="AI106" s="45">
        <f t="shared" si="19"/>
        <v>-62187</v>
      </c>
      <c r="AJ106" s="45"/>
      <c r="AK106" s="35">
        <v>-5261</v>
      </c>
      <c r="AL106" s="35"/>
      <c r="AM106" s="35">
        <v>0</v>
      </c>
      <c r="AN106" s="35"/>
      <c r="AO106" s="35">
        <v>0</v>
      </c>
      <c r="AP106" s="35"/>
      <c r="AQ106" s="35">
        <v>0</v>
      </c>
      <c r="AR106" s="35"/>
      <c r="AS106" s="45">
        <f t="shared" si="25"/>
        <v>-67448</v>
      </c>
      <c r="AT106" s="45"/>
      <c r="AU106" s="35">
        <v>0</v>
      </c>
      <c r="AV106" s="35"/>
      <c r="AW106" s="35">
        <v>0</v>
      </c>
      <c r="AX106" s="35"/>
      <c r="AY106" s="35">
        <f t="shared" si="20"/>
        <v>205701</v>
      </c>
      <c r="AZ106" s="35"/>
      <c r="BA106" s="35" t="s">
        <v>136</v>
      </c>
      <c r="BB106" s="55"/>
      <c r="BC106" s="35" t="s">
        <v>136</v>
      </c>
      <c r="BD106" s="35"/>
      <c r="BE106" s="35">
        <v>0</v>
      </c>
      <c r="BF106" s="35"/>
      <c r="BG106" s="35">
        <v>0</v>
      </c>
      <c r="BH106" s="35"/>
      <c r="BI106" s="35">
        <v>0</v>
      </c>
      <c r="BJ106" s="35"/>
      <c r="BK106" s="35">
        <f>88630+28050+3787</f>
        <v>120467</v>
      </c>
      <c r="BL106" s="35"/>
      <c r="BM106" s="35">
        <f t="shared" si="24"/>
        <v>120467</v>
      </c>
      <c r="BN106" s="54" t="s">
        <v>347</v>
      </c>
    </row>
    <row r="107" spans="1:67">
      <c r="A107" s="35" t="s">
        <v>137</v>
      </c>
      <c r="C107" s="35" t="s">
        <v>22</v>
      </c>
      <c r="D107" s="35"/>
      <c r="E107" s="35">
        <f t="shared" si="22"/>
        <v>195691</v>
      </c>
      <c r="F107" s="35"/>
      <c r="G107" s="35">
        <v>997</v>
      </c>
      <c r="H107" s="35"/>
      <c r="I107" s="35">
        <v>196688</v>
      </c>
      <c r="J107" s="35"/>
      <c r="K107" s="35">
        <f t="shared" si="23"/>
        <v>565954</v>
      </c>
      <c r="L107" s="35"/>
      <c r="M107" s="35">
        <v>519</v>
      </c>
      <c r="N107" s="35"/>
      <c r="O107" s="35">
        <v>566473</v>
      </c>
      <c r="P107" s="35"/>
      <c r="Q107" s="35">
        <v>997</v>
      </c>
      <c r="R107" s="35"/>
      <c r="S107" s="35">
        <v>0</v>
      </c>
      <c r="T107" s="35"/>
      <c r="U107" s="35">
        <v>-370782</v>
      </c>
      <c r="V107" s="35"/>
      <c r="W107" s="35">
        <f t="shared" ref="W107:W138" si="26">SUM(Q107:U107)</f>
        <v>-369785</v>
      </c>
      <c r="X107" s="35"/>
      <c r="Y107" s="35" t="s">
        <v>137</v>
      </c>
      <c r="Z107" s="55"/>
      <c r="AA107" s="35" t="s">
        <v>22</v>
      </c>
      <c r="AB107" s="35"/>
      <c r="AC107" s="35">
        <v>419696</v>
      </c>
      <c r="AD107" s="35"/>
      <c r="AE107" s="35">
        <f>453195-221</f>
        <v>452974</v>
      </c>
      <c r="AF107" s="35"/>
      <c r="AG107" s="35">
        <v>221</v>
      </c>
      <c r="AH107" s="35"/>
      <c r="AI107" s="45">
        <f t="shared" si="19"/>
        <v>-33499</v>
      </c>
      <c r="AJ107" s="45"/>
      <c r="AK107" s="35">
        <v>12500</v>
      </c>
      <c r="AL107" s="35"/>
      <c r="AM107" s="35">
        <v>0</v>
      </c>
      <c r="AN107" s="35"/>
      <c r="AO107" s="35">
        <v>0</v>
      </c>
      <c r="AP107" s="35"/>
      <c r="AQ107" s="35">
        <v>0</v>
      </c>
      <c r="AR107" s="35"/>
      <c r="AS107" s="45">
        <f t="shared" si="25"/>
        <v>-20999</v>
      </c>
      <c r="AT107" s="45"/>
      <c r="AU107" s="35">
        <v>0</v>
      </c>
      <c r="AV107" s="35"/>
      <c r="AW107" s="35">
        <v>0</v>
      </c>
      <c r="AX107" s="35"/>
      <c r="AY107" s="35">
        <f t="shared" si="20"/>
        <v>-370263</v>
      </c>
      <c r="AZ107" s="35"/>
      <c r="BA107" s="35" t="s">
        <v>137</v>
      </c>
      <c r="BB107" s="55"/>
      <c r="BC107" s="35" t="s">
        <v>22</v>
      </c>
      <c r="BD107" s="35"/>
      <c r="BE107" s="35">
        <v>0</v>
      </c>
      <c r="BF107" s="35"/>
      <c r="BG107" s="35">
        <v>0</v>
      </c>
      <c r="BH107" s="35"/>
      <c r="BI107" s="35">
        <v>0</v>
      </c>
      <c r="BJ107" s="35"/>
      <c r="BK107" s="35">
        <f>519+4273</f>
        <v>4792</v>
      </c>
      <c r="BL107" s="35"/>
      <c r="BM107" s="35">
        <f t="shared" si="24"/>
        <v>4792</v>
      </c>
      <c r="BN107" s="54" t="s">
        <v>347</v>
      </c>
    </row>
    <row r="108" spans="1:67" hidden="1">
      <c r="A108" s="35" t="s">
        <v>138</v>
      </c>
      <c r="C108" s="35" t="s">
        <v>139</v>
      </c>
      <c r="D108" s="35"/>
      <c r="E108" s="35">
        <f t="shared" si="22"/>
        <v>0</v>
      </c>
      <c r="F108" s="35"/>
      <c r="G108" s="35">
        <v>0</v>
      </c>
      <c r="H108" s="35"/>
      <c r="I108" s="35">
        <v>0</v>
      </c>
      <c r="J108" s="35"/>
      <c r="K108" s="35">
        <f t="shared" si="23"/>
        <v>0</v>
      </c>
      <c r="L108" s="35"/>
      <c r="M108" s="35">
        <v>0</v>
      </c>
      <c r="N108" s="35"/>
      <c r="O108" s="35">
        <v>0</v>
      </c>
      <c r="P108" s="35"/>
      <c r="Q108" s="35">
        <v>0</v>
      </c>
      <c r="R108" s="35"/>
      <c r="S108" s="35">
        <v>0</v>
      </c>
      <c r="T108" s="35"/>
      <c r="U108" s="35">
        <v>0</v>
      </c>
      <c r="V108" s="35"/>
      <c r="W108" s="35">
        <f t="shared" si="26"/>
        <v>0</v>
      </c>
      <c r="X108" s="35"/>
      <c r="Y108" s="35" t="s">
        <v>138</v>
      </c>
      <c r="Z108" s="55"/>
      <c r="AA108" s="35" t="s">
        <v>139</v>
      </c>
      <c r="AB108" s="35"/>
      <c r="AC108" s="35">
        <v>0</v>
      </c>
      <c r="AD108" s="35"/>
      <c r="AE108" s="35">
        <v>0</v>
      </c>
      <c r="AF108" s="35"/>
      <c r="AG108" s="35">
        <v>0</v>
      </c>
      <c r="AH108" s="35"/>
      <c r="AI108" s="45">
        <f t="shared" si="19"/>
        <v>0</v>
      </c>
      <c r="AJ108" s="45"/>
      <c r="AK108" s="35">
        <v>0</v>
      </c>
      <c r="AL108" s="35"/>
      <c r="AM108" s="35">
        <v>0</v>
      </c>
      <c r="AN108" s="35"/>
      <c r="AO108" s="35">
        <v>0</v>
      </c>
      <c r="AP108" s="35"/>
      <c r="AQ108" s="35">
        <v>0</v>
      </c>
      <c r="AR108" s="35"/>
      <c r="AS108" s="45">
        <f t="shared" si="25"/>
        <v>0</v>
      </c>
      <c r="AT108" s="45"/>
      <c r="AU108" s="35">
        <v>0</v>
      </c>
      <c r="AV108" s="35"/>
      <c r="AW108" s="35">
        <v>0</v>
      </c>
      <c r="AX108" s="35"/>
      <c r="AY108" s="35">
        <f t="shared" si="20"/>
        <v>0</v>
      </c>
      <c r="AZ108" s="35"/>
      <c r="BA108" s="35" t="s">
        <v>138</v>
      </c>
      <c r="BB108" s="55"/>
      <c r="BC108" s="35" t="s">
        <v>139</v>
      </c>
      <c r="BD108" s="35"/>
      <c r="BE108" s="35">
        <v>0</v>
      </c>
      <c r="BF108" s="35"/>
      <c r="BG108" s="35">
        <v>0</v>
      </c>
      <c r="BH108" s="35"/>
      <c r="BI108" s="35">
        <v>0</v>
      </c>
      <c r="BJ108" s="35"/>
      <c r="BK108" s="35">
        <v>0</v>
      </c>
      <c r="BL108" s="35"/>
      <c r="BM108" s="35">
        <f t="shared" si="24"/>
        <v>0</v>
      </c>
      <c r="BN108" s="54" t="s">
        <v>347</v>
      </c>
    </row>
    <row r="109" spans="1:67" hidden="1">
      <c r="A109" s="35" t="s">
        <v>140</v>
      </c>
      <c r="C109" s="35" t="s">
        <v>66</v>
      </c>
      <c r="D109" s="35"/>
      <c r="E109" s="35">
        <f t="shared" si="22"/>
        <v>0</v>
      </c>
      <c r="F109" s="35"/>
      <c r="G109" s="35">
        <v>0</v>
      </c>
      <c r="H109" s="35"/>
      <c r="I109" s="35">
        <v>0</v>
      </c>
      <c r="J109" s="35"/>
      <c r="K109" s="35">
        <f t="shared" si="23"/>
        <v>0</v>
      </c>
      <c r="L109" s="35"/>
      <c r="M109" s="35">
        <v>0</v>
      </c>
      <c r="N109" s="35"/>
      <c r="O109" s="35">
        <v>0</v>
      </c>
      <c r="P109" s="35"/>
      <c r="Q109" s="35">
        <v>0</v>
      </c>
      <c r="R109" s="35"/>
      <c r="S109" s="35">
        <v>0</v>
      </c>
      <c r="T109" s="35"/>
      <c r="U109" s="35">
        <v>0</v>
      </c>
      <c r="V109" s="35"/>
      <c r="W109" s="35">
        <f t="shared" si="26"/>
        <v>0</v>
      </c>
      <c r="X109" s="35"/>
      <c r="Y109" s="35" t="s">
        <v>140</v>
      </c>
      <c r="Z109" s="55"/>
      <c r="AA109" s="35" t="s">
        <v>66</v>
      </c>
      <c r="AB109" s="35"/>
      <c r="AC109" s="35">
        <v>0</v>
      </c>
      <c r="AD109" s="35"/>
      <c r="AE109" s="35">
        <v>0</v>
      </c>
      <c r="AF109" s="35"/>
      <c r="AG109" s="35">
        <v>0</v>
      </c>
      <c r="AH109" s="35"/>
      <c r="AI109" s="45">
        <f t="shared" si="19"/>
        <v>0</v>
      </c>
      <c r="AJ109" s="45"/>
      <c r="AK109" s="35">
        <v>0</v>
      </c>
      <c r="AL109" s="35"/>
      <c r="AM109" s="35">
        <v>0</v>
      </c>
      <c r="AN109" s="35"/>
      <c r="AO109" s="35">
        <v>0</v>
      </c>
      <c r="AP109" s="35"/>
      <c r="AQ109" s="35">
        <v>0</v>
      </c>
      <c r="AR109" s="35"/>
      <c r="AS109" s="45">
        <f t="shared" si="25"/>
        <v>0</v>
      </c>
      <c r="AT109" s="45"/>
      <c r="AU109" s="35">
        <v>0</v>
      </c>
      <c r="AV109" s="35"/>
      <c r="AW109" s="35">
        <v>0</v>
      </c>
      <c r="AX109" s="35"/>
      <c r="AY109" s="35">
        <f t="shared" si="20"/>
        <v>0</v>
      </c>
      <c r="AZ109" s="35"/>
      <c r="BA109" s="35" t="s">
        <v>140</v>
      </c>
      <c r="BB109" s="55"/>
      <c r="BC109" s="35" t="s">
        <v>66</v>
      </c>
      <c r="BD109" s="35"/>
      <c r="BE109" s="35">
        <v>0</v>
      </c>
      <c r="BF109" s="35"/>
      <c r="BG109" s="35">
        <v>0</v>
      </c>
      <c r="BH109" s="35"/>
      <c r="BI109" s="35">
        <v>0</v>
      </c>
      <c r="BJ109" s="35"/>
      <c r="BK109" s="35">
        <v>0</v>
      </c>
      <c r="BL109" s="35"/>
      <c r="BM109" s="35">
        <f t="shared" si="24"/>
        <v>0</v>
      </c>
      <c r="BN109" s="54" t="s">
        <v>347</v>
      </c>
    </row>
    <row r="110" spans="1:67" hidden="1">
      <c r="A110" s="35" t="s">
        <v>141</v>
      </c>
      <c r="C110" s="35" t="s">
        <v>27</v>
      </c>
      <c r="D110" s="35"/>
      <c r="E110" s="35">
        <f t="shared" si="22"/>
        <v>0</v>
      </c>
      <c r="F110" s="35"/>
      <c r="G110" s="35">
        <v>0</v>
      </c>
      <c r="H110" s="35"/>
      <c r="I110" s="35">
        <v>0</v>
      </c>
      <c r="J110" s="35"/>
      <c r="K110" s="35">
        <f t="shared" si="23"/>
        <v>0</v>
      </c>
      <c r="L110" s="35"/>
      <c r="M110" s="35">
        <v>0</v>
      </c>
      <c r="N110" s="35"/>
      <c r="O110" s="35">
        <v>0</v>
      </c>
      <c r="P110" s="35"/>
      <c r="Q110" s="35">
        <v>0</v>
      </c>
      <c r="R110" s="35"/>
      <c r="S110" s="35">
        <v>0</v>
      </c>
      <c r="T110" s="35"/>
      <c r="U110" s="35">
        <v>0</v>
      </c>
      <c r="V110" s="35"/>
      <c r="W110" s="35">
        <f t="shared" si="26"/>
        <v>0</v>
      </c>
      <c r="X110" s="35"/>
      <c r="Y110" s="35" t="s">
        <v>141</v>
      </c>
      <c r="Z110" s="55"/>
      <c r="AA110" s="35" t="s">
        <v>27</v>
      </c>
      <c r="AB110" s="35"/>
      <c r="AC110" s="35">
        <v>0</v>
      </c>
      <c r="AD110" s="35"/>
      <c r="AE110" s="35">
        <v>0</v>
      </c>
      <c r="AF110" s="35"/>
      <c r="AG110" s="35">
        <v>0</v>
      </c>
      <c r="AH110" s="35"/>
      <c r="AI110" s="45">
        <f t="shared" si="19"/>
        <v>0</v>
      </c>
      <c r="AJ110" s="45"/>
      <c r="AK110" s="35">
        <v>0</v>
      </c>
      <c r="AL110" s="35"/>
      <c r="AM110" s="35">
        <v>0</v>
      </c>
      <c r="AN110" s="35"/>
      <c r="AO110" s="35">
        <v>0</v>
      </c>
      <c r="AP110" s="35"/>
      <c r="AQ110" s="35">
        <v>0</v>
      </c>
      <c r="AR110" s="35"/>
      <c r="AS110" s="45">
        <f t="shared" si="25"/>
        <v>0</v>
      </c>
      <c r="AT110" s="45"/>
      <c r="AU110" s="35">
        <v>0</v>
      </c>
      <c r="AV110" s="35"/>
      <c r="AW110" s="35">
        <v>0</v>
      </c>
      <c r="AX110" s="35"/>
      <c r="AY110" s="35">
        <f t="shared" si="20"/>
        <v>0</v>
      </c>
      <c r="AZ110" s="35"/>
      <c r="BA110" s="35" t="s">
        <v>141</v>
      </c>
      <c r="BB110" s="55"/>
      <c r="BC110" s="35" t="s">
        <v>27</v>
      </c>
      <c r="BD110" s="35"/>
      <c r="BE110" s="35">
        <v>0</v>
      </c>
      <c r="BF110" s="35"/>
      <c r="BG110" s="35">
        <v>0</v>
      </c>
      <c r="BH110" s="35"/>
      <c r="BI110" s="35">
        <v>0</v>
      </c>
      <c r="BJ110" s="35"/>
      <c r="BK110" s="35">
        <v>0</v>
      </c>
      <c r="BL110" s="35"/>
      <c r="BM110" s="35">
        <f t="shared" si="24"/>
        <v>0</v>
      </c>
      <c r="BN110" s="54" t="s">
        <v>347</v>
      </c>
      <c r="BO110" s="55" t="s">
        <v>372</v>
      </c>
    </row>
    <row r="111" spans="1:67" s="140" customFormat="1" hidden="1">
      <c r="A111" s="126" t="s">
        <v>142</v>
      </c>
      <c r="B111" s="124"/>
      <c r="C111" s="126" t="s">
        <v>102</v>
      </c>
      <c r="D111" s="126"/>
      <c r="E111" s="126">
        <f t="shared" si="22"/>
        <v>0</v>
      </c>
      <c r="F111" s="126"/>
      <c r="G111" s="126">
        <v>0</v>
      </c>
      <c r="H111" s="126"/>
      <c r="I111" s="126">
        <v>0</v>
      </c>
      <c r="J111" s="126"/>
      <c r="K111" s="126">
        <f t="shared" si="23"/>
        <v>0</v>
      </c>
      <c r="L111" s="126"/>
      <c r="M111" s="126">
        <v>0</v>
      </c>
      <c r="N111" s="126"/>
      <c r="O111" s="126">
        <v>0</v>
      </c>
      <c r="P111" s="126"/>
      <c r="Q111" s="126">
        <v>0</v>
      </c>
      <c r="R111" s="126"/>
      <c r="S111" s="126">
        <v>0</v>
      </c>
      <c r="T111" s="126"/>
      <c r="U111" s="126">
        <v>0</v>
      </c>
      <c r="V111" s="126"/>
      <c r="W111" s="126">
        <f t="shared" si="26"/>
        <v>0</v>
      </c>
      <c r="X111" s="126"/>
      <c r="Y111" s="126" t="s">
        <v>142</v>
      </c>
      <c r="AA111" s="126" t="s">
        <v>102</v>
      </c>
      <c r="AB111" s="126"/>
      <c r="AC111" s="126">
        <v>0</v>
      </c>
      <c r="AD111" s="126"/>
      <c r="AE111" s="126">
        <v>0</v>
      </c>
      <c r="AF111" s="126"/>
      <c r="AG111" s="126">
        <v>0</v>
      </c>
      <c r="AH111" s="126"/>
      <c r="AI111" s="127">
        <f t="shared" si="19"/>
        <v>0</v>
      </c>
      <c r="AJ111" s="127"/>
      <c r="AK111" s="126">
        <v>0</v>
      </c>
      <c r="AL111" s="126"/>
      <c r="AM111" s="126">
        <v>0</v>
      </c>
      <c r="AN111" s="126"/>
      <c r="AO111" s="126">
        <v>0</v>
      </c>
      <c r="AP111" s="126"/>
      <c r="AQ111" s="126">
        <v>0</v>
      </c>
      <c r="AR111" s="126"/>
      <c r="AS111" s="127">
        <f t="shared" si="25"/>
        <v>0</v>
      </c>
      <c r="AT111" s="127"/>
      <c r="AU111" s="126">
        <v>0</v>
      </c>
      <c r="AV111" s="126"/>
      <c r="AW111" s="126">
        <v>0</v>
      </c>
      <c r="AX111" s="126"/>
      <c r="AY111" s="126">
        <f t="shared" si="20"/>
        <v>0</v>
      </c>
      <c r="AZ111" s="126"/>
      <c r="BA111" s="126" t="s">
        <v>142</v>
      </c>
      <c r="BC111" s="126" t="s">
        <v>102</v>
      </c>
      <c r="BD111" s="126"/>
      <c r="BE111" s="126">
        <v>0</v>
      </c>
      <c r="BF111" s="126"/>
      <c r="BG111" s="126">
        <v>0</v>
      </c>
      <c r="BH111" s="126"/>
      <c r="BI111" s="126">
        <v>0</v>
      </c>
      <c r="BJ111" s="126"/>
      <c r="BK111" s="126">
        <v>0</v>
      </c>
      <c r="BL111" s="126"/>
      <c r="BM111" s="126">
        <f t="shared" si="24"/>
        <v>0</v>
      </c>
      <c r="BN111" s="139" t="s">
        <v>347</v>
      </c>
      <c r="BO111" s="140" t="s">
        <v>372</v>
      </c>
    </row>
    <row r="112" spans="1:67">
      <c r="A112" s="35" t="s">
        <v>143</v>
      </c>
      <c r="C112" s="35" t="s">
        <v>111</v>
      </c>
      <c r="D112" s="35"/>
      <c r="E112" s="35">
        <f t="shared" si="22"/>
        <v>488358</v>
      </c>
      <c r="F112" s="35"/>
      <c r="G112" s="35">
        <v>143057</v>
      </c>
      <c r="H112" s="35"/>
      <c r="I112" s="35">
        <v>631415</v>
      </c>
      <c r="J112" s="35"/>
      <c r="K112" s="35">
        <f t="shared" si="23"/>
        <v>118692</v>
      </c>
      <c r="L112" s="35"/>
      <c r="M112" s="35">
        <v>7461</v>
      </c>
      <c r="N112" s="35"/>
      <c r="O112" s="35">
        <v>126153</v>
      </c>
      <c r="P112" s="35"/>
      <c r="Q112" s="35">
        <v>143057</v>
      </c>
      <c r="R112" s="35"/>
      <c r="S112" s="35">
        <v>0</v>
      </c>
      <c r="T112" s="35"/>
      <c r="U112" s="35">
        <v>362205</v>
      </c>
      <c r="V112" s="35"/>
      <c r="W112" s="35">
        <f t="shared" si="26"/>
        <v>505262</v>
      </c>
      <c r="X112" s="35"/>
      <c r="Y112" s="35" t="s">
        <v>143</v>
      </c>
      <c r="Z112" s="55"/>
      <c r="AA112" s="35" t="s">
        <v>111</v>
      </c>
      <c r="AB112" s="35"/>
      <c r="AC112" s="35">
        <v>1463770</v>
      </c>
      <c r="AD112" s="35"/>
      <c r="AE112" s="35">
        <f>1511568-17810</f>
        <v>1493758</v>
      </c>
      <c r="AF112" s="35"/>
      <c r="AG112" s="35">
        <v>17810</v>
      </c>
      <c r="AH112" s="35"/>
      <c r="AI112" s="45">
        <f t="shared" si="19"/>
        <v>-47798</v>
      </c>
      <c r="AJ112" s="45"/>
      <c r="AK112" s="35">
        <v>-2482</v>
      </c>
      <c r="AL112" s="35"/>
      <c r="AM112" s="35">
        <v>0</v>
      </c>
      <c r="AN112" s="35"/>
      <c r="AO112" s="35">
        <v>0</v>
      </c>
      <c r="AP112" s="35"/>
      <c r="AQ112" s="35">
        <v>0</v>
      </c>
      <c r="AR112" s="35"/>
      <c r="AS112" s="45">
        <f t="shared" si="25"/>
        <v>-50280</v>
      </c>
      <c r="AT112" s="45"/>
      <c r="AU112" s="35">
        <v>0</v>
      </c>
      <c r="AV112" s="35"/>
      <c r="AW112" s="35">
        <v>0</v>
      </c>
      <c r="AX112" s="35"/>
      <c r="AY112" s="35">
        <f t="shared" si="20"/>
        <v>369666</v>
      </c>
      <c r="AZ112" s="35"/>
      <c r="BA112" s="35" t="s">
        <v>143</v>
      </c>
      <c r="BB112" s="55"/>
      <c r="BC112" s="35" t="s">
        <v>111</v>
      </c>
      <c r="BD112" s="35"/>
      <c r="BE112" s="35">
        <v>0</v>
      </c>
      <c r="BF112" s="35"/>
      <c r="BG112" s="35">
        <v>0</v>
      </c>
      <c r="BH112" s="35"/>
      <c r="BI112" s="35">
        <v>0</v>
      </c>
      <c r="BJ112" s="35"/>
      <c r="BK112" s="35">
        <f>7461+3582</f>
        <v>11043</v>
      </c>
      <c r="BL112" s="35"/>
      <c r="BM112" s="35">
        <f t="shared" si="24"/>
        <v>11043</v>
      </c>
      <c r="BN112" s="54" t="s">
        <v>347</v>
      </c>
      <c r="BO112" s="55" t="s">
        <v>315</v>
      </c>
    </row>
    <row r="113" spans="1:66">
      <c r="A113" s="35" t="s">
        <v>144</v>
      </c>
      <c r="C113" s="35" t="s">
        <v>88</v>
      </c>
      <c r="D113" s="35"/>
      <c r="E113" s="35">
        <f t="shared" si="22"/>
        <v>1366163</v>
      </c>
      <c r="F113" s="35"/>
      <c r="G113" s="35">
        <v>0</v>
      </c>
      <c r="H113" s="35"/>
      <c r="I113" s="35">
        <v>1366163</v>
      </c>
      <c r="J113" s="35"/>
      <c r="K113" s="35">
        <f t="shared" si="23"/>
        <v>160283</v>
      </c>
      <c r="L113" s="35"/>
      <c r="M113" s="35">
        <v>18640</v>
      </c>
      <c r="N113" s="35"/>
      <c r="O113" s="35">
        <v>178923</v>
      </c>
      <c r="P113" s="35"/>
      <c r="Q113" s="35">
        <v>0</v>
      </c>
      <c r="R113" s="35"/>
      <c r="S113" s="35">
        <v>0</v>
      </c>
      <c r="T113" s="35"/>
      <c r="U113" s="35">
        <v>1187240</v>
      </c>
      <c r="V113" s="35"/>
      <c r="W113" s="35">
        <f t="shared" si="26"/>
        <v>1187240</v>
      </c>
      <c r="X113" s="35"/>
      <c r="Y113" s="35" t="s">
        <v>144</v>
      </c>
      <c r="Z113" s="55"/>
      <c r="AA113" s="35" t="s">
        <v>88</v>
      </c>
      <c r="AB113" s="35"/>
      <c r="AC113" s="35">
        <v>2889606</v>
      </c>
      <c r="AD113" s="35"/>
      <c r="AE113" s="35">
        <v>2598452</v>
      </c>
      <c r="AF113" s="35"/>
      <c r="AG113" s="35">
        <v>0</v>
      </c>
      <c r="AH113" s="35"/>
      <c r="AI113" s="45">
        <f t="shared" si="19"/>
        <v>291154</v>
      </c>
      <c r="AJ113" s="45"/>
      <c r="AK113" s="35">
        <v>0</v>
      </c>
      <c r="AL113" s="35"/>
      <c r="AM113" s="35">
        <v>0</v>
      </c>
      <c r="AN113" s="35"/>
      <c r="AO113" s="35">
        <v>0</v>
      </c>
      <c r="AP113" s="35"/>
      <c r="AQ113" s="35">
        <v>0</v>
      </c>
      <c r="AR113" s="35"/>
      <c r="AS113" s="45">
        <f t="shared" si="25"/>
        <v>291154</v>
      </c>
      <c r="AT113" s="45"/>
      <c r="AU113" s="35">
        <v>0</v>
      </c>
      <c r="AV113" s="35"/>
      <c r="AW113" s="35">
        <v>0</v>
      </c>
      <c r="AX113" s="35"/>
      <c r="AY113" s="35">
        <f t="shared" si="20"/>
        <v>1205880</v>
      </c>
      <c r="AZ113" s="35"/>
      <c r="BA113" s="35" t="s">
        <v>144</v>
      </c>
      <c r="BB113" s="55"/>
      <c r="BC113" s="35" t="s">
        <v>88</v>
      </c>
      <c r="BD113" s="35"/>
      <c r="BE113" s="35">
        <v>0</v>
      </c>
      <c r="BF113" s="35"/>
      <c r="BG113" s="35">
        <v>0</v>
      </c>
      <c r="BH113" s="35"/>
      <c r="BI113" s="35">
        <v>0</v>
      </c>
      <c r="BJ113" s="35"/>
      <c r="BK113" s="35">
        <v>18640</v>
      </c>
      <c r="BL113" s="35"/>
      <c r="BM113" s="35">
        <f t="shared" si="24"/>
        <v>18640</v>
      </c>
      <c r="BN113" s="54" t="s">
        <v>347</v>
      </c>
    </row>
    <row r="114" spans="1:66" hidden="1">
      <c r="A114" s="35" t="s">
        <v>36</v>
      </c>
      <c r="C114" s="35" t="s">
        <v>145</v>
      </c>
      <c r="D114" s="35"/>
      <c r="E114" s="35">
        <f t="shared" si="22"/>
        <v>0</v>
      </c>
      <c r="F114" s="35"/>
      <c r="G114" s="35">
        <v>0</v>
      </c>
      <c r="H114" s="35"/>
      <c r="I114" s="35">
        <v>0</v>
      </c>
      <c r="J114" s="35"/>
      <c r="K114" s="35">
        <f t="shared" si="23"/>
        <v>0</v>
      </c>
      <c r="L114" s="35"/>
      <c r="M114" s="35">
        <v>0</v>
      </c>
      <c r="N114" s="35"/>
      <c r="O114" s="35">
        <v>0</v>
      </c>
      <c r="P114" s="35"/>
      <c r="Q114" s="35">
        <v>0</v>
      </c>
      <c r="R114" s="35"/>
      <c r="S114" s="35">
        <v>0</v>
      </c>
      <c r="T114" s="35"/>
      <c r="U114" s="35">
        <v>0</v>
      </c>
      <c r="V114" s="35"/>
      <c r="W114" s="35">
        <f t="shared" si="26"/>
        <v>0</v>
      </c>
      <c r="X114" s="35"/>
      <c r="Y114" s="35" t="s">
        <v>36</v>
      </c>
      <c r="Z114" s="55"/>
      <c r="AA114" s="35" t="s">
        <v>145</v>
      </c>
      <c r="AB114" s="35"/>
      <c r="AC114" s="35">
        <v>0</v>
      </c>
      <c r="AD114" s="35"/>
      <c r="AE114" s="35">
        <v>0</v>
      </c>
      <c r="AF114" s="35"/>
      <c r="AG114" s="35">
        <v>0</v>
      </c>
      <c r="AH114" s="35"/>
      <c r="AI114" s="45">
        <f t="shared" si="19"/>
        <v>0</v>
      </c>
      <c r="AJ114" s="45"/>
      <c r="AK114" s="35">
        <v>0</v>
      </c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25"/>
        <v>0</v>
      </c>
      <c r="AT114" s="45"/>
      <c r="AU114" s="35">
        <v>0</v>
      </c>
      <c r="AV114" s="35"/>
      <c r="AW114" s="35">
        <v>0</v>
      </c>
      <c r="AX114" s="35"/>
      <c r="AY114" s="35">
        <f t="shared" si="20"/>
        <v>0</v>
      </c>
      <c r="AZ114" s="35"/>
      <c r="BA114" s="35" t="s">
        <v>36</v>
      </c>
      <c r="BB114" s="55"/>
      <c r="BC114" s="35" t="s">
        <v>145</v>
      </c>
      <c r="BD114" s="35"/>
      <c r="BE114" s="35">
        <v>0</v>
      </c>
      <c r="BF114" s="35"/>
      <c r="BG114" s="35">
        <v>0</v>
      </c>
      <c r="BH114" s="35"/>
      <c r="BI114" s="35">
        <v>0</v>
      </c>
      <c r="BJ114" s="35"/>
      <c r="BK114" s="35">
        <v>0</v>
      </c>
      <c r="BL114" s="35"/>
      <c r="BM114" s="35">
        <f t="shared" si="24"/>
        <v>0</v>
      </c>
      <c r="BN114" s="54" t="s">
        <v>347</v>
      </c>
    </row>
    <row r="115" spans="1:66">
      <c r="A115" s="35" t="s">
        <v>146</v>
      </c>
      <c r="C115" s="35" t="s">
        <v>147</v>
      </c>
      <c r="D115" s="35"/>
      <c r="E115" s="35">
        <f t="shared" si="22"/>
        <v>1089597</v>
      </c>
      <c r="F115" s="35"/>
      <c r="G115" s="35">
        <v>631938</v>
      </c>
      <c r="H115" s="35"/>
      <c r="I115" s="35">
        <v>1721535</v>
      </c>
      <c r="J115" s="35"/>
      <c r="K115" s="35">
        <f t="shared" si="23"/>
        <v>75288</v>
      </c>
      <c r="L115" s="35"/>
      <c r="M115" s="35">
        <v>28085</v>
      </c>
      <c r="N115" s="35"/>
      <c r="O115" s="35">
        <v>103373</v>
      </c>
      <c r="P115" s="35"/>
      <c r="Q115" s="35">
        <v>587069</v>
      </c>
      <c r="R115" s="35"/>
      <c r="S115" s="35">
        <v>0</v>
      </c>
      <c r="T115" s="35"/>
      <c r="U115" s="35">
        <v>1031093</v>
      </c>
      <c r="V115" s="35"/>
      <c r="W115" s="35">
        <f t="shared" si="26"/>
        <v>1618162</v>
      </c>
      <c r="X115" s="35"/>
      <c r="Y115" s="35" t="s">
        <v>146</v>
      </c>
      <c r="Z115" s="55"/>
      <c r="AA115" s="35" t="s">
        <v>147</v>
      </c>
      <c r="AB115" s="35"/>
      <c r="AC115" s="35">
        <v>915176</v>
      </c>
      <c r="AD115" s="35"/>
      <c r="AE115" s="35">
        <f>876855-45891</f>
        <v>830964</v>
      </c>
      <c r="AF115" s="35"/>
      <c r="AG115" s="35">
        <v>45891</v>
      </c>
      <c r="AH115" s="35"/>
      <c r="AI115" s="45">
        <f t="shared" si="19"/>
        <v>38321</v>
      </c>
      <c r="AJ115" s="45"/>
      <c r="AK115" s="35">
        <v>-2639</v>
      </c>
      <c r="AL115" s="35"/>
      <c r="AM115" s="35">
        <v>0</v>
      </c>
      <c r="AN115" s="35"/>
      <c r="AO115" s="35">
        <v>0</v>
      </c>
      <c r="AP115" s="35"/>
      <c r="AQ115" s="35">
        <v>0</v>
      </c>
      <c r="AR115" s="35"/>
      <c r="AS115" s="45">
        <f t="shared" si="25"/>
        <v>35682</v>
      </c>
      <c r="AT115" s="45"/>
      <c r="AU115" s="35">
        <v>0</v>
      </c>
      <c r="AV115" s="35"/>
      <c r="AW115" s="35">
        <v>0</v>
      </c>
      <c r="AX115" s="35"/>
      <c r="AY115" s="35">
        <f t="shared" si="20"/>
        <v>1014309</v>
      </c>
      <c r="AZ115" s="35"/>
      <c r="BA115" s="35" t="s">
        <v>146</v>
      </c>
      <c r="BB115" s="55"/>
      <c r="BC115" s="35" t="s">
        <v>147</v>
      </c>
      <c r="BD115" s="35"/>
      <c r="BE115" s="35">
        <v>0</v>
      </c>
      <c r="BF115" s="35"/>
      <c r="BG115" s="35">
        <v>0</v>
      </c>
      <c r="BH115" s="35"/>
      <c r="BI115" s="35">
        <v>0</v>
      </c>
      <c r="BJ115" s="35"/>
      <c r="BK115" s="35">
        <f>28085+6636+24006</f>
        <v>58727</v>
      </c>
      <c r="BL115" s="35"/>
      <c r="BM115" s="35">
        <f t="shared" si="24"/>
        <v>58727</v>
      </c>
      <c r="BN115" s="54" t="s">
        <v>347</v>
      </c>
    </row>
    <row r="116" spans="1:66" hidden="1">
      <c r="A116" s="35" t="s">
        <v>17</v>
      </c>
      <c r="C116" s="35" t="s">
        <v>17</v>
      </c>
      <c r="D116" s="35"/>
      <c r="E116" s="35">
        <f t="shared" ref="E116:E121" si="27">I116-G116</f>
        <v>0</v>
      </c>
      <c r="F116" s="35"/>
      <c r="G116" s="35">
        <v>0</v>
      </c>
      <c r="H116" s="35"/>
      <c r="I116" s="35">
        <v>0</v>
      </c>
      <c r="J116" s="35"/>
      <c r="K116" s="35">
        <f t="shared" ref="K116:K121" si="28">O116-M116</f>
        <v>0</v>
      </c>
      <c r="L116" s="35"/>
      <c r="M116" s="35">
        <v>0</v>
      </c>
      <c r="N116" s="35"/>
      <c r="O116" s="35">
        <v>0</v>
      </c>
      <c r="P116" s="35"/>
      <c r="Q116" s="35">
        <v>0</v>
      </c>
      <c r="R116" s="35"/>
      <c r="S116" s="35">
        <v>0</v>
      </c>
      <c r="T116" s="35"/>
      <c r="U116" s="35">
        <v>0</v>
      </c>
      <c r="V116" s="35"/>
      <c r="W116" s="35">
        <f t="shared" si="26"/>
        <v>0</v>
      </c>
      <c r="X116" s="35"/>
      <c r="Y116" s="35" t="s">
        <v>17</v>
      </c>
      <c r="Z116" s="55"/>
      <c r="AA116" s="35" t="s">
        <v>17</v>
      </c>
      <c r="AB116" s="35"/>
      <c r="AC116" s="35">
        <v>0</v>
      </c>
      <c r="AD116" s="35"/>
      <c r="AE116" s="35">
        <v>0</v>
      </c>
      <c r="AF116" s="35"/>
      <c r="AG116" s="35">
        <v>0</v>
      </c>
      <c r="AH116" s="35"/>
      <c r="AI116" s="45">
        <f t="shared" si="19"/>
        <v>0</v>
      </c>
      <c r="AJ116" s="45"/>
      <c r="AK116" s="35">
        <v>0</v>
      </c>
      <c r="AL116" s="35"/>
      <c r="AM116" s="35">
        <v>0</v>
      </c>
      <c r="AN116" s="35"/>
      <c r="AO116" s="35">
        <v>0</v>
      </c>
      <c r="AP116" s="35"/>
      <c r="AQ116" s="35">
        <v>0</v>
      </c>
      <c r="AR116" s="35"/>
      <c r="AS116" s="45">
        <f t="shared" si="25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0"/>
        <v>0</v>
      </c>
      <c r="AZ116" s="35"/>
      <c r="BA116" s="35" t="s">
        <v>17</v>
      </c>
      <c r="BB116" s="55"/>
      <c r="BC116" s="35" t="s">
        <v>17</v>
      </c>
      <c r="BD116" s="35"/>
      <c r="BE116" s="35">
        <v>0</v>
      </c>
      <c r="BF116" s="35"/>
      <c r="BG116" s="35">
        <v>0</v>
      </c>
      <c r="BH116" s="35"/>
      <c r="BI116" s="35">
        <v>0</v>
      </c>
      <c r="BJ116" s="35"/>
      <c r="BK116" s="35">
        <v>0</v>
      </c>
      <c r="BL116" s="35"/>
      <c r="BM116" s="35">
        <f t="shared" si="24"/>
        <v>0</v>
      </c>
      <c r="BN116" s="54" t="s">
        <v>347</v>
      </c>
    </row>
    <row r="117" spans="1:66" hidden="1">
      <c r="A117" s="35" t="s">
        <v>148</v>
      </c>
      <c r="C117" s="35" t="s">
        <v>15</v>
      </c>
      <c r="D117" s="35"/>
      <c r="E117" s="35">
        <f t="shared" si="27"/>
        <v>0</v>
      </c>
      <c r="F117" s="35"/>
      <c r="G117" s="35">
        <v>0</v>
      </c>
      <c r="H117" s="35"/>
      <c r="I117" s="35">
        <v>0</v>
      </c>
      <c r="J117" s="35"/>
      <c r="K117" s="35">
        <f t="shared" si="28"/>
        <v>0</v>
      </c>
      <c r="L117" s="35"/>
      <c r="M117" s="35">
        <v>0</v>
      </c>
      <c r="N117" s="35"/>
      <c r="O117" s="35">
        <v>0</v>
      </c>
      <c r="P117" s="35"/>
      <c r="Q117" s="35">
        <v>0</v>
      </c>
      <c r="R117" s="35"/>
      <c r="S117" s="35">
        <v>0</v>
      </c>
      <c r="T117" s="35"/>
      <c r="U117" s="35">
        <v>0</v>
      </c>
      <c r="V117" s="35"/>
      <c r="W117" s="35">
        <f t="shared" si="26"/>
        <v>0</v>
      </c>
      <c r="X117" s="35"/>
      <c r="Y117" s="35" t="s">
        <v>148</v>
      </c>
      <c r="Z117" s="55"/>
      <c r="AA117" s="35" t="s">
        <v>15</v>
      </c>
      <c r="AB117" s="35"/>
      <c r="AC117" s="35">
        <v>0</v>
      </c>
      <c r="AD117" s="35"/>
      <c r="AE117" s="35">
        <v>0</v>
      </c>
      <c r="AF117" s="35"/>
      <c r="AG117" s="35">
        <v>0</v>
      </c>
      <c r="AH117" s="35"/>
      <c r="AI117" s="45">
        <f t="shared" si="19"/>
        <v>0</v>
      </c>
      <c r="AJ117" s="45"/>
      <c r="AK117" s="35">
        <v>0</v>
      </c>
      <c r="AL117" s="35"/>
      <c r="AM117" s="35">
        <v>0</v>
      </c>
      <c r="AN117" s="35"/>
      <c r="AO117" s="35">
        <v>0</v>
      </c>
      <c r="AP117" s="35"/>
      <c r="AQ117" s="35">
        <v>0</v>
      </c>
      <c r="AR117" s="35"/>
      <c r="AS117" s="45">
        <f t="shared" si="25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0"/>
        <v>0</v>
      </c>
      <c r="AZ117" s="35"/>
      <c r="BA117" s="35" t="s">
        <v>148</v>
      </c>
      <c r="BB117" s="55"/>
      <c r="BC117" s="35" t="s">
        <v>15</v>
      </c>
      <c r="BD117" s="35"/>
      <c r="BE117" s="35">
        <v>0</v>
      </c>
      <c r="BF117" s="35"/>
      <c r="BG117" s="35">
        <v>0</v>
      </c>
      <c r="BH117" s="35"/>
      <c r="BI117" s="35">
        <v>0</v>
      </c>
      <c r="BJ117" s="35"/>
      <c r="BK117" s="35">
        <v>0</v>
      </c>
      <c r="BL117" s="35"/>
      <c r="BM117" s="35">
        <f t="shared" si="24"/>
        <v>0</v>
      </c>
      <c r="BN117" s="54" t="s">
        <v>347</v>
      </c>
    </row>
    <row r="118" spans="1:66" hidden="1">
      <c r="A118" s="35" t="s">
        <v>149</v>
      </c>
      <c r="C118" s="35" t="s">
        <v>45</v>
      </c>
      <c r="D118" s="35"/>
      <c r="E118" s="35">
        <f t="shared" si="27"/>
        <v>0</v>
      </c>
      <c r="F118" s="35"/>
      <c r="G118" s="35">
        <v>0</v>
      </c>
      <c r="H118" s="35"/>
      <c r="I118" s="35">
        <v>0</v>
      </c>
      <c r="J118" s="35"/>
      <c r="K118" s="35">
        <f t="shared" si="28"/>
        <v>0</v>
      </c>
      <c r="L118" s="35"/>
      <c r="M118" s="35">
        <v>0</v>
      </c>
      <c r="N118" s="35"/>
      <c r="O118" s="35">
        <v>0</v>
      </c>
      <c r="P118" s="35"/>
      <c r="Q118" s="35">
        <v>0</v>
      </c>
      <c r="R118" s="35"/>
      <c r="S118" s="35">
        <v>0</v>
      </c>
      <c r="T118" s="35"/>
      <c r="U118" s="35">
        <v>0</v>
      </c>
      <c r="V118" s="35"/>
      <c r="W118" s="35">
        <f t="shared" si="26"/>
        <v>0</v>
      </c>
      <c r="X118" s="35"/>
      <c r="Y118" s="35" t="s">
        <v>149</v>
      </c>
      <c r="Z118" s="55"/>
      <c r="AA118" s="35" t="s">
        <v>45</v>
      </c>
      <c r="AB118" s="35"/>
      <c r="AC118" s="35">
        <v>0</v>
      </c>
      <c r="AD118" s="35"/>
      <c r="AE118" s="35">
        <v>0</v>
      </c>
      <c r="AF118" s="35"/>
      <c r="AG118" s="35">
        <v>0</v>
      </c>
      <c r="AH118" s="35"/>
      <c r="AI118" s="45">
        <f t="shared" ref="AI118:AI181" si="29">+AC118-AE118-AG118</f>
        <v>0</v>
      </c>
      <c r="AJ118" s="45"/>
      <c r="AK118" s="35">
        <v>0</v>
      </c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25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0"/>
        <v>0</v>
      </c>
      <c r="AZ118" s="35"/>
      <c r="BA118" s="35" t="s">
        <v>149</v>
      </c>
      <c r="BB118" s="55"/>
      <c r="BC118" s="35" t="s">
        <v>45</v>
      </c>
      <c r="BD118" s="35"/>
      <c r="BE118" s="35">
        <v>0</v>
      </c>
      <c r="BF118" s="35"/>
      <c r="BG118" s="35">
        <v>0</v>
      </c>
      <c r="BH118" s="35"/>
      <c r="BI118" s="35">
        <v>0</v>
      </c>
      <c r="BJ118" s="35"/>
      <c r="BK118" s="35">
        <v>0</v>
      </c>
      <c r="BL118" s="35"/>
      <c r="BM118" s="35">
        <f t="shared" si="24"/>
        <v>0</v>
      </c>
      <c r="BN118" s="54" t="s">
        <v>347</v>
      </c>
    </row>
    <row r="119" spans="1:66" hidden="1">
      <c r="A119" s="35" t="s">
        <v>150</v>
      </c>
      <c r="C119" s="35" t="s">
        <v>27</v>
      </c>
      <c r="D119" s="35"/>
      <c r="E119" s="35">
        <f t="shared" si="27"/>
        <v>0</v>
      </c>
      <c r="F119" s="35"/>
      <c r="G119" s="35">
        <v>0</v>
      </c>
      <c r="H119" s="35"/>
      <c r="I119" s="35">
        <v>0</v>
      </c>
      <c r="J119" s="35"/>
      <c r="K119" s="35">
        <f t="shared" si="28"/>
        <v>0</v>
      </c>
      <c r="L119" s="35"/>
      <c r="M119" s="35">
        <v>0</v>
      </c>
      <c r="N119" s="35"/>
      <c r="O119" s="35">
        <v>0</v>
      </c>
      <c r="P119" s="35"/>
      <c r="Q119" s="35">
        <v>0</v>
      </c>
      <c r="R119" s="35"/>
      <c r="S119" s="35">
        <v>0</v>
      </c>
      <c r="T119" s="35"/>
      <c r="U119" s="35">
        <v>0</v>
      </c>
      <c r="V119" s="35"/>
      <c r="W119" s="35">
        <f t="shared" si="26"/>
        <v>0</v>
      </c>
      <c r="X119" s="35"/>
      <c r="Y119" s="35" t="s">
        <v>150</v>
      </c>
      <c r="Z119" s="55"/>
      <c r="AA119" s="35" t="s">
        <v>27</v>
      </c>
      <c r="AB119" s="35"/>
      <c r="AC119" s="35">
        <v>0</v>
      </c>
      <c r="AD119" s="35"/>
      <c r="AE119" s="35">
        <v>0</v>
      </c>
      <c r="AF119" s="35"/>
      <c r="AG119" s="35">
        <v>0</v>
      </c>
      <c r="AH119" s="35"/>
      <c r="AI119" s="45">
        <f t="shared" si="29"/>
        <v>0</v>
      </c>
      <c r="AJ119" s="45"/>
      <c r="AK119" s="35">
        <v>0</v>
      </c>
      <c r="AL119" s="35"/>
      <c r="AM119" s="35">
        <v>0</v>
      </c>
      <c r="AN119" s="35"/>
      <c r="AO119" s="35">
        <v>0</v>
      </c>
      <c r="AP119" s="35"/>
      <c r="AQ119" s="35">
        <v>0</v>
      </c>
      <c r="AR119" s="35"/>
      <c r="AS119" s="45">
        <f t="shared" si="25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0"/>
        <v>0</v>
      </c>
      <c r="AZ119" s="35"/>
      <c r="BA119" s="35" t="s">
        <v>150</v>
      </c>
      <c r="BB119" s="55"/>
      <c r="BC119" s="35" t="s">
        <v>27</v>
      </c>
      <c r="BD119" s="35"/>
      <c r="BE119" s="35">
        <v>0</v>
      </c>
      <c r="BF119" s="35"/>
      <c r="BG119" s="35">
        <v>0</v>
      </c>
      <c r="BH119" s="35"/>
      <c r="BI119" s="35">
        <v>0</v>
      </c>
      <c r="BJ119" s="35"/>
      <c r="BK119" s="35">
        <v>0</v>
      </c>
      <c r="BL119" s="35"/>
      <c r="BM119" s="35">
        <f t="shared" si="24"/>
        <v>0</v>
      </c>
      <c r="BN119" s="54" t="s">
        <v>347</v>
      </c>
    </row>
    <row r="120" spans="1:66" hidden="1">
      <c r="A120" s="35" t="s">
        <v>151</v>
      </c>
      <c r="C120" s="35" t="s">
        <v>13</v>
      </c>
      <c r="D120" s="35"/>
      <c r="E120" s="35">
        <f t="shared" si="27"/>
        <v>0</v>
      </c>
      <c r="F120" s="35"/>
      <c r="G120" s="35">
        <v>0</v>
      </c>
      <c r="H120" s="35"/>
      <c r="I120" s="35">
        <v>0</v>
      </c>
      <c r="J120" s="35"/>
      <c r="K120" s="35">
        <f t="shared" si="28"/>
        <v>0</v>
      </c>
      <c r="L120" s="35"/>
      <c r="M120" s="35">
        <v>0</v>
      </c>
      <c r="N120" s="35"/>
      <c r="O120" s="35">
        <v>0</v>
      </c>
      <c r="P120" s="35"/>
      <c r="Q120" s="35">
        <v>0</v>
      </c>
      <c r="R120" s="35"/>
      <c r="S120" s="35">
        <v>0</v>
      </c>
      <c r="T120" s="35"/>
      <c r="U120" s="35">
        <v>0</v>
      </c>
      <c r="V120" s="35"/>
      <c r="W120" s="35">
        <f t="shared" si="26"/>
        <v>0</v>
      </c>
      <c r="X120" s="35"/>
      <c r="Y120" s="35" t="s">
        <v>151</v>
      </c>
      <c r="Z120" s="55"/>
      <c r="AA120" s="35" t="s">
        <v>13</v>
      </c>
      <c r="AB120" s="35"/>
      <c r="AC120" s="35">
        <v>0</v>
      </c>
      <c r="AD120" s="35"/>
      <c r="AE120" s="35">
        <v>0</v>
      </c>
      <c r="AF120" s="35"/>
      <c r="AG120" s="35">
        <v>0</v>
      </c>
      <c r="AH120" s="35"/>
      <c r="AI120" s="45">
        <f t="shared" si="29"/>
        <v>0</v>
      </c>
      <c r="AJ120" s="45"/>
      <c r="AK120" s="35">
        <v>0</v>
      </c>
      <c r="AL120" s="35"/>
      <c r="AM120" s="35">
        <v>0</v>
      </c>
      <c r="AN120" s="35"/>
      <c r="AO120" s="35">
        <v>0</v>
      </c>
      <c r="AP120" s="35"/>
      <c r="AQ120" s="35">
        <v>0</v>
      </c>
      <c r="AR120" s="35"/>
      <c r="AS120" s="45">
        <f t="shared" si="25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0"/>
        <v>0</v>
      </c>
      <c r="AZ120" s="35"/>
      <c r="BA120" s="35" t="s">
        <v>151</v>
      </c>
      <c r="BB120" s="55"/>
      <c r="BC120" s="35" t="s">
        <v>13</v>
      </c>
      <c r="BD120" s="35"/>
      <c r="BE120" s="35">
        <v>0</v>
      </c>
      <c r="BF120" s="35"/>
      <c r="BG120" s="35">
        <v>0</v>
      </c>
      <c r="BH120" s="35"/>
      <c r="BI120" s="35">
        <v>0</v>
      </c>
      <c r="BJ120" s="35"/>
      <c r="BK120" s="35">
        <v>0</v>
      </c>
      <c r="BL120" s="35"/>
      <c r="BM120" s="35">
        <f t="shared" si="24"/>
        <v>0</v>
      </c>
      <c r="BN120" s="54" t="s">
        <v>347</v>
      </c>
    </row>
    <row r="121" spans="1:66" hidden="1">
      <c r="A121" s="35" t="s">
        <v>152</v>
      </c>
      <c r="C121" s="35" t="s">
        <v>153</v>
      </c>
      <c r="D121" s="35"/>
      <c r="E121" s="35">
        <f t="shared" si="27"/>
        <v>0</v>
      </c>
      <c r="F121" s="35"/>
      <c r="G121" s="35">
        <v>0</v>
      </c>
      <c r="H121" s="35"/>
      <c r="I121" s="35">
        <v>0</v>
      </c>
      <c r="J121" s="35"/>
      <c r="K121" s="35">
        <f t="shared" si="28"/>
        <v>0</v>
      </c>
      <c r="L121" s="35"/>
      <c r="M121" s="35">
        <v>0</v>
      </c>
      <c r="N121" s="35"/>
      <c r="O121" s="35">
        <v>0</v>
      </c>
      <c r="P121" s="35"/>
      <c r="Q121" s="35">
        <v>0</v>
      </c>
      <c r="R121" s="35"/>
      <c r="S121" s="35">
        <v>0</v>
      </c>
      <c r="T121" s="35"/>
      <c r="U121" s="35">
        <v>0</v>
      </c>
      <c r="V121" s="35"/>
      <c r="W121" s="35">
        <f t="shared" si="26"/>
        <v>0</v>
      </c>
      <c r="X121" s="35"/>
      <c r="Y121" s="35" t="s">
        <v>152</v>
      </c>
      <c r="Z121" s="55"/>
      <c r="AA121" s="35" t="s">
        <v>153</v>
      </c>
      <c r="AB121" s="35"/>
      <c r="AC121" s="35">
        <v>0</v>
      </c>
      <c r="AD121" s="35"/>
      <c r="AE121" s="35">
        <v>0</v>
      </c>
      <c r="AF121" s="35"/>
      <c r="AG121" s="35">
        <v>0</v>
      </c>
      <c r="AH121" s="35"/>
      <c r="AI121" s="45">
        <f t="shared" si="29"/>
        <v>0</v>
      </c>
      <c r="AJ121" s="45"/>
      <c r="AK121" s="35">
        <v>0</v>
      </c>
      <c r="AL121" s="35"/>
      <c r="AM121" s="35">
        <v>0</v>
      </c>
      <c r="AN121" s="35"/>
      <c r="AO121" s="35">
        <v>0</v>
      </c>
      <c r="AP121" s="35"/>
      <c r="AQ121" s="35">
        <v>0</v>
      </c>
      <c r="AR121" s="35"/>
      <c r="AS121" s="45">
        <f t="shared" si="25"/>
        <v>0</v>
      </c>
      <c r="AT121" s="45"/>
      <c r="AU121" s="35">
        <v>0</v>
      </c>
      <c r="AV121" s="35"/>
      <c r="AW121" s="35">
        <v>0</v>
      </c>
      <c r="AX121" s="35"/>
      <c r="AY121" s="35">
        <f t="shared" si="20"/>
        <v>0</v>
      </c>
      <c r="AZ121" s="35"/>
      <c r="BA121" s="35" t="s">
        <v>152</v>
      </c>
      <c r="BB121" s="55"/>
      <c r="BC121" s="35" t="s">
        <v>153</v>
      </c>
      <c r="BD121" s="35"/>
      <c r="BE121" s="35">
        <v>0</v>
      </c>
      <c r="BF121" s="35"/>
      <c r="BG121" s="35">
        <v>0</v>
      </c>
      <c r="BH121" s="35"/>
      <c r="BI121" s="35">
        <v>0</v>
      </c>
      <c r="BJ121" s="35"/>
      <c r="BK121" s="35">
        <v>0</v>
      </c>
      <c r="BL121" s="35"/>
      <c r="BM121" s="35">
        <f t="shared" si="24"/>
        <v>0</v>
      </c>
      <c r="BN121" s="54" t="s">
        <v>347</v>
      </c>
    </row>
    <row r="122" spans="1:66" hidden="1">
      <c r="A122" s="35" t="s">
        <v>154</v>
      </c>
      <c r="C122" s="35" t="s">
        <v>27</v>
      </c>
      <c r="D122" s="35"/>
      <c r="E122" s="35">
        <f t="shared" ref="E122:E185" si="30">I122-G122</f>
        <v>844881</v>
      </c>
      <c r="F122" s="35"/>
      <c r="G122" s="35">
        <v>0</v>
      </c>
      <c r="H122" s="35"/>
      <c r="I122" s="35">
        <v>844881</v>
      </c>
      <c r="J122" s="35"/>
      <c r="K122" s="35">
        <f t="shared" ref="K122:K185" si="31">O122-M122</f>
        <v>127585</v>
      </c>
      <c r="L122" s="35"/>
      <c r="M122" s="35">
        <v>0</v>
      </c>
      <c r="N122" s="35"/>
      <c r="O122" s="35">
        <v>127585</v>
      </c>
      <c r="P122" s="35"/>
      <c r="Q122" s="35">
        <v>0</v>
      </c>
      <c r="R122" s="35"/>
      <c r="S122" s="35">
        <v>0</v>
      </c>
      <c r="T122" s="35"/>
      <c r="U122" s="35">
        <v>717296</v>
      </c>
      <c r="V122" s="35"/>
      <c r="W122" s="35">
        <f t="shared" si="26"/>
        <v>717296</v>
      </c>
      <c r="X122" s="35"/>
      <c r="Y122" s="35" t="s">
        <v>154</v>
      </c>
      <c r="Z122" s="55"/>
      <c r="AA122" s="35" t="s">
        <v>27</v>
      </c>
      <c r="AB122" s="35"/>
      <c r="AC122" s="35">
        <v>1850896</v>
      </c>
      <c r="AD122" s="35"/>
      <c r="AE122" s="35">
        <v>1535802</v>
      </c>
      <c r="AF122" s="35"/>
      <c r="AG122" s="35">
        <v>0</v>
      </c>
      <c r="AH122" s="35"/>
      <c r="AI122" s="45">
        <f t="shared" si="29"/>
        <v>315094</v>
      </c>
      <c r="AJ122" s="45"/>
      <c r="AK122" s="35">
        <v>0</v>
      </c>
      <c r="AL122" s="35"/>
      <c r="AM122" s="35">
        <v>0</v>
      </c>
      <c r="AN122" s="35"/>
      <c r="AO122" s="35">
        <v>0</v>
      </c>
      <c r="AP122" s="35"/>
      <c r="AQ122" s="35">
        <v>0</v>
      </c>
      <c r="AR122" s="35"/>
      <c r="AS122" s="45">
        <f t="shared" si="25"/>
        <v>315094</v>
      </c>
      <c r="AT122" s="45"/>
      <c r="AU122" s="35">
        <v>0</v>
      </c>
      <c r="AV122" s="35"/>
      <c r="AW122" s="35">
        <v>0</v>
      </c>
      <c r="AX122" s="35"/>
      <c r="AY122" s="35">
        <f t="shared" si="20"/>
        <v>717296</v>
      </c>
      <c r="AZ122" s="35"/>
      <c r="BA122" s="35" t="s">
        <v>154</v>
      </c>
      <c r="BB122" s="55"/>
      <c r="BC122" s="35" t="s">
        <v>27</v>
      </c>
      <c r="BD122" s="35"/>
      <c r="BE122" s="35">
        <v>0</v>
      </c>
      <c r="BF122" s="35"/>
      <c r="BG122" s="35">
        <v>0</v>
      </c>
      <c r="BH122" s="35"/>
      <c r="BI122" s="35">
        <v>0</v>
      </c>
      <c r="BJ122" s="35"/>
      <c r="BK122" s="35">
        <v>0</v>
      </c>
      <c r="BL122" s="35"/>
      <c r="BM122" s="35">
        <f t="shared" si="24"/>
        <v>0</v>
      </c>
      <c r="BN122" s="54" t="s">
        <v>347</v>
      </c>
    </row>
    <row r="123" spans="1:66" hidden="1">
      <c r="A123" s="35" t="s">
        <v>155</v>
      </c>
      <c r="C123" s="35" t="s">
        <v>40</v>
      </c>
      <c r="D123" s="35"/>
      <c r="E123" s="35">
        <f t="shared" si="30"/>
        <v>0</v>
      </c>
      <c r="F123" s="35"/>
      <c r="G123" s="35">
        <v>0</v>
      </c>
      <c r="H123" s="35"/>
      <c r="I123" s="35">
        <v>0</v>
      </c>
      <c r="J123" s="35"/>
      <c r="K123" s="35">
        <f t="shared" si="31"/>
        <v>0</v>
      </c>
      <c r="L123" s="35"/>
      <c r="M123" s="35">
        <v>0</v>
      </c>
      <c r="N123" s="35"/>
      <c r="O123" s="35">
        <v>0</v>
      </c>
      <c r="P123" s="35"/>
      <c r="Q123" s="35">
        <v>0</v>
      </c>
      <c r="R123" s="35"/>
      <c r="S123" s="35">
        <v>0</v>
      </c>
      <c r="T123" s="35"/>
      <c r="U123" s="35">
        <v>0</v>
      </c>
      <c r="V123" s="35"/>
      <c r="W123" s="35">
        <f t="shared" si="26"/>
        <v>0</v>
      </c>
      <c r="X123" s="35"/>
      <c r="Y123" s="35" t="s">
        <v>155</v>
      </c>
      <c r="Z123" s="55"/>
      <c r="AA123" s="35" t="s">
        <v>40</v>
      </c>
      <c r="AB123" s="35"/>
      <c r="AC123" s="35">
        <v>0</v>
      </c>
      <c r="AD123" s="35"/>
      <c r="AE123" s="35">
        <v>0</v>
      </c>
      <c r="AF123" s="35"/>
      <c r="AG123" s="35">
        <v>0</v>
      </c>
      <c r="AH123" s="35"/>
      <c r="AI123" s="45">
        <f t="shared" si="29"/>
        <v>0</v>
      </c>
      <c r="AJ123" s="45"/>
      <c r="AK123" s="35">
        <v>0</v>
      </c>
      <c r="AL123" s="35"/>
      <c r="AM123" s="35">
        <v>0</v>
      </c>
      <c r="AN123" s="35"/>
      <c r="AO123" s="35">
        <v>0</v>
      </c>
      <c r="AP123" s="35"/>
      <c r="AQ123" s="35">
        <v>0</v>
      </c>
      <c r="AR123" s="35"/>
      <c r="AS123" s="45">
        <f t="shared" si="25"/>
        <v>0</v>
      </c>
      <c r="AT123" s="45"/>
      <c r="AU123" s="35">
        <v>0</v>
      </c>
      <c r="AV123" s="35"/>
      <c r="AW123" s="35">
        <v>0</v>
      </c>
      <c r="AX123" s="35"/>
      <c r="AY123" s="35">
        <f t="shared" si="20"/>
        <v>0</v>
      </c>
      <c r="AZ123" s="35"/>
      <c r="BA123" s="35" t="s">
        <v>155</v>
      </c>
      <c r="BB123" s="55"/>
      <c r="BC123" s="35" t="s">
        <v>40</v>
      </c>
      <c r="BD123" s="35"/>
      <c r="BE123" s="35">
        <v>0</v>
      </c>
      <c r="BF123" s="35"/>
      <c r="BG123" s="35">
        <v>0</v>
      </c>
      <c r="BH123" s="35"/>
      <c r="BI123" s="35">
        <v>0</v>
      </c>
      <c r="BJ123" s="35"/>
      <c r="BK123" s="35">
        <v>0</v>
      </c>
      <c r="BL123" s="35"/>
      <c r="BM123" s="35">
        <f t="shared" si="24"/>
        <v>0</v>
      </c>
      <c r="BN123" s="54" t="s">
        <v>347</v>
      </c>
    </row>
    <row r="124" spans="1:66" s="140" customFormat="1" hidden="1">
      <c r="A124" s="126" t="s">
        <v>156</v>
      </c>
      <c r="B124" s="124"/>
      <c r="C124" s="126" t="s">
        <v>156</v>
      </c>
      <c r="D124" s="126"/>
      <c r="E124" s="126">
        <f t="shared" si="30"/>
        <v>0</v>
      </c>
      <c r="F124" s="126"/>
      <c r="G124" s="126">
        <v>0</v>
      </c>
      <c r="H124" s="126"/>
      <c r="I124" s="126">
        <v>0</v>
      </c>
      <c r="J124" s="126"/>
      <c r="K124" s="126">
        <f t="shared" si="31"/>
        <v>0</v>
      </c>
      <c r="L124" s="126"/>
      <c r="M124" s="126">
        <v>0</v>
      </c>
      <c r="N124" s="126"/>
      <c r="O124" s="126">
        <v>0</v>
      </c>
      <c r="P124" s="126"/>
      <c r="Q124" s="126">
        <v>0</v>
      </c>
      <c r="R124" s="126"/>
      <c r="S124" s="126">
        <v>0</v>
      </c>
      <c r="T124" s="126"/>
      <c r="U124" s="126">
        <v>0</v>
      </c>
      <c r="V124" s="126"/>
      <c r="W124" s="126">
        <f t="shared" si="26"/>
        <v>0</v>
      </c>
      <c r="X124" s="126"/>
      <c r="Y124" s="126" t="s">
        <v>156</v>
      </c>
      <c r="AA124" s="126" t="s">
        <v>156</v>
      </c>
      <c r="AB124" s="126"/>
      <c r="AC124" s="126">
        <v>0</v>
      </c>
      <c r="AD124" s="126"/>
      <c r="AE124" s="126">
        <v>0</v>
      </c>
      <c r="AF124" s="126"/>
      <c r="AG124" s="126">
        <v>0</v>
      </c>
      <c r="AH124" s="126"/>
      <c r="AI124" s="127">
        <f t="shared" si="29"/>
        <v>0</v>
      </c>
      <c r="AJ124" s="127"/>
      <c r="AK124" s="126">
        <v>0</v>
      </c>
      <c r="AL124" s="126"/>
      <c r="AM124" s="126">
        <v>0</v>
      </c>
      <c r="AN124" s="126"/>
      <c r="AO124" s="126">
        <v>0</v>
      </c>
      <c r="AP124" s="126"/>
      <c r="AQ124" s="126">
        <v>0</v>
      </c>
      <c r="AR124" s="126"/>
      <c r="AS124" s="127">
        <f t="shared" si="25"/>
        <v>0</v>
      </c>
      <c r="AT124" s="127"/>
      <c r="AU124" s="126">
        <v>0</v>
      </c>
      <c r="AV124" s="126"/>
      <c r="AW124" s="126">
        <v>0</v>
      </c>
      <c r="AX124" s="126"/>
      <c r="AY124" s="126">
        <f t="shared" si="20"/>
        <v>0</v>
      </c>
      <c r="AZ124" s="126"/>
      <c r="BA124" s="126" t="s">
        <v>156</v>
      </c>
      <c r="BC124" s="126" t="s">
        <v>156</v>
      </c>
      <c r="BD124" s="126"/>
      <c r="BE124" s="126">
        <v>0</v>
      </c>
      <c r="BF124" s="126"/>
      <c r="BG124" s="126">
        <v>0</v>
      </c>
      <c r="BH124" s="126"/>
      <c r="BI124" s="126">
        <v>0</v>
      </c>
      <c r="BJ124" s="126"/>
      <c r="BK124" s="126">
        <v>0</v>
      </c>
      <c r="BL124" s="126"/>
      <c r="BM124" s="126">
        <f t="shared" si="24"/>
        <v>0</v>
      </c>
      <c r="BN124" s="139" t="s">
        <v>347</v>
      </c>
    </row>
    <row r="125" spans="1:66">
      <c r="A125" s="35" t="s">
        <v>157</v>
      </c>
      <c r="C125" s="35" t="s">
        <v>33</v>
      </c>
      <c r="D125" s="35"/>
      <c r="E125" s="35">
        <f t="shared" si="30"/>
        <v>100226</v>
      </c>
      <c r="F125" s="35"/>
      <c r="G125" s="35">
        <v>353471</v>
      </c>
      <c r="H125" s="35"/>
      <c r="I125" s="35">
        <v>453697</v>
      </c>
      <c r="J125" s="35"/>
      <c r="K125" s="35">
        <f t="shared" si="31"/>
        <v>46342</v>
      </c>
      <c r="L125" s="35"/>
      <c r="M125" s="35">
        <v>30635</v>
      </c>
      <c r="N125" s="35"/>
      <c r="O125" s="35">
        <v>76977</v>
      </c>
      <c r="P125" s="35"/>
      <c r="Q125" s="35">
        <v>351751</v>
      </c>
      <c r="R125" s="35"/>
      <c r="S125" s="35">
        <v>0</v>
      </c>
      <c r="T125" s="35"/>
      <c r="U125" s="35">
        <v>24969</v>
      </c>
      <c r="V125" s="35"/>
      <c r="W125" s="35">
        <f t="shared" si="26"/>
        <v>376720</v>
      </c>
      <c r="X125" s="35"/>
      <c r="Y125" s="35" t="s">
        <v>157</v>
      </c>
      <c r="Z125" s="55"/>
      <c r="AA125" s="35" t="s">
        <v>33</v>
      </c>
      <c r="AB125" s="35"/>
      <c r="AC125" s="35">
        <v>735260</v>
      </c>
      <c r="AD125" s="35"/>
      <c r="AE125" s="35">
        <f>660834-28791</f>
        <v>632043</v>
      </c>
      <c r="AF125" s="35"/>
      <c r="AG125" s="35">
        <v>28791</v>
      </c>
      <c r="AH125" s="35"/>
      <c r="AI125" s="45">
        <f t="shared" si="29"/>
        <v>74426</v>
      </c>
      <c r="AJ125" s="45"/>
      <c r="AK125" s="35">
        <v>0</v>
      </c>
      <c r="AL125" s="35"/>
      <c r="AM125" s="35">
        <v>0</v>
      </c>
      <c r="AN125" s="35"/>
      <c r="AO125" s="35">
        <v>0</v>
      </c>
      <c r="AP125" s="35"/>
      <c r="AQ125" s="35">
        <v>0</v>
      </c>
      <c r="AR125" s="35"/>
      <c r="AS125" s="45">
        <f t="shared" si="25"/>
        <v>74426</v>
      </c>
      <c r="AT125" s="45"/>
      <c r="AU125" s="35">
        <v>0</v>
      </c>
      <c r="AV125" s="35"/>
      <c r="AW125" s="35">
        <v>0</v>
      </c>
      <c r="AX125" s="35"/>
      <c r="AY125" s="35">
        <f t="shared" ref="AY125:AY188" si="32">+E125-K125</f>
        <v>53884</v>
      </c>
      <c r="AZ125" s="35"/>
      <c r="BA125" s="35" t="s">
        <v>157</v>
      </c>
      <c r="BB125" s="55"/>
      <c r="BC125" s="35" t="s">
        <v>33</v>
      </c>
      <c r="BD125" s="35"/>
      <c r="BE125" s="35">
        <v>0</v>
      </c>
      <c r="BF125" s="35"/>
      <c r="BG125" s="35">
        <v>0</v>
      </c>
      <c r="BH125" s="35"/>
      <c r="BI125" s="35">
        <v>0</v>
      </c>
      <c r="BJ125" s="35"/>
      <c r="BK125" s="35">
        <f>12700+17935</f>
        <v>30635</v>
      </c>
      <c r="BL125" s="35"/>
      <c r="BM125" s="35">
        <f t="shared" si="24"/>
        <v>30635</v>
      </c>
      <c r="BN125" s="54" t="s">
        <v>347</v>
      </c>
    </row>
    <row r="126" spans="1:66">
      <c r="A126" s="35" t="s">
        <v>158</v>
      </c>
      <c r="C126" s="35" t="s">
        <v>159</v>
      </c>
      <c r="D126" s="35"/>
      <c r="E126" s="35">
        <f t="shared" si="30"/>
        <v>696427</v>
      </c>
      <c r="F126" s="35"/>
      <c r="G126" s="35">
        <v>171310</v>
      </c>
      <c r="H126" s="35"/>
      <c r="I126" s="35">
        <v>867737</v>
      </c>
      <c r="J126" s="35"/>
      <c r="K126" s="35">
        <f t="shared" si="31"/>
        <v>96642</v>
      </c>
      <c r="L126" s="35"/>
      <c r="M126" s="35">
        <v>2526</v>
      </c>
      <c r="N126" s="35"/>
      <c r="O126" s="35">
        <v>99168</v>
      </c>
      <c r="P126" s="35"/>
      <c r="Q126" s="35">
        <v>171310</v>
      </c>
      <c r="R126" s="35"/>
      <c r="S126" s="35">
        <v>0</v>
      </c>
      <c r="T126" s="35"/>
      <c r="U126" s="35">
        <v>597259</v>
      </c>
      <c r="V126" s="35"/>
      <c r="W126" s="35">
        <f t="shared" si="26"/>
        <v>768569</v>
      </c>
      <c r="X126" s="35"/>
      <c r="Y126" s="35" t="s">
        <v>158</v>
      </c>
      <c r="Z126" s="55"/>
      <c r="AA126" s="35" t="s">
        <v>159</v>
      </c>
      <c r="AB126" s="35"/>
      <c r="AC126" s="35">
        <v>1367480</v>
      </c>
      <c r="AD126" s="35"/>
      <c r="AE126" s="35">
        <f>1271205-33300</f>
        <v>1237905</v>
      </c>
      <c r="AF126" s="35"/>
      <c r="AG126" s="35">
        <v>33300</v>
      </c>
      <c r="AH126" s="35"/>
      <c r="AI126" s="45">
        <f t="shared" si="29"/>
        <v>96275</v>
      </c>
      <c r="AJ126" s="45"/>
      <c r="AK126" s="35">
        <v>-2178</v>
      </c>
      <c r="AL126" s="35"/>
      <c r="AM126" s="35">
        <v>0</v>
      </c>
      <c r="AN126" s="35"/>
      <c r="AO126" s="35">
        <v>0</v>
      </c>
      <c r="AP126" s="35"/>
      <c r="AQ126" s="35">
        <v>0</v>
      </c>
      <c r="AR126" s="35"/>
      <c r="AS126" s="45">
        <f t="shared" si="25"/>
        <v>94097</v>
      </c>
      <c r="AT126" s="45"/>
      <c r="AU126" s="35">
        <v>0</v>
      </c>
      <c r="AV126" s="35"/>
      <c r="AW126" s="35">
        <v>0</v>
      </c>
      <c r="AX126" s="35"/>
      <c r="AY126" s="35">
        <f t="shared" si="32"/>
        <v>599785</v>
      </c>
      <c r="AZ126" s="35"/>
      <c r="BA126" s="35" t="s">
        <v>158</v>
      </c>
      <c r="BB126" s="55"/>
      <c r="BC126" s="35" t="s">
        <v>159</v>
      </c>
      <c r="BD126" s="35"/>
      <c r="BE126" s="35">
        <v>0</v>
      </c>
      <c r="BF126" s="35"/>
      <c r="BG126" s="35">
        <v>0</v>
      </c>
      <c r="BH126" s="35"/>
      <c r="BI126" s="35">
        <v>0</v>
      </c>
      <c r="BJ126" s="35"/>
      <c r="BK126" s="35">
        <f>2526+5978</f>
        <v>8504</v>
      </c>
      <c r="BL126" s="35"/>
      <c r="BM126" s="35">
        <f t="shared" si="24"/>
        <v>8504</v>
      </c>
      <c r="BN126" s="54" t="s">
        <v>347</v>
      </c>
    </row>
    <row r="127" spans="1:66">
      <c r="A127" s="35" t="s">
        <v>160</v>
      </c>
      <c r="C127" s="35" t="s">
        <v>111</v>
      </c>
      <c r="D127" s="35"/>
      <c r="E127" s="35">
        <f t="shared" si="30"/>
        <v>338677</v>
      </c>
      <c r="F127" s="35"/>
      <c r="G127" s="35">
        <v>0</v>
      </c>
      <c r="H127" s="35"/>
      <c r="I127" s="35">
        <v>338677</v>
      </c>
      <c r="J127" s="35"/>
      <c r="K127" s="35">
        <f t="shared" si="31"/>
        <v>125987</v>
      </c>
      <c r="L127" s="35"/>
      <c r="M127" s="35">
        <v>280</v>
      </c>
      <c r="N127" s="35"/>
      <c r="O127" s="35">
        <v>126267</v>
      </c>
      <c r="P127" s="35"/>
      <c r="Q127" s="35">
        <v>0</v>
      </c>
      <c r="R127" s="35"/>
      <c r="S127" s="35">
        <v>0</v>
      </c>
      <c r="T127" s="35"/>
      <c r="U127" s="35">
        <v>212410</v>
      </c>
      <c r="V127" s="35"/>
      <c r="W127" s="35">
        <f t="shared" si="26"/>
        <v>212410</v>
      </c>
      <c r="X127" s="35"/>
      <c r="Y127" s="35" t="s">
        <v>160</v>
      </c>
      <c r="Z127" s="55"/>
      <c r="AA127" s="35" t="s">
        <v>111</v>
      </c>
      <c r="AB127" s="35"/>
      <c r="AC127" s="35">
        <v>1501222</v>
      </c>
      <c r="AD127" s="35"/>
      <c r="AE127" s="35">
        <v>1498606</v>
      </c>
      <c r="AF127" s="35"/>
      <c r="AG127" s="35">
        <v>0</v>
      </c>
      <c r="AH127" s="35"/>
      <c r="AI127" s="45">
        <f t="shared" si="29"/>
        <v>2616</v>
      </c>
      <c r="AJ127" s="45"/>
      <c r="AK127" s="35">
        <v>159</v>
      </c>
      <c r="AL127" s="35"/>
      <c r="AM127" s="35">
        <v>0</v>
      </c>
      <c r="AN127" s="35"/>
      <c r="AO127" s="35">
        <v>0</v>
      </c>
      <c r="AP127" s="35"/>
      <c r="AQ127" s="35">
        <v>0</v>
      </c>
      <c r="AR127" s="35"/>
      <c r="AS127" s="45">
        <f t="shared" si="25"/>
        <v>2775</v>
      </c>
      <c r="AT127" s="45"/>
      <c r="AU127" s="35">
        <v>0</v>
      </c>
      <c r="AV127" s="35"/>
      <c r="AW127" s="35">
        <v>0</v>
      </c>
      <c r="AX127" s="35"/>
      <c r="AY127" s="35">
        <f t="shared" si="32"/>
        <v>212690</v>
      </c>
      <c r="AZ127" s="35"/>
      <c r="BA127" s="35" t="s">
        <v>160</v>
      </c>
      <c r="BB127" s="55"/>
      <c r="BC127" s="35" t="s">
        <v>111</v>
      </c>
      <c r="BD127" s="35"/>
      <c r="BE127" s="35">
        <v>0</v>
      </c>
      <c r="BF127" s="35"/>
      <c r="BG127" s="35">
        <v>0</v>
      </c>
      <c r="BH127" s="35"/>
      <c r="BI127" s="35">
        <v>0</v>
      </c>
      <c r="BJ127" s="35"/>
      <c r="BK127" s="35">
        <f>280+602</f>
        <v>882</v>
      </c>
      <c r="BL127" s="35"/>
      <c r="BM127" s="35">
        <f t="shared" si="24"/>
        <v>882</v>
      </c>
      <c r="BN127" s="54" t="s">
        <v>347</v>
      </c>
    </row>
    <row r="128" spans="1:66">
      <c r="A128" s="35" t="s">
        <v>161</v>
      </c>
      <c r="C128" s="35" t="s">
        <v>15</v>
      </c>
      <c r="D128" s="35"/>
      <c r="E128" s="35">
        <f t="shared" si="30"/>
        <v>268224</v>
      </c>
      <c r="F128" s="35"/>
      <c r="G128" s="35">
        <v>283213</v>
      </c>
      <c r="H128" s="35"/>
      <c r="I128" s="35">
        <v>551437</v>
      </c>
      <c r="J128" s="35"/>
      <c r="K128" s="35">
        <f t="shared" si="31"/>
        <v>194642</v>
      </c>
      <c r="L128" s="35"/>
      <c r="M128" s="35">
        <v>117857</v>
      </c>
      <c r="N128" s="35"/>
      <c r="O128" s="35">
        <v>312499</v>
      </c>
      <c r="P128" s="35"/>
      <c r="Q128" s="35">
        <v>283213</v>
      </c>
      <c r="R128" s="35"/>
      <c r="S128" s="35">
        <v>0</v>
      </c>
      <c r="T128" s="35"/>
      <c r="U128" s="35">
        <v>-44275</v>
      </c>
      <c r="V128" s="35"/>
      <c r="W128" s="35">
        <f t="shared" si="26"/>
        <v>238938</v>
      </c>
      <c r="X128" s="35"/>
      <c r="Y128" s="35" t="s">
        <v>161</v>
      </c>
      <c r="Z128" s="55"/>
      <c r="AA128" s="35" t="s">
        <v>15</v>
      </c>
      <c r="AB128" s="35"/>
      <c r="AC128" s="35">
        <v>1026698</v>
      </c>
      <c r="AD128" s="35"/>
      <c r="AE128" s="35">
        <f>1188150-57869</f>
        <v>1130281</v>
      </c>
      <c r="AF128" s="35"/>
      <c r="AG128" s="35">
        <v>57869</v>
      </c>
      <c r="AH128" s="35"/>
      <c r="AI128" s="45">
        <f t="shared" si="29"/>
        <v>-161452</v>
      </c>
      <c r="AJ128" s="45"/>
      <c r="AK128" s="35">
        <v>0</v>
      </c>
      <c r="AL128" s="35"/>
      <c r="AM128" s="35">
        <v>0</v>
      </c>
      <c r="AN128" s="35"/>
      <c r="AO128" s="35">
        <v>0</v>
      </c>
      <c r="AP128" s="35"/>
      <c r="AQ128" s="35">
        <v>0</v>
      </c>
      <c r="AR128" s="35"/>
      <c r="AS128" s="45">
        <f t="shared" si="25"/>
        <v>-161452</v>
      </c>
      <c r="AT128" s="45"/>
      <c r="AU128" s="35">
        <v>0</v>
      </c>
      <c r="AV128" s="35"/>
      <c r="AW128" s="35">
        <v>0</v>
      </c>
      <c r="AX128" s="35"/>
      <c r="AY128" s="35">
        <f t="shared" si="32"/>
        <v>73582</v>
      </c>
      <c r="AZ128" s="35"/>
      <c r="BA128" s="35" t="s">
        <v>161</v>
      </c>
      <c r="BB128" s="55"/>
      <c r="BC128" s="35" t="s">
        <v>15</v>
      </c>
      <c r="BD128" s="35"/>
      <c r="BE128" s="35">
        <v>0</v>
      </c>
      <c r="BF128" s="35"/>
      <c r="BG128" s="35">
        <v>0</v>
      </c>
      <c r="BH128" s="35"/>
      <c r="BI128" s="35">
        <v>0</v>
      </c>
      <c r="BJ128" s="35"/>
      <c r="BK128" s="35">
        <f>117857+223</f>
        <v>118080</v>
      </c>
      <c r="BL128" s="35"/>
      <c r="BM128" s="35">
        <f t="shared" si="24"/>
        <v>118080</v>
      </c>
      <c r="BN128" s="54" t="s">
        <v>347</v>
      </c>
    </row>
    <row r="129" spans="1:66" hidden="1">
      <c r="A129" s="35" t="s">
        <v>162</v>
      </c>
      <c r="C129" s="35" t="s">
        <v>163</v>
      </c>
      <c r="D129" s="35"/>
      <c r="E129" s="35">
        <f t="shared" si="30"/>
        <v>0</v>
      </c>
      <c r="F129" s="35"/>
      <c r="G129" s="35">
        <v>0</v>
      </c>
      <c r="H129" s="35"/>
      <c r="I129" s="35">
        <v>0</v>
      </c>
      <c r="J129" s="35"/>
      <c r="K129" s="35">
        <f t="shared" si="31"/>
        <v>0</v>
      </c>
      <c r="L129" s="35"/>
      <c r="M129" s="35">
        <v>0</v>
      </c>
      <c r="N129" s="35"/>
      <c r="O129" s="35">
        <v>0</v>
      </c>
      <c r="P129" s="35"/>
      <c r="Q129" s="35">
        <v>0</v>
      </c>
      <c r="R129" s="35"/>
      <c r="S129" s="35">
        <v>0</v>
      </c>
      <c r="T129" s="35"/>
      <c r="U129" s="35">
        <v>0</v>
      </c>
      <c r="V129" s="35"/>
      <c r="W129" s="35">
        <f t="shared" si="26"/>
        <v>0</v>
      </c>
      <c r="X129" s="35"/>
      <c r="Y129" s="35" t="s">
        <v>162</v>
      </c>
      <c r="Z129" s="55"/>
      <c r="AA129" s="35" t="s">
        <v>163</v>
      </c>
      <c r="AB129" s="35"/>
      <c r="AC129" s="35">
        <v>0</v>
      </c>
      <c r="AD129" s="35"/>
      <c r="AE129" s="35">
        <v>0</v>
      </c>
      <c r="AF129" s="35"/>
      <c r="AG129" s="35">
        <v>0</v>
      </c>
      <c r="AH129" s="35"/>
      <c r="AI129" s="45">
        <f t="shared" si="29"/>
        <v>0</v>
      </c>
      <c r="AJ129" s="45"/>
      <c r="AK129" s="35">
        <v>0</v>
      </c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25"/>
        <v>0</v>
      </c>
      <c r="AT129" s="45"/>
      <c r="AU129" s="35">
        <v>0</v>
      </c>
      <c r="AV129" s="35"/>
      <c r="AW129" s="35">
        <v>0</v>
      </c>
      <c r="AX129" s="35"/>
      <c r="AY129" s="35">
        <f t="shared" si="32"/>
        <v>0</v>
      </c>
      <c r="AZ129" s="35"/>
      <c r="BA129" s="35" t="s">
        <v>162</v>
      </c>
      <c r="BB129" s="55"/>
      <c r="BC129" s="35" t="s">
        <v>163</v>
      </c>
      <c r="BD129" s="35"/>
      <c r="BE129" s="35">
        <v>0</v>
      </c>
      <c r="BF129" s="35"/>
      <c r="BG129" s="35">
        <v>0</v>
      </c>
      <c r="BH129" s="35"/>
      <c r="BI129" s="35">
        <v>0</v>
      </c>
      <c r="BJ129" s="35"/>
      <c r="BK129" s="35">
        <v>0</v>
      </c>
      <c r="BL129" s="35"/>
      <c r="BM129" s="35">
        <f t="shared" si="24"/>
        <v>0</v>
      </c>
      <c r="BN129" s="54" t="s">
        <v>347</v>
      </c>
    </row>
    <row r="130" spans="1:66" hidden="1">
      <c r="A130" s="35" t="s">
        <v>164</v>
      </c>
      <c r="C130" s="35" t="s">
        <v>27</v>
      </c>
      <c r="D130" s="35"/>
      <c r="E130" s="35">
        <f t="shared" si="30"/>
        <v>0</v>
      </c>
      <c r="F130" s="35"/>
      <c r="G130" s="35">
        <v>0</v>
      </c>
      <c r="H130" s="35"/>
      <c r="I130" s="35">
        <v>0</v>
      </c>
      <c r="J130" s="35"/>
      <c r="K130" s="35">
        <f t="shared" si="31"/>
        <v>0</v>
      </c>
      <c r="L130" s="35"/>
      <c r="M130" s="35">
        <v>0</v>
      </c>
      <c r="N130" s="35"/>
      <c r="O130" s="35">
        <v>0</v>
      </c>
      <c r="P130" s="35"/>
      <c r="Q130" s="35">
        <v>0</v>
      </c>
      <c r="R130" s="35"/>
      <c r="S130" s="35">
        <v>0</v>
      </c>
      <c r="T130" s="35"/>
      <c r="U130" s="35">
        <v>0</v>
      </c>
      <c r="V130" s="35"/>
      <c r="W130" s="35">
        <f t="shared" si="26"/>
        <v>0</v>
      </c>
      <c r="X130" s="35"/>
      <c r="Y130" s="35" t="s">
        <v>164</v>
      </c>
      <c r="Z130" s="55"/>
      <c r="AA130" s="35" t="s">
        <v>27</v>
      </c>
      <c r="AB130" s="35"/>
      <c r="AC130" s="35">
        <v>0</v>
      </c>
      <c r="AD130" s="35"/>
      <c r="AE130" s="35">
        <v>0</v>
      </c>
      <c r="AF130" s="35"/>
      <c r="AG130" s="35">
        <v>0</v>
      </c>
      <c r="AH130" s="35"/>
      <c r="AI130" s="45">
        <f t="shared" si="29"/>
        <v>0</v>
      </c>
      <c r="AJ130" s="45"/>
      <c r="AK130" s="35">
        <v>0</v>
      </c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25"/>
        <v>0</v>
      </c>
      <c r="AT130" s="45"/>
      <c r="AU130" s="35">
        <v>0</v>
      </c>
      <c r="AV130" s="35"/>
      <c r="AW130" s="35">
        <v>0</v>
      </c>
      <c r="AX130" s="35"/>
      <c r="AY130" s="35">
        <f t="shared" si="32"/>
        <v>0</v>
      </c>
      <c r="AZ130" s="35"/>
      <c r="BA130" s="35" t="s">
        <v>164</v>
      </c>
      <c r="BB130" s="55"/>
      <c r="BC130" s="35" t="s">
        <v>27</v>
      </c>
      <c r="BD130" s="35"/>
      <c r="BE130" s="35">
        <v>0</v>
      </c>
      <c r="BF130" s="35"/>
      <c r="BG130" s="35">
        <v>0</v>
      </c>
      <c r="BH130" s="35"/>
      <c r="BI130" s="35">
        <v>0</v>
      </c>
      <c r="BJ130" s="35"/>
      <c r="BK130" s="35">
        <v>0</v>
      </c>
      <c r="BL130" s="35"/>
      <c r="BM130" s="35">
        <f t="shared" si="24"/>
        <v>0</v>
      </c>
      <c r="BN130" s="54" t="s">
        <v>347</v>
      </c>
    </row>
    <row r="131" spans="1:66">
      <c r="A131" s="35" t="s">
        <v>53</v>
      </c>
      <c r="C131" s="35" t="s">
        <v>53</v>
      </c>
      <c r="D131" s="35"/>
      <c r="E131" s="35">
        <f t="shared" si="30"/>
        <v>2245736</v>
      </c>
      <c r="F131" s="35"/>
      <c r="G131" s="35">
        <v>372536</v>
      </c>
      <c r="H131" s="35"/>
      <c r="I131" s="35">
        <v>2618272</v>
      </c>
      <c r="J131" s="35"/>
      <c r="K131" s="35">
        <f t="shared" si="31"/>
        <v>104432</v>
      </c>
      <c r="L131" s="35"/>
      <c r="M131" s="35">
        <v>22706</v>
      </c>
      <c r="N131" s="35"/>
      <c r="O131" s="35">
        <v>127138</v>
      </c>
      <c r="P131" s="35"/>
      <c r="Q131" s="35">
        <v>372536</v>
      </c>
      <c r="R131" s="35"/>
      <c r="S131" s="35">
        <v>0</v>
      </c>
      <c r="T131" s="35"/>
      <c r="U131" s="35">
        <v>2118598</v>
      </c>
      <c r="V131" s="35"/>
      <c r="W131" s="35">
        <f t="shared" si="26"/>
        <v>2491134</v>
      </c>
      <c r="X131" s="35"/>
      <c r="Y131" s="35" t="s">
        <v>53</v>
      </c>
      <c r="Z131" s="55"/>
      <c r="AA131" s="35" t="s">
        <v>53</v>
      </c>
      <c r="AB131" s="35"/>
      <c r="AC131" s="35">
        <v>3007465</v>
      </c>
      <c r="AD131" s="35"/>
      <c r="AE131" s="35">
        <f>2998195-126012</f>
        <v>2872183</v>
      </c>
      <c r="AF131" s="35"/>
      <c r="AG131" s="35">
        <v>126012</v>
      </c>
      <c r="AH131" s="35"/>
      <c r="AI131" s="45">
        <f t="shared" si="29"/>
        <v>9270</v>
      </c>
      <c r="AJ131" s="45"/>
      <c r="AK131" s="35">
        <v>1756</v>
      </c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25"/>
        <v>11026</v>
      </c>
      <c r="AT131" s="45"/>
      <c r="AU131" s="35">
        <v>0</v>
      </c>
      <c r="AV131" s="35"/>
      <c r="AW131" s="35">
        <v>0</v>
      </c>
      <c r="AX131" s="35"/>
      <c r="AY131" s="35">
        <f t="shared" si="32"/>
        <v>2141304</v>
      </c>
      <c r="AZ131" s="35"/>
      <c r="BA131" s="35" t="s">
        <v>53</v>
      </c>
      <c r="BB131" s="55"/>
      <c r="BC131" s="35" t="s">
        <v>53</v>
      </c>
      <c r="BD131" s="35"/>
      <c r="BE131" s="35">
        <v>0</v>
      </c>
      <c r="BF131" s="35"/>
      <c r="BG131" s="35">
        <v>0</v>
      </c>
      <c r="BH131" s="35"/>
      <c r="BI131" s="35">
        <v>0</v>
      </c>
      <c r="BJ131" s="35"/>
      <c r="BK131" s="35">
        <f>22706+26721</f>
        <v>49427</v>
      </c>
      <c r="BL131" s="35"/>
      <c r="BM131" s="35">
        <f t="shared" si="24"/>
        <v>49427</v>
      </c>
      <c r="BN131" s="54" t="s">
        <v>347</v>
      </c>
    </row>
    <row r="132" spans="1:66" hidden="1">
      <c r="A132" s="35" t="s">
        <v>165</v>
      </c>
      <c r="C132" s="35" t="s">
        <v>92</v>
      </c>
      <c r="D132" s="35"/>
      <c r="E132" s="35">
        <f t="shared" si="30"/>
        <v>0</v>
      </c>
      <c r="F132" s="35"/>
      <c r="G132" s="35">
        <v>0</v>
      </c>
      <c r="H132" s="35"/>
      <c r="I132" s="35">
        <v>0</v>
      </c>
      <c r="J132" s="35"/>
      <c r="K132" s="35">
        <f t="shared" si="31"/>
        <v>0</v>
      </c>
      <c r="L132" s="35"/>
      <c r="M132" s="35">
        <v>0</v>
      </c>
      <c r="N132" s="35"/>
      <c r="O132" s="35">
        <v>0</v>
      </c>
      <c r="P132" s="35"/>
      <c r="Q132" s="35">
        <v>0</v>
      </c>
      <c r="R132" s="35"/>
      <c r="S132" s="35">
        <v>0</v>
      </c>
      <c r="T132" s="35"/>
      <c r="U132" s="35">
        <v>0</v>
      </c>
      <c r="V132" s="35"/>
      <c r="W132" s="35">
        <f t="shared" si="26"/>
        <v>0</v>
      </c>
      <c r="X132" s="35"/>
      <c r="Y132" s="35" t="s">
        <v>165</v>
      </c>
      <c r="Z132" s="55"/>
      <c r="AA132" s="35" t="s">
        <v>92</v>
      </c>
      <c r="AB132" s="35"/>
      <c r="AC132" s="35">
        <v>0</v>
      </c>
      <c r="AD132" s="35"/>
      <c r="AE132" s="35">
        <v>0</v>
      </c>
      <c r="AF132" s="35"/>
      <c r="AG132" s="35">
        <v>0</v>
      </c>
      <c r="AH132" s="35"/>
      <c r="AI132" s="45">
        <f t="shared" si="29"/>
        <v>0</v>
      </c>
      <c r="AJ132" s="45"/>
      <c r="AK132" s="35">
        <v>0</v>
      </c>
      <c r="AL132" s="35"/>
      <c r="AM132" s="35">
        <v>0</v>
      </c>
      <c r="AN132" s="35"/>
      <c r="AO132" s="35">
        <v>0</v>
      </c>
      <c r="AP132" s="35"/>
      <c r="AQ132" s="35">
        <v>0</v>
      </c>
      <c r="AR132" s="35"/>
      <c r="AS132" s="45">
        <f t="shared" si="25"/>
        <v>0</v>
      </c>
      <c r="AT132" s="45"/>
      <c r="AU132" s="35">
        <v>0</v>
      </c>
      <c r="AV132" s="35"/>
      <c r="AW132" s="35">
        <v>0</v>
      </c>
      <c r="AX132" s="35"/>
      <c r="AY132" s="35">
        <f t="shared" si="32"/>
        <v>0</v>
      </c>
      <c r="AZ132" s="35"/>
      <c r="BA132" s="35" t="s">
        <v>165</v>
      </c>
      <c r="BB132" s="55"/>
      <c r="BC132" s="35" t="s">
        <v>92</v>
      </c>
      <c r="BD132" s="35"/>
      <c r="BE132" s="35">
        <v>0</v>
      </c>
      <c r="BF132" s="35"/>
      <c r="BG132" s="35">
        <v>0</v>
      </c>
      <c r="BH132" s="35"/>
      <c r="BI132" s="35">
        <v>0</v>
      </c>
      <c r="BJ132" s="35"/>
      <c r="BK132" s="35">
        <v>0</v>
      </c>
      <c r="BL132" s="35"/>
      <c r="BM132" s="35">
        <f t="shared" si="24"/>
        <v>0</v>
      </c>
      <c r="BN132" s="54" t="s">
        <v>347</v>
      </c>
    </row>
    <row r="133" spans="1:66" hidden="1">
      <c r="A133" s="35" t="s">
        <v>166</v>
      </c>
      <c r="C133" s="35" t="s">
        <v>92</v>
      </c>
      <c r="D133" s="35"/>
      <c r="E133" s="35">
        <f t="shared" si="30"/>
        <v>0</v>
      </c>
      <c r="F133" s="35"/>
      <c r="G133" s="35">
        <v>0</v>
      </c>
      <c r="H133" s="35"/>
      <c r="I133" s="35">
        <v>0</v>
      </c>
      <c r="J133" s="35"/>
      <c r="K133" s="35">
        <f t="shared" si="31"/>
        <v>0</v>
      </c>
      <c r="L133" s="35"/>
      <c r="M133" s="35">
        <v>0</v>
      </c>
      <c r="N133" s="35"/>
      <c r="O133" s="35">
        <v>0</v>
      </c>
      <c r="P133" s="35"/>
      <c r="Q133" s="35">
        <v>0</v>
      </c>
      <c r="R133" s="35"/>
      <c r="S133" s="35">
        <v>0</v>
      </c>
      <c r="T133" s="35"/>
      <c r="U133" s="35">
        <v>0</v>
      </c>
      <c r="V133" s="35"/>
      <c r="W133" s="35">
        <f t="shared" si="26"/>
        <v>0</v>
      </c>
      <c r="X133" s="35"/>
      <c r="Y133" s="35" t="s">
        <v>166</v>
      </c>
      <c r="Z133" s="55"/>
      <c r="AA133" s="35" t="s">
        <v>92</v>
      </c>
      <c r="AB133" s="35"/>
      <c r="AC133" s="35">
        <v>0</v>
      </c>
      <c r="AD133" s="35"/>
      <c r="AE133" s="35">
        <v>0</v>
      </c>
      <c r="AF133" s="35"/>
      <c r="AG133" s="35">
        <v>0</v>
      </c>
      <c r="AH133" s="35"/>
      <c r="AI133" s="45">
        <f t="shared" si="29"/>
        <v>0</v>
      </c>
      <c r="AJ133" s="45"/>
      <c r="AK133" s="35">
        <v>0</v>
      </c>
      <c r="AL133" s="35"/>
      <c r="AM133" s="35">
        <v>0</v>
      </c>
      <c r="AN133" s="35"/>
      <c r="AO133" s="35">
        <v>0</v>
      </c>
      <c r="AP133" s="35"/>
      <c r="AQ133" s="35">
        <v>0</v>
      </c>
      <c r="AR133" s="35"/>
      <c r="AS133" s="45">
        <f t="shared" si="25"/>
        <v>0</v>
      </c>
      <c r="AT133" s="45"/>
      <c r="AU133" s="35">
        <v>0</v>
      </c>
      <c r="AV133" s="35"/>
      <c r="AW133" s="35">
        <v>0</v>
      </c>
      <c r="AX133" s="35"/>
      <c r="AY133" s="35">
        <f t="shared" si="32"/>
        <v>0</v>
      </c>
      <c r="AZ133" s="35"/>
      <c r="BA133" s="35" t="s">
        <v>166</v>
      </c>
      <c r="BB133" s="55"/>
      <c r="BC133" s="35" t="s">
        <v>92</v>
      </c>
      <c r="BD133" s="35"/>
      <c r="BE133" s="35">
        <v>0</v>
      </c>
      <c r="BF133" s="35"/>
      <c r="BG133" s="35">
        <v>0</v>
      </c>
      <c r="BH133" s="35"/>
      <c r="BI133" s="35">
        <v>0</v>
      </c>
      <c r="BJ133" s="35"/>
      <c r="BK133" s="35">
        <v>0</v>
      </c>
      <c r="BL133" s="35"/>
      <c r="BM133" s="35">
        <f t="shared" si="24"/>
        <v>0</v>
      </c>
      <c r="BN133" s="54" t="s">
        <v>347</v>
      </c>
    </row>
    <row r="134" spans="1:66" hidden="1">
      <c r="A134" s="35" t="s">
        <v>167</v>
      </c>
      <c r="C134" s="35" t="s">
        <v>66</v>
      </c>
      <c r="D134" s="35"/>
      <c r="E134" s="35">
        <f t="shared" si="30"/>
        <v>0</v>
      </c>
      <c r="F134" s="35"/>
      <c r="G134" s="35">
        <v>0</v>
      </c>
      <c r="H134" s="35"/>
      <c r="I134" s="35">
        <v>0</v>
      </c>
      <c r="J134" s="35"/>
      <c r="K134" s="35">
        <f t="shared" si="31"/>
        <v>0</v>
      </c>
      <c r="L134" s="35"/>
      <c r="M134" s="35">
        <v>0</v>
      </c>
      <c r="N134" s="35"/>
      <c r="O134" s="35">
        <v>0</v>
      </c>
      <c r="P134" s="35"/>
      <c r="Q134" s="35">
        <v>0</v>
      </c>
      <c r="R134" s="35"/>
      <c r="S134" s="35">
        <v>0</v>
      </c>
      <c r="T134" s="35"/>
      <c r="U134" s="35">
        <v>0</v>
      </c>
      <c r="V134" s="35"/>
      <c r="W134" s="35">
        <f t="shared" si="26"/>
        <v>0</v>
      </c>
      <c r="X134" s="35"/>
      <c r="Y134" s="35" t="s">
        <v>167</v>
      </c>
      <c r="Z134" s="55"/>
      <c r="AA134" s="35" t="s">
        <v>66</v>
      </c>
      <c r="AB134" s="35"/>
      <c r="AC134" s="35">
        <v>0</v>
      </c>
      <c r="AD134" s="35"/>
      <c r="AE134" s="35">
        <v>0</v>
      </c>
      <c r="AF134" s="35"/>
      <c r="AG134" s="35">
        <v>0</v>
      </c>
      <c r="AH134" s="35"/>
      <c r="AI134" s="45">
        <f t="shared" si="29"/>
        <v>0</v>
      </c>
      <c r="AJ134" s="45"/>
      <c r="AK134" s="35">
        <v>0</v>
      </c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25"/>
        <v>0</v>
      </c>
      <c r="AT134" s="45"/>
      <c r="AU134" s="35">
        <v>0</v>
      </c>
      <c r="AV134" s="35"/>
      <c r="AW134" s="35">
        <v>0</v>
      </c>
      <c r="AX134" s="35"/>
      <c r="AY134" s="35">
        <f t="shared" si="32"/>
        <v>0</v>
      </c>
      <c r="AZ134" s="35"/>
      <c r="BA134" s="35" t="s">
        <v>167</v>
      </c>
      <c r="BB134" s="55"/>
      <c r="BC134" s="35" t="s">
        <v>66</v>
      </c>
      <c r="BD134" s="35"/>
      <c r="BE134" s="35">
        <v>0</v>
      </c>
      <c r="BF134" s="35"/>
      <c r="BG134" s="35">
        <v>0</v>
      </c>
      <c r="BH134" s="35"/>
      <c r="BI134" s="35">
        <v>0</v>
      </c>
      <c r="BJ134" s="35"/>
      <c r="BK134" s="35">
        <v>0</v>
      </c>
      <c r="BL134" s="35"/>
      <c r="BM134" s="35">
        <f t="shared" si="24"/>
        <v>0</v>
      </c>
      <c r="BN134" s="54" t="s">
        <v>347</v>
      </c>
    </row>
    <row r="135" spans="1:66" hidden="1">
      <c r="A135" s="44" t="s">
        <v>168</v>
      </c>
      <c r="C135" s="44" t="s">
        <v>27</v>
      </c>
      <c r="D135" s="44"/>
      <c r="E135" s="35">
        <f t="shared" si="30"/>
        <v>0</v>
      </c>
      <c r="F135" s="35"/>
      <c r="G135" s="35">
        <v>0</v>
      </c>
      <c r="H135" s="35"/>
      <c r="I135" s="35">
        <v>0</v>
      </c>
      <c r="J135" s="35"/>
      <c r="K135" s="35">
        <f t="shared" si="31"/>
        <v>0</v>
      </c>
      <c r="L135" s="35"/>
      <c r="M135" s="35">
        <v>0</v>
      </c>
      <c r="N135" s="35"/>
      <c r="O135" s="35">
        <v>0</v>
      </c>
      <c r="P135" s="35"/>
      <c r="Q135" s="35">
        <v>0</v>
      </c>
      <c r="R135" s="35"/>
      <c r="S135" s="35">
        <v>0</v>
      </c>
      <c r="T135" s="35"/>
      <c r="U135" s="35">
        <v>0</v>
      </c>
      <c r="V135" s="35"/>
      <c r="W135" s="35">
        <f t="shared" si="26"/>
        <v>0</v>
      </c>
      <c r="X135" s="35"/>
      <c r="Y135" s="44" t="s">
        <v>168</v>
      </c>
      <c r="Z135" s="55"/>
      <c r="AA135" s="44" t="s">
        <v>27</v>
      </c>
      <c r="AB135" s="44"/>
      <c r="AC135" s="35">
        <v>0</v>
      </c>
      <c r="AD135" s="35"/>
      <c r="AE135" s="35">
        <v>0</v>
      </c>
      <c r="AF135" s="35"/>
      <c r="AG135" s="35">
        <v>0</v>
      </c>
      <c r="AH135" s="35"/>
      <c r="AI135" s="45">
        <f t="shared" si="29"/>
        <v>0</v>
      </c>
      <c r="AJ135" s="45"/>
      <c r="AK135" s="35">
        <v>0</v>
      </c>
      <c r="AL135" s="35"/>
      <c r="AM135" s="35">
        <v>0</v>
      </c>
      <c r="AN135" s="35"/>
      <c r="AO135" s="35">
        <v>0</v>
      </c>
      <c r="AP135" s="35"/>
      <c r="AQ135" s="35">
        <v>0</v>
      </c>
      <c r="AR135" s="35"/>
      <c r="AS135" s="45">
        <f t="shared" si="25"/>
        <v>0</v>
      </c>
      <c r="AT135" s="45"/>
      <c r="AU135" s="35">
        <v>0</v>
      </c>
      <c r="AV135" s="35"/>
      <c r="AW135" s="35">
        <v>0</v>
      </c>
      <c r="AX135" s="35"/>
      <c r="AY135" s="35">
        <f t="shared" si="32"/>
        <v>0</v>
      </c>
      <c r="AZ135" s="35"/>
      <c r="BA135" s="44" t="s">
        <v>168</v>
      </c>
      <c r="BB135" s="55"/>
      <c r="BC135" s="44" t="s">
        <v>27</v>
      </c>
      <c r="BD135" s="44"/>
      <c r="BE135" s="35">
        <v>0</v>
      </c>
      <c r="BF135" s="35"/>
      <c r="BG135" s="35">
        <v>0</v>
      </c>
      <c r="BH135" s="35"/>
      <c r="BI135" s="35">
        <v>0</v>
      </c>
      <c r="BJ135" s="35"/>
      <c r="BK135" s="35">
        <v>0</v>
      </c>
      <c r="BL135" s="35"/>
      <c r="BM135" s="35">
        <f t="shared" si="24"/>
        <v>0</v>
      </c>
      <c r="BN135" s="54" t="s">
        <v>347</v>
      </c>
    </row>
    <row r="136" spans="1:66">
      <c r="A136" s="35" t="s">
        <v>169</v>
      </c>
      <c r="C136" s="35" t="s">
        <v>103</v>
      </c>
      <c r="D136" s="35"/>
      <c r="E136" s="35">
        <f t="shared" si="30"/>
        <v>664175</v>
      </c>
      <c r="F136" s="35"/>
      <c r="G136" s="35">
        <v>436346</v>
      </c>
      <c r="H136" s="35"/>
      <c r="I136" s="35">
        <v>1100521</v>
      </c>
      <c r="J136" s="35"/>
      <c r="K136" s="35">
        <f t="shared" si="31"/>
        <v>465691</v>
      </c>
      <c r="L136" s="35"/>
      <c r="M136" s="35">
        <v>508236</v>
      </c>
      <c r="N136" s="35"/>
      <c r="O136" s="35">
        <v>973927</v>
      </c>
      <c r="P136" s="35"/>
      <c r="Q136" s="35">
        <v>-341163</v>
      </c>
      <c r="R136" s="35"/>
      <c r="S136" s="35">
        <v>0</v>
      </c>
      <c r="T136" s="35"/>
      <c r="U136" s="35">
        <v>467757</v>
      </c>
      <c r="V136" s="35"/>
      <c r="W136" s="35">
        <f t="shared" si="26"/>
        <v>126594</v>
      </c>
      <c r="X136" s="35"/>
      <c r="Y136" s="35" t="s">
        <v>169</v>
      </c>
      <c r="Z136" s="55"/>
      <c r="AA136" s="35" t="s">
        <v>103</v>
      </c>
      <c r="AB136" s="35"/>
      <c r="AC136" s="35">
        <v>2870147</v>
      </c>
      <c r="AD136" s="35"/>
      <c r="AE136" s="35">
        <f>2580616-1659</f>
        <v>2578957</v>
      </c>
      <c r="AF136" s="35"/>
      <c r="AG136" s="35">
        <v>1659</v>
      </c>
      <c r="AH136" s="35"/>
      <c r="AI136" s="45">
        <f t="shared" si="29"/>
        <v>289531</v>
      </c>
      <c r="AJ136" s="45"/>
      <c r="AK136" s="35">
        <v>-35794</v>
      </c>
      <c r="AL136" s="35"/>
      <c r="AM136" s="35">
        <v>0</v>
      </c>
      <c r="AN136" s="35"/>
      <c r="AO136" s="35">
        <v>0</v>
      </c>
      <c r="AP136" s="35"/>
      <c r="AQ136" s="35">
        <v>0</v>
      </c>
      <c r="AR136" s="35"/>
      <c r="AS136" s="45">
        <f t="shared" si="25"/>
        <v>253737</v>
      </c>
      <c r="AT136" s="45"/>
      <c r="AU136" s="35">
        <v>0</v>
      </c>
      <c r="AV136" s="35"/>
      <c r="AW136" s="35">
        <v>0</v>
      </c>
      <c r="AX136" s="35"/>
      <c r="AY136" s="35">
        <f t="shared" si="32"/>
        <v>198484</v>
      </c>
      <c r="AZ136" s="35"/>
      <c r="BA136" s="35" t="s">
        <v>169</v>
      </c>
      <c r="BB136" s="55"/>
      <c r="BC136" s="35" t="s">
        <v>103</v>
      </c>
      <c r="BD136" s="35"/>
      <c r="BE136" s="35">
        <f>500407+243728</f>
        <v>744135</v>
      </c>
      <c r="BF136" s="35"/>
      <c r="BG136" s="35">
        <v>0</v>
      </c>
      <c r="BH136" s="35"/>
      <c r="BI136" s="35">
        <v>0</v>
      </c>
      <c r="BJ136" s="35"/>
      <c r="BK136" s="35">
        <v>7829</v>
      </c>
      <c r="BL136" s="35"/>
      <c r="BM136" s="35">
        <f t="shared" si="24"/>
        <v>751964</v>
      </c>
      <c r="BN136" s="54" t="s">
        <v>347</v>
      </c>
    </row>
    <row r="137" spans="1:66" hidden="1">
      <c r="A137" s="35" t="s">
        <v>170</v>
      </c>
      <c r="C137" s="35" t="s">
        <v>171</v>
      </c>
      <c r="D137" s="35"/>
      <c r="E137" s="35">
        <f t="shared" si="30"/>
        <v>0</v>
      </c>
      <c r="F137" s="35"/>
      <c r="G137" s="35">
        <v>0</v>
      </c>
      <c r="H137" s="35"/>
      <c r="I137" s="35">
        <v>0</v>
      </c>
      <c r="J137" s="35"/>
      <c r="K137" s="35">
        <f t="shared" si="31"/>
        <v>0</v>
      </c>
      <c r="L137" s="35"/>
      <c r="M137" s="35">
        <v>0</v>
      </c>
      <c r="N137" s="35"/>
      <c r="O137" s="35">
        <v>0</v>
      </c>
      <c r="P137" s="35"/>
      <c r="Q137" s="35">
        <v>0</v>
      </c>
      <c r="R137" s="35"/>
      <c r="S137" s="35">
        <v>0</v>
      </c>
      <c r="T137" s="35"/>
      <c r="U137" s="35">
        <v>0</v>
      </c>
      <c r="V137" s="35"/>
      <c r="W137" s="35">
        <f t="shared" si="26"/>
        <v>0</v>
      </c>
      <c r="X137" s="35"/>
      <c r="Y137" s="35" t="s">
        <v>170</v>
      </c>
      <c r="Z137" s="55"/>
      <c r="AA137" s="35" t="s">
        <v>171</v>
      </c>
      <c r="AB137" s="35"/>
      <c r="AC137" s="35">
        <v>0</v>
      </c>
      <c r="AD137" s="35"/>
      <c r="AE137" s="35">
        <v>0</v>
      </c>
      <c r="AF137" s="35"/>
      <c r="AG137" s="35">
        <v>0</v>
      </c>
      <c r="AH137" s="35"/>
      <c r="AI137" s="45">
        <f t="shared" si="29"/>
        <v>0</v>
      </c>
      <c r="AJ137" s="45"/>
      <c r="AK137" s="35">
        <v>0</v>
      </c>
      <c r="AL137" s="35"/>
      <c r="AM137" s="35">
        <v>0</v>
      </c>
      <c r="AN137" s="35"/>
      <c r="AO137" s="35">
        <v>0</v>
      </c>
      <c r="AP137" s="35"/>
      <c r="AQ137" s="35">
        <v>0</v>
      </c>
      <c r="AR137" s="35"/>
      <c r="AS137" s="45">
        <f t="shared" si="25"/>
        <v>0</v>
      </c>
      <c r="AT137" s="45"/>
      <c r="AU137" s="35">
        <v>0</v>
      </c>
      <c r="AV137" s="35"/>
      <c r="AW137" s="35">
        <v>0</v>
      </c>
      <c r="AX137" s="35"/>
      <c r="AY137" s="35">
        <f t="shared" si="32"/>
        <v>0</v>
      </c>
      <c r="AZ137" s="35"/>
      <c r="BA137" s="35" t="s">
        <v>170</v>
      </c>
      <c r="BB137" s="55"/>
      <c r="BC137" s="35" t="s">
        <v>171</v>
      </c>
      <c r="BD137" s="35"/>
      <c r="BE137" s="35">
        <v>0</v>
      </c>
      <c r="BF137" s="35"/>
      <c r="BG137" s="35">
        <v>0</v>
      </c>
      <c r="BH137" s="35"/>
      <c r="BI137" s="35">
        <v>0</v>
      </c>
      <c r="BJ137" s="35"/>
      <c r="BK137" s="35">
        <v>0</v>
      </c>
      <c r="BL137" s="35"/>
      <c r="BM137" s="35">
        <f t="shared" si="24"/>
        <v>0</v>
      </c>
      <c r="BN137" s="54" t="s">
        <v>347</v>
      </c>
    </row>
    <row r="138" spans="1:66" hidden="1">
      <c r="A138" s="35" t="s">
        <v>172</v>
      </c>
      <c r="C138" s="35" t="s">
        <v>103</v>
      </c>
      <c r="D138" s="35"/>
      <c r="E138" s="35">
        <f t="shared" si="30"/>
        <v>0</v>
      </c>
      <c r="F138" s="35"/>
      <c r="G138" s="35">
        <v>0</v>
      </c>
      <c r="H138" s="35"/>
      <c r="I138" s="35">
        <v>0</v>
      </c>
      <c r="J138" s="35"/>
      <c r="K138" s="35">
        <f t="shared" si="31"/>
        <v>0</v>
      </c>
      <c r="L138" s="35"/>
      <c r="M138" s="35">
        <v>0</v>
      </c>
      <c r="N138" s="35"/>
      <c r="O138" s="35">
        <v>0</v>
      </c>
      <c r="P138" s="35"/>
      <c r="Q138" s="35">
        <v>0</v>
      </c>
      <c r="R138" s="35"/>
      <c r="S138" s="35">
        <v>0</v>
      </c>
      <c r="T138" s="35"/>
      <c r="U138" s="35">
        <v>0</v>
      </c>
      <c r="V138" s="35"/>
      <c r="W138" s="35">
        <f t="shared" si="26"/>
        <v>0</v>
      </c>
      <c r="X138" s="35"/>
      <c r="Y138" s="35" t="s">
        <v>172</v>
      </c>
      <c r="Z138" s="55"/>
      <c r="AA138" s="35" t="s">
        <v>103</v>
      </c>
      <c r="AB138" s="35"/>
      <c r="AC138" s="35">
        <v>0</v>
      </c>
      <c r="AD138" s="35"/>
      <c r="AE138" s="35">
        <v>0</v>
      </c>
      <c r="AF138" s="35"/>
      <c r="AG138" s="35">
        <v>0</v>
      </c>
      <c r="AH138" s="35"/>
      <c r="AI138" s="45">
        <f t="shared" si="29"/>
        <v>0</v>
      </c>
      <c r="AJ138" s="45"/>
      <c r="AK138" s="35">
        <v>0</v>
      </c>
      <c r="AL138" s="35"/>
      <c r="AM138" s="35">
        <v>0</v>
      </c>
      <c r="AN138" s="35"/>
      <c r="AO138" s="35">
        <v>0</v>
      </c>
      <c r="AP138" s="35"/>
      <c r="AQ138" s="35">
        <v>0</v>
      </c>
      <c r="AR138" s="35"/>
      <c r="AS138" s="45">
        <f t="shared" si="25"/>
        <v>0</v>
      </c>
      <c r="AT138" s="45"/>
      <c r="AU138" s="35">
        <v>0</v>
      </c>
      <c r="AV138" s="35"/>
      <c r="AW138" s="35">
        <v>0</v>
      </c>
      <c r="AX138" s="35"/>
      <c r="AY138" s="35">
        <f t="shared" si="32"/>
        <v>0</v>
      </c>
      <c r="AZ138" s="35"/>
      <c r="BA138" s="35" t="s">
        <v>172</v>
      </c>
      <c r="BB138" s="55"/>
      <c r="BC138" s="35" t="s">
        <v>103</v>
      </c>
      <c r="BD138" s="35"/>
      <c r="BE138" s="35">
        <v>0</v>
      </c>
      <c r="BF138" s="35"/>
      <c r="BG138" s="35">
        <v>0</v>
      </c>
      <c r="BH138" s="35"/>
      <c r="BI138" s="35">
        <v>0</v>
      </c>
      <c r="BJ138" s="35"/>
      <c r="BK138" s="35">
        <v>0</v>
      </c>
      <c r="BL138" s="35"/>
      <c r="BM138" s="35">
        <f t="shared" si="24"/>
        <v>0</v>
      </c>
      <c r="BN138" s="54" t="s">
        <v>347</v>
      </c>
    </row>
    <row r="139" spans="1:66" hidden="1">
      <c r="A139" s="35" t="s">
        <v>66</v>
      </c>
      <c r="C139" s="35" t="s">
        <v>45</v>
      </c>
      <c r="D139" s="35"/>
      <c r="E139" s="35">
        <f t="shared" si="30"/>
        <v>0</v>
      </c>
      <c r="F139" s="35"/>
      <c r="G139" s="35">
        <v>0</v>
      </c>
      <c r="H139" s="35"/>
      <c r="I139" s="35">
        <v>0</v>
      </c>
      <c r="J139" s="35"/>
      <c r="K139" s="35">
        <f t="shared" si="31"/>
        <v>0</v>
      </c>
      <c r="L139" s="35"/>
      <c r="M139" s="35">
        <v>0</v>
      </c>
      <c r="N139" s="35"/>
      <c r="O139" s="35">
        <v>0</v>
      </c>
      <c r="P139" s="35"/>
      <c r="Q139" s="35">
        <v>0</v>
      </c>
      <c r="R139" s="35"/>
      <c r="S139" s="35">
        <v>0</v>
      </c>
      <c r="T139" s="35"/>
      <c r="U139" s="35">
        <v>0</v>
      </c>
      <c r="V139" s="35"/>
      <c r="W139" s="35">
        <f t="shared" ref="W139:W202" si="33">SUM(Q139:U139)</f>
        <v>0</v>
      </c>
      <c r="X139" s="35"/>
      <c r="Y139" s="35" t="s">
        <v>66</v>
      </c>
      <c r="Z139" s="55"/>
      <c r="AA139" s="35" t="s">
        <v>45</v>
      </c>
      <c r="AB139" s="35"/>
      <c r="AC139" s="35">
        <v>0</v>
      </c>
      <c r="AD139" s="35"/>
      <c r="AE139" s="35">
        <v>0</v>
      </c>
      <c r="AF139" s="35"/>
      <c r="AG139" s="35">
        <v>0</v>
      </c>
      <c r="AH139" s="35"/>
      <c r="AI139" s="45">
        <f t="shared" si="29"/>
        <v>0</v>
      </c>
      <c r="AJ139" s="45"/>
      <c r="AK139" s="35">
        <v>0</v>
      </c>
      <c r="AL139" s="35"/>
      <c r="AM139" s="35">
        <v>0</v>
      </c>
      <c r="AN139" s="35"/>
      <c r="AO139" s="35">
        <v>0</v>
      </c>
      <c r="AP139" s="35"/>
      <c r="AQ139" s="35">
        <v>0</v>
      </c>
      <c r="AR139" s="35"/>
      <c r="AS139" s="45">
        <f t="shared" si="25"/>
        <v>0</v>
      </c>
      <c r="AT139" s="45"/>
      <c r="AU139" s="35">
        <v>0</v>
      </c>
      <c r="AV139" s="35"/>
      <c r="AW139" s="35">
        <v>0</v>
      </c>
      <c r="AX139" s="35"/>
      <c r="AY139" s="35">
        <f t="shared" si="32"/>
        <v>0</v>
      </c>
      <c r="AZ139" s="35"/>
      <c r="BA139" s="35" t="s">
        <v>66</v>
      </c>
      <c r="BB139" s="55"/>
      <c r="BC139" s="35" t="s">
        <v>45</v>
      </c>
      <c r="BD139" s="35"/>
      <c r="BE139" s="35">
        <v>0</v>
      </c>
      <c r="BF139" s="35"/>
      <c r="BG139" s="35">
        <v>0</v>
      </c>
      <c r="BH139" s="35"/>
      <c r="BI139" s="35">
        <v>0</v>
      </c>
      <c r="BJ139" s="35"/>
      <c r="BK139" s="35">
        <v>0</v>
      </c>
      <c r="BL139" s="35"/>
      <c r="BM139" s="35">
        <f t="shared" si="24"/>
        <v>0</v>
      </c>
      <c r="BN139" s="54" t="s">
        <v>347</v>
      </c>
    </row>
    <row r="140" spans="1:66" hidden="1">
      <c r="A140" s="35" t="s">
        <v>173</v>
      </c>
      <c r="C140" s="35" t="s">
        <v>66</v>
      </c>
      <c r="D140" s="35"/>
      <c r="E140" s="35">
        <f t="shared" si="30"/>
        <v>0</v>
      </c>
      <c r="F140" s="35"/>
      <c r="G140" s="35">
        <v>0</v>
      </c>
      <c r="H140" s="35"/>
      <c r="I140" s="35">
        <v>0</v>
      </c>
      <c r="J140" s="35"/>
      <c r="K140" s="35">
        <f t="shared" si="31"/>
        <v>0</v>
      </c>
      <c r="L140" s="35"/>
      <c r="M140" s="35">
        <v>0</v>
      </c>
      <c r="N140" s="35"/>
      <c r="O140" s="35">
        <v>0</v>
      </c>
      <c r="P140" s="35"/>
      <c r="Q140" s="35">
        <v>0</v>
      </c>
      <c r="R140" s="35"/>
      <c r="S140" s="35">
        <v>0</v>
      </c>
      <c r="T140" s="35"/>
      <c r="U140" s="35">
        <v>0</v>
      </c>
      <c r="V140" s="35"/>
      <c r="W140" s="35">
        <f t="shared" si="33"/>
        <v>0</v>
      </c>
      <c r="X140" s="35"/>
      <c r="Y140" s="35" t="s">
        <v>173</v>
      </c>
      <c r="Z140" s="55"/>
      <c r="AA140" s="35" t="s">
        <v>66</v>
      </c>
      <c r="AB140" s="35"/>
      <c r="AC140" s="35">
        <v>0</v>
      </c>
      <c r="AD140" s="35"/>
      <c r="AE140" s="35">
        <v>0</v>
      </c>
      <c r="AF140" s="35"/>
      <c r="AG140" s="35">
        <v>0</v>
      </c>
      <c r="AH140" s="35"/>
      <c r="AI140" s="45">
        <f t="shared" si="29"/>
        <v>0</v>
      </c>
      <c r="AJ140" s="45"/>
      <c r="AK140" s="35">
        <v>0</v>
      </c>
      <c r="AL140" s="35"/>
      <c r="AM140" s="35">
        <v>0</v>
      </c>
      <c r="AN140" s="35"/>
      <c r="AO140" s="35">
        <v>0</v>
      </c>
      <c r="AP140" s="35"/>
      <c r="AQ140" s="35">
        <v>0</v>
      </c>
      <c r="AR140" s="35"/>
      <c r="AS140" s="45">
        <f t="shared" si="25"/>
        <v>0</v>
      </c>
      <c r="AT140" s="45"/>
      <c r="AU140" s="35">
        <v>0</v>
      </c>
      <c r="AV140" s="35"/>
      <c r="AW140" s="35">
        <v>0</v>
      </c>
      <c r="AX140" s="35"/>
      <c r="AY140" s="35">
        <f t="shared" si="32"/>
        <v>0</v>
      </c>
      <c r="AZ140" s="35"/>
      <c r="BA140" s="35" t="s">
        <v>173</v>
      </c>
      <c r="BB140" s="55"/>
      <c r="BC140" s="35" t="s">
        <v>66</v>
      </c>
      <c r="BD140" s="35"/>
      <c r="BE140" s="35">
        <v>0</v>
      </c>
      <c r="BF140" s="35"/>
      <c r="BG140" s="35">
        <v>0</v>
      </c>
      <c r="BH140" s="35"/>
      <c r="BI140" s="35">
        <v>0</v>
      </c>
      <c r="BJ140" s="35"/>
      <c r="BK140" s="35">
        <v>0</v>
      </c>
      <c r="BL140" s="35"/>
      <c r="BM140" s="35">
        <f t="shared" si="24"/>
        <v>0</v>
      </c>
      <c r="BN140" s="54" t="s">
        <v>347</v>
      </c>
    </row>
    <row r="141" spans="1:66" hidden="1">
      <c r="A141" s="35" t="s">
        <v>174</v>
      </c>
      <c r="C141" s="35" t="s">
        <v>45</v>
      </c>
      <c r="D141" s="35"/>
      <c r="E141" s="35">
        <f t="shared" si="30"/>
        <v>0</v>
      </c>
      <c r="F141" s="35"/>
      <c r="G141" s="35">
        <v>0</v>
      </c>
      <c r="H141" s="35"/>
      <c r="I141" s="35">
        <v>0</v>
      </c>
      <c r="J141" s="35"/>
      <c r="K141" s="35">
        <f t="shared" si="31"/>
        <v>0</v>
      </c>
      <c r="L141" s="35"/>
      <c r="M141" s="35">
        <v>0</v>
      </c>
      <c r="N141" s="35"/>
      <c r="O141" s="35">
        <v>0</v>
      </c>
      <c r="P141" s="35"/>
      <c r="Q141" s="35">
        <v>0</v>
      </c>
      <c r="R141" s="35"/>
      <c r="S141" s="35">
        <v>0</v>
      </c>
      <c r="T141" s="35"/>
      <c r="U141" s="35">
        <v>0</v>
      </c>
      <c r="V141" s="35"/>
      <c r="W141" s="35">
        <f t="shared" si="33"/>
        <v>0</v>
      </c>
      <c r="X141" s="35"/>
      <c r="Y141" s="35" t="s">
        <v>174</v>
      </c>
      <c r="Z141" s="55"/>
      <c r="AA141" s="35" t="s">
        <v>45</v>
      </c>
      <c r="AB141" s="35"/>
      <c r="AC141" s="35">
        <v>0</v>
      </c>
      <c r="AD141" s="35"/>
      <c r="AE141" s="35">
        <v>0</v>
      </c>
      <c r="AF141" s="35"/>
      <c r="AG141" s="35">
        <v>0</v>
      </c>
      <c r="AH141" s="35"/>
      <c r="AI141" s="45">
        <f t="shared" si="29"/>
        <v>0</v>
      </c>
      <c r="AJ141" s="45"/>
      <c r="AK141" s="35">
        <v>0</v>
      </c>
      <c r="AL141" s="35"/>
      <c r="AM141" s="35">
        <v>0</v>
      </c>
      <c r="AN141" s="35"/>
      <c r="AO141" s="35">
        <v>0</v>
      </c>
      <c r="AP141" s="35"/>
      <c r="AQ141" s="35">
        <v>0</v>
      </c>
      <c r="AR141" s="35"/>
      <c r="AS141" s="45">
        <f t="shared" si="25"/>
        <v>0</v>
      </c>
      <c r="AT141" s="45"/>
      <c r="AU141" s="35">
        <v>0</v>
      </c>
      <c r="AV141" s="35"/>
      <c r="AW141" s="35">
        <v>0</v>
      </c>
      <c r="AX141" s="35"/>
      <c r="AY141" s="35">
        <f t="shared" si="32"/>
        <v>0</v>
      </c>
      <c r="AZ141" s="35"/>
      <c r="BA141" s="35" t="s">
        <v>174</v>
      </c>
      <c r="BB141" s="55"/>
      <c r="BC141" s="35" t="s">
        <v>45</v>
      </c>
      <c r="BD141" s="35"/>
      <c r="BE141" s="35">
        <v>0</v>
      </c>
      <c r="BF141" s="35"/>
      <c r="BG141" s="35">
        <v>0</v>
      </c>
      <c r="BH141" s="35"/>
      <c r="BI141" s="35">
        <v>0</v>
      </c>
      <c r="BJ141" s="35"/>
      <c r="BK141" s="35">
        <v>0</v>
      </c>
      <c r="BL141" s="35"/>
      <c r="BM141" s="35">
        <f t="shared" si="24"/>
        <v>0</v>
      </c>
      <c r="BN141" s="54" t="s">
        <v>347</v>
      </c>
    </row>
    <row r="142" spans="1:66" hidden="1">
      <c r="A142" s="35" t="s">
        <v>175</v>
      </c>
      <c r="C142" s="35" t="s">
        <v>176</v>
      </c>
      <c r="D142" s="35"/>
      <c r="E142" s="35">
        <f t="shared" si="30"/>
        <v>0</v>
      </c>
      <c r="F142" s="35"/>
      <c r="G142" s="35">
        <v>0</v>
      </c>
      <c r="H142" s="35"/>
      <c r="I142" s="35">
        <v>0</v>
      </c>
      <c r="J142" s="35"/>
      <c r="K142" s="35">
        <f t="shared" si="31"/>
        <v>0</v>
      </c>
      <c r="L142" s="35"/>
      <c r="M142" s="35">
        <v>0</v>
      </c>
      <c r="N142" s="35"/>
      <c r="O142" s="35">
        <v>0</v>
      </c>
      <c r="P142" s="35"/>
      <c r="Q142" s="35">
        <v>0</v>
      </c>
      <c r="R142" s="35"/>
      <c r="S142" s="35">
        <v>0</v>
      </c>
      <c r="T142" s="35"/>
      <c r="U142" s="35">
        <v>0</v>
      </c>
      <c r="V142" s="35"/>
      <c r="W142" s="35">
        <f t="shared" si="33"/>
        <v>0</v>
      </c>
      <c r="X142" s="35"/>
      <c r="Y142" s="35" t="s">
        <v>175</v>
      </c>
      <c r="Z142" s="55"/>
      <c r="AA142" s="35" t="s">
        <v>176</v>
      </c>
      <c r="AB142" s="35"/>
      <c r="AC142" s="35">
        <v>0</v>
      </c>
      <c r="AD142" s="35"/>
      <c r="AE142" s="35">
        <v>0</v>
      </c>
      <c r="AF142" s="35"/>
      <c r="AG142" s="35">
        <v>0</v>
      </c>
      <c r="AH142" s="35"/>
      <c r="AI142" s="45">
        <f t="shared" si="29"/>
        <v>0</v>
      </c>
      <c r="AJ142" s="45"/>
      <c r="AK142" s="35">
        <v>0</v>
      </c>
      <c r="AL142" s="35"/>
      <c r="AM142" s="35">
        <v>0</v>
      </c>
      <c r="AN142" s="35"/>
      <c r="AO142" s="35">
        <v>0</v>
      </c>
      <c r="AP142" s="35"/>
      <c r="AQ142" s="35">
        <v>0</v>
      </c>
      <c r="AR142" s="35"/>
      <c r="AS142" s="45">
        <f t="shared" si="25"/>
        <v>0</v>
      </c>
      <c r="AT142" s="45"/>
      <c r="AU142" s="35">
        <v>0</v>
      </c>
      <c r="AV142" s="35"/>
      <c r="AW142" s="35">
        <v>0</v>
      </c>
      <c r="AX142" s="35"/>
      <c r="AY142" s="35">
        <f t="shared" si="32"/>
        <v>0</v>
      </c>
      <c r="AZ142" s="35"/>
      <c r="BA142" s="35" t="s">
        <v>175</v>
      </c>
      <c r="BB142" s="55"/>
      <c r="BC142" s="35" t="s">
        <v>176</v>
      </c>
      <c r="BD142" s="35"/>
      <c r="BE142" s="35">
        <v>0</v>
      </c>
      <c r="BF142" s="35"/>
      <c r="BG142" s="35">
        <v>0</v>
      </c>
      <c r="BH142" s="35"/>
      <c r="BI142" s="35">
        <v>0</v>
      </c>
      <c r="BJ142" s="35"/>
      <c r="BK142" s="35">
        <v>0</v>
      </c>
      <c r="BL142" s="35"/>
      <c r="BM142" s="35">
        <v>0</v>
      </c>
      <c r="BN142" s="54" t="s">
        <v>347</v>
      </c>
    </row>
    <row r="143" spans="1:66" hidden="1">
      <c r="A143" s="35" t="s">
        <v>177</v>
      </c>
      <c r="C143" s="35" t="s">
        <v>13</v>
      </c>
      <c r="D143" s="35"/>
      <c r="E143" s="35">
        <f t="shared" si="30"/>
        <v>0</v>
      </c>
      <c r="F143" s="35"/>
      <c r="G143" s="35">
        <v>0</v>
      </c>
      <c r="H143" s="35"/>
      <c r="I143" s="35">
        <v>0</v>
      </c>
      <c r="J143" s="35"/>
      <c r="K143" s="35">
        <f t="shared" si="31"/>
        <v>0</v>
      </c>
      <c r="L143" s="35"/>
      <c r="M143" s="35">
        <v>0</v>
      </c>
      <c r="N143" s="35"/>
      <c r="O143" s="35">
        <v>0</v>
      </c>
      <c r="P143" s="35"/>
      <c r="Q143" s="35">
        <v>0</v>
      </c>
      <c r="R143" s="35"/>
      <c r="S143" s="35">
        <v>0</v>
      </c>
      <c r="T143" s="35"/>
      <c r="U143" s="35">
        <v>0</v>
      </c>
      <c r="V143" s="35"/>
      <c r="W143" s="35">
        <f t="shared" si="33"/>
        <v>0</v>
      </c>
      <c r="X143" s="35"/>
      <c r="Y143" s="35" t="s">
        <v>177</v>
      </c>
      <c r="Z143" s="55"/>
      <c r="AA143" s="35" t="s">
        <v>13</v>
      </c>
      <c r="AB143" s="35"/>
      <c r="AC143" s="35">
        <v>0</v>
      </c>
      <c r="AD143" s="35"/>
      <c r="AE143" s="35">
        <v>0</v>
      </c>
      <c r="AF143" s="35"/>
      <c r="AG143" s="35">
        <v>0</v>
      </c>
      <c r="AH143" s="35"/>
      <c r="AI143" s="45">
        <f t="shared" si="29"/>
        <v>0</v>
      </c>
      <c r="AJ143" s="45"/>
      <c r="AK143" s="35">
        <v>0</v>
      </c>
      <c r="AL143" s="35"/>
      <c r="AM143" s="35">
        <v>0</v>
      </c>
      <c r="AN143" s="35"/>
      <c r="AO143" s="35">
        <v>0</v>
      </c>
      <c r="AP143" s="35"/>
      <c r="AQ143" s="35">
        <v>0</v>
      </c>
      <c r="AR143" s="35"/>
      <c r="AS143" s="45">
        <f t="shared" si="25"/>
        <v>0</v>
      </c>
      <c r="AT143" s="45"/>
      <c r="AU143" s="35">
        <v>0</v>
      </c>
      <c r="AV143" s="35"/>
      <c r="AW143" s="35">
        <v>0</v>
      </c>
      <c r="AX143" s="35"/>
      <c r="AY143" s="35">
        <f t="shared" si="32"/>
        <v>0</v>
      </c>
      <c r="AZ143" s="35"/>
      <c r="BA143" s="35" t="s">
        <v>177</v>
      </c>
      <c r="BB143" s="55"/>
      <c r="BC143" s="35" t="s">
        <v>13</v>
      </c>
      <c r="BD143" s="35"/>
      <c r="BE143" s="35">
        <v>0</v>
      </c>
      <c r="BF143" s="35"/>
      <c r="BG143" s="35">
        <v>0</v>
      </c>
      <c r="BH143" s="35"/>
      <c r="BI143" s="35">
        <v>0</v>
      </c>
      <c r="BJ143" s="35"/>
      <c r="BK143" s="35">
        <v>0</v>
      </c>
      <c r="BL143" s="35"/>
      <c r="BM143" s="35">
        <f t="shared" ref="BM143:BM188" si="34">SUM(BE143:BK143)</f>
        <v>0</v>
      </c>
      <c r="BN143" s="54" t="s">
        <v>347</v>
      </c>
    </row>
    <row r="144" spans="1:66">
      <c r="A144" s="35" t="s">
        <v>178</v>
      </c>
      <c r="C144" s="35" t="s">
        <v>179</v>
      </c>
      <c r="D144" s="35"/>
      <c r="E144" s="35">
        <f t="shared" si="30"/>
        <v>18606024</v>
      </c>
      <c r="F144" s="35"/>
      <c r="G144" s="35">
        <v>41015769</v>
      </c>
      <c r="H144" s="35"/>
      <c r="I144" s="35">
        <v>59621793</v>
      </c>
      <c r="J144" s="35"/>
      <c r="K144" s="35">
        <f t="shared" si="31"/>
        <v>19186</v>
      </c>
      <c r="L144" s="35"/>
      <c r="M144" s="35">
        <v>13986</v>
      </c>
      <c r="N144" s="35"/>
      <c r="O144" s="35">
        <v>33172</v>
      </c>
      <c r="P144" s="35"/>
      <c r="Q144" s="35">
        <v>575111</v>
      </c>
      <c r="R144" s="35"/>
      <c r="S144" s="35">
        <v>0</v>
      </c>
      <c r="T144" s="35"/>
      <c r="U144" s="35">
        <v>486028</v>
      </c>
      <c r="V144" s="35"/>
      <c r="W144" s="35">
        <f t="shared" si="33"/>
        <v>1061139</v>
      </c>
      <c r="X144" s="35"/>
      <c r="Y144" s="35" t="s">
        <v>178</v>
      </c>
      <c r="Z144" s="55"/>
      <c r="AA144" s="35" t="s">
        <v>179</v>
      </c>
      <c r="AB144" s="35"/>
      <c r="AC144" s="35">
        <v>853623</v>
      </c>
      <c r="AD144" s="35"/>
      <c r="AE144" s="35">
        <f>763740-43225</f>
        <v>720515</v>
      </c>
      <c r="AF144" s="35"/>
      <c r="AG144" s="35">
        <v>43225</v>
      </c>
      <c r="AH144" s="35"/>
      <c r="AI144" s="45">
        <f t="shared" si="29"/>
        <v>89883</v>
      </c>
      <c r="AJ144" s="45"/>
      <c r="AK144" s="35">
        <v>9734</v>
      </c>
      <c r="AL144" s="35"/>
      <c r="AM144" s="35">
        <v>0</v>
      </c>
      <c r="AN144" s="35"/>
      <c r="AO144" s="35">
        <v>0</v>
      </c>
      <c r="AP144" s="35"/>
      <c r="AQ144" s="35">
        <v>0</v>
      </c>
      <c r="AR144" s="35"/>
      <c r="AS144" s="45">
        <f t="shared" si="25"/>
        <v>99617</v>
      </c>
      <c r="AT144" s="45"/>
      <c r="AU144" s="35">
        <v>0</v>
      </c>
      <c r="AV144" s="35"/>
      <c r="AW144" s="35">
        <v>0</v>
      </c>
      <c r="AX144" s="35"/>
      <c r="AY144" s="35">
        <f t="shared" si="32"/>
        <v>18586838</v>
      </c>
      <c r="AZ144" s="35"/>
      <c r="BA144" s="35" t="s">
        <v>178</v>
      </c>
      <c r="BB144" s="55"/>
      <c r="BC144" s="35" t="s">
        <v>179</v>
      </c>
      <c r="BD144" s="35"/>
      <c r="BE144" s="35">
        <v>0</v>
      </c>
      <c r="BF144" s="35"/>
      <c r="BG144" s="35">
        <v>0</v>
      </c>
      <c r="BH144" s="35"/>
      <c r="BI144" s="35">
        <v>0</v>
      </c>
      <c r="BJ144" s="35"/>
      <c r="BK144" s="35">
        <v>13986</v>
      </c>
      <c r="BL144" s="35"/>
      <c r="BM144" s="35">
        <f t="shared" si="34"/>
        <v>13986</v>
      </c>
      <c r="BN144" s="54" t="s">
        <v>347</v>
      </c>
    </row>
    <row r="145" spans="1:66" hidden="1">
      <c r="A145" s="35" t="s">
        <v>180</v>
      </c>
      <c r="C145" s="35" t="s">
        <v>20</v>
      </c>
      <c r="D145" s="35"/>
      <c r="E145" s="35">
        <f t="shared" si="30"/>
        <v>0</v>
      </c>
      <c r="F145" s="35"/>
      <c r="G145" s="35">
        <v>0</v>
      </c>
      <c r="H145" s="35"/>
      <c r="I145" s="35">
        <v>0</v>
      </c>
      <c r="J145" s="35"/>
      <c r="K145" s="35">
        <f t="shared" si="31"/>
        <v>0</v>
      </c>
      <c r="L145" s="35"/>
      <c r="M145" s="35">
        <v>0</v>
      </c>
      <c r="N145" s="35"/>
      <c r="O145" s="35">
        <v>0</v>
      </c>
      <c r="P145" s="35"/>
      <c r="Q145" s="35">
        <v>0</v>
      </c>
      <c r="R145" s="35"/>
      <c r="S145" s="35">
        <v>0</v>
      </c>
      <c r="T145" s="35"/>
      <c r="U145" s="35">
        <v>0</v>
      </c>
      <c r="V145" s="35"/>
      <c r="W145" s="35">
        <f t="shared" si="33"/>
        <v>0</v>
      </c>
      <c r="X145" s="35"/>
      <c r="Y145" s="35" t="s">
        <v>180</v>
      </c>
      <c r="Z145" s="55"/>
      <c r="AA145" s="35" t="s">
        <v>20</v>
      </c>
      <c r="AB145" s="35"/>
      <c r="AC145" s="35">
        <v>0</v>
      </c>
      <c r="AD145" s="35"/>
      <c r="AE145" s="35">
        <v>0</v>
      </c>
      <c r="AF145" s="35"/>
      <c r="AG145" s="35">
        <v>0</v>
      </c>
      <c r="AH145" s="35"/>
      <c r="AI145" s="45">
        <f t="shared" si="29"/>
        <v>0</v>
      </c>
      <c r="AJ145" s="45"/>
      <c r="AK145" s="35">
        <v>0</v>
      </c>
      <c r="AL145" s="35"/>
      <c r="AM145" s="35">
        <v>0</v>
      </c>
      <c r="AN145" s="35"/>
      <c r="AO145" s="35">
        <v>0</v>
      </c>
      <c r="AP145" s="35"/>
      <c r="AQ145" s="35">
        <v>0</v>
      </c>
      <c r="AR145" s="35"/>
      <c r="AS145" s="45">
        <f t="shared" si="25"/>
        <v>0</v>
      </c>
      <c r="AT145" s="45"/>
      <c r="AU145" s="35">
        <v>0</v>
      </c>
      <c r="AV145" s="35"/>
      <c r="AW145" s="35">
        <v>0</v>
      </c>
      <c r="AX145" s="35"/>
      <c r="AY145" s="35">
        <f t="shared" si="32"/>
        <v>0</v>
      </c>
      <c r="AZ145" s="35"/>
      <c r="BA145" s="35" t="s">
        <v>180</v>
      </c>
      <c r="BB145" s="55"/>
      <c r="BC145" s="35" t="s">
        <v>20</v>
      </c>
      <c r="BD145" s="35"/>
      <c r="BE145" s="35">
        <v>0</v>
      </c>
      <c r="BF145" s="35"/>
      <c r="BG145" s="35">
        <v>0</v>
      </c>
      <c r="BH145" s="35"/>
      <c r="BI145" s="35">
        <v>0</v>
      </c>
      <c r="BJ145" s="35"/>
      <c r="BK145" s="35">
        <v>0</v>
      </c>
      <c r="BL145" s="35"/>
      <c r="BM145" s="35">
        <f t="shared" si="34"/>
        <v>0</v>
      </c>
      <c r="BN145" s="54" t="s">
        <v>347</v>
      </c>
    </row>
    <row r="146" spans="1:66" hidden="1">
      <c r="A146" s="35" t="s">
        <v>182</v>
      </c>
      <c r="C146" s="35" t="s">
        <v>183</v>
      </c>
      <c r="D146" s="35"/>
      <c r="E146" s="35">
        <f t="shared" si="30"/>
        <v>0</v>
      </c>
      <c r="F146" s="35"/>
      <c r="G146" s="35">
        <v>0</v>
      </c>
      <c r="H146" s="35"/>
      <c r="I146" s="35">
        <v>0</v>
      </c>
      <c r="J146" s="35"/>
      <c r="K146" s="35">
        <f t="shared" si="31"/>
        <v>0</v>
      </c>
      <c r="L146" s="35"/>
      <c r="M146" s="35">
        <v>0</v>
      </c>
      <c r="N146" s="35"/>
      <c r="O146" s="35">
        <v>0</v>
      </c>
      <c r="P146" s="35"/>
      <c r="Q146" s="35">
        <v>0</v>
      </c>
      <c r="R146" s="35"/>
      <c r="S146" s="35">
        <v>0</v>
      </c>
      <c r="T146" s="35"/>
      <c r="U146" s="35">
        <v>0</v>
      </c>
      <c r="V146" s="35"/>
      <c r="W146" s="35">
        <f t="shared" si="33"/>
        <v>0</v>
      </c>
      <c r="X146" s="35"/>
      <c r="Y146" s="35" t="s">
        <v>182</v>
      </c>
      <c r="Z146" s="55"/>
      <c r="AA146" s="35" t="s">
        <v>183</v>
      </c>
      <c r="AB146" s="35"/>
      <c r="AC146" s="35">
        <v>0</v>
      </c>
      <c r="AD146" s="35"/>
      <c r="AE146" s="35">
        <v>0</v>
      </c>
      <c r="AF146" s="35"/>
      <c r="AG146" s="35">
        <v>0</v>
      </c>
      <c r="AH146" s="35"/>
      <c r="AI146" s="45">
        <f t="shared" si="29"/>
        <v>0</v>
      </c>
      <c r="AJ146" s="45"/>
      <c r="AK146" s="35">
        <v>0</v>
      </c>
      <c r="AL146" s="35"/>
      <c r="AM146" s="35">
        <v>0</v>
      </c>
      <c r="AN146" s="35"/>
      <c r="AO146" s="35">
        <v>0</v>
      </c>
      <c r="AP146" s="35"/>
      <c r="AQ146" s="35">
        <v>0</v>
      </c>
      <c r="AR146" s="35"/>
      <c r="AS146" s="45">
        <f t="shared" si="25"/>
        <v>0</v>
      </c>
      <c r="AT146" s="45"/>
      <c r="AU146" s="35">
        <v>0</v>
      </c>
      <c r="AV146" s="35"/>
      <c r="AW146" s="35">
        <v>0</v>
      </c>
      <c r="AX146" s="35"/>
      <c r="AY146" s="35">
        <f t="shared" si="32"/>
        <v>0</v>
      </c>
      <c r="AZ146" s="35"/>
      <c r="BA146" s="35" t="s">
        <v>182</v>
      </c>
      <c r="BB146" s="55"/>
      <c r="BC146" s="35" t="s">
        <v>183</v>
      </c>
      <c r="BD146" s="35"/>
      <c r="BE146" s="35">
        <v>0</v>
      </c>
      <c r="BF146" s="35"/>
      <c r="BG146" s="35">
        <v>0</v>
      </c>
      <c r="BH146" s="35"/>
      <c r="BI146" s="35">
        <v>0</v>
      </c>
      <c r="BJ146" s="35"/>
      <c r="BK146" s="35">
        <v>0</v>
      </c>
      <c r="BL146" s="35"/>
      <c r="BM146" s="35">
        <f t="shared" si="34"/>
        <v>0</v>
      </c>
      <c r="BN146" s="54" t="s">
        <v>347</v>
      </c>
    </row>
    <row r="147" spans="1:66">
      <c r="A147" s="35" t="s">
        <v>184</v>
      </c>
      <c r="C147" s="35" t="s">
        <v>89</v>
      </c>
      <c r="D147" s="35"/>
      <c r="E147" s="35">
        <f t="shared" si="30"/>
        <v>1067169</v>
      </c>
      <c r="F147" s="35"/>
      <c r="G147" s="35">
        <v>288814</v>
      </c>
      <c r="H147" s="35"/>
      <c r="I147" s="35">
        <v>1355983</v>
      </c>
      <c r="J147" s="35"/>
      <c r="K147" s="35">
        <f t="shared" si="31"/>
        <v>95430</v>
      </c>
      <c r="L147" s="35"/>
      <c r="M147" s="35">
        <v>30316</v>
      </c>
      <c r="N147" s="35"/>
      <c r="O147" s="35">
        <v>125746</v>
      </c>
      <c r="P147" s="35"/>
      <c r="Q147" s="35">
        <v>288814</v>
      </c>
      <c r="R147" s="35"/>
      <c r="S147" s="35">
        <v>0</v>
      </c>
      <c r="T147" s="35"/>
      <c r="U147" s="35">
        <v>941423</v>
      </c>
      <c r="V147" s="35"/>
      <c r="W147" s="35">
        <f t="shared" si="33"/>
        <v>1230237</v>
      </c>
      <c r="X147" s="35"/>
      <c r="Y147" s="35" t="s">
        <v>184</v>
      </c>
      <c r="Z147" s="55"/>
      <c r="AA147" s="35" t="s">
        <v>89</v>
      </c>
      <c r="AB147" s="35"/>
      <c r="AC147" s="35">
        <v>1423893</v>
      </c>
      <c r="AD147" s="35"/>
      <c r="AE147" s="35">
        <f>1446884-34287</f>
        <v>1412597</v>
      </c>
      <c r="AF147" s="35"/>
      <c r="AG147" s="35">
        <v>34287</v>
      </c>
      <c r="AH147" s="35"/>
      <c r="AI147" s="45">
        <f t="shared" si="29"/>
        <v>-22991</v>
      </c>
      <c r="AJ147" s="45"/>
      <c r="AK147" s="35">
        <v>357435</v>
      </c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25"/>
        <v>334444</v>
      </c>
      <c r="AT147" s="45"/>
      <c r="AU147" s="35">
        <v>0</v>
      </c>
      <c r="AV147" s="35"/>
      <c r="AW147" s="35">
        <v>0</v>
      </c>
      <c r="AX147" s="35"/>
      <c r="AY147" s="35">
        <f t="shared" si="32"/>
        <v>971739</v>
      </c>
      <c r="AZ147" s="35"/>
      <c r="BA147" s="35" t="s">
        <v>184</v>
      </c>
      <c r="BB147" s="55"/>
      <c r="BC147" s="35" t="s">
        <v>89</v>
      </c>
      <c r="BD147" s="35"/>
      <c r="BE147" s="35">
        <v>0</v>
      </c>
      <c r="BF147" s="35"/>
      <c r="BG147" s="35">
        <v>0</v>
      </c>
      <c r="BH147" s="35"/>
      <c r="BI147" s="35">
        <v>0</v>
      </c>
      <c r="BJ147" s="35"/>
      <c r="BK147" s="35">
        <f>30316+10663</f>
        <v>40979</v>
      </c>
      <c r="BL147" s="35"/>
      <c r="BM147" s="35">
        <f t="shared" si="34"/>
        <v>40979</v>
      </c>
      <c r="BN147" s="54" t="s">
        <v>347</v>
      </c>
    </row>
    <row r="148" spans="1:66" hidden="1">
      <c r="A148" s="35" t="s">
        <v>181</v>
      </c>
      <c r="C148" s="35" t="s">
        <v>125</v>
      </c>
      <c r="D148" s="35"/>
      <c r="E148" s="35">
        <f t="shared" si="30"/>
        <v>0</v>
      </c>
      <c r="F148" s="35"/>
      <c r="G148" s="35">
        <v>0</v>
      </c>
      <c r="H148" s="35"/>
      <c r="I148" s="35">
        <v>0</v>
      </c>
      <c r="J148" s="35"/>
      <c r="K148" s="35">
        <f t="shared" si="31"/>
        <v>0</v>
      </c>
      <c r="L148" s="35"/>
      <c r="M148" s="35">
        <v>0</v>
      </c>
      <c r="N148" s="35"/>
      <c r="O148" s="35">
        <v>0</v>
      </c>
      <c r="P148" s="35"/>
      <c r="Q148" s="35">
        <v>0</v>
      </c>
      <c r="R148" s="35"/>
      <c r="S148" s="35">
        <v>0</v>
      </c>
      <c r="T148" s="35"/>
      <c r="U148" s="35">
        <v>0</v>
      </c>
      <c r="V148" s="35"/>
      <c r="W148" s="35">
        <f t="shared" si="33"/>
        <v>0</v>
      </c>
      <c r="X148" s="35"/>
      <c r="Y148" s="35" t="s">
        <v>181</v>
      </c>
      <c r="Z148" s="55"/>
      <c r="AA148" s="35" t="s">
        <v>125</v>
      </c>
      <c r="AB148" s="35"/>
      <c r="AC148" s="35">
        <v>0</v>
      </c>
      <c r="AD148" s="35"/>
      <c r="AE148" s="35">
        <v>0</v>
      </c>
      <c r="AF148" s="35"/>
      <c r="AG148" s="35">
        <v>0</v>
      </c>
      <c r="AH148" s="35"/>
      <c r="AI148" s="45">
        <f t="shared" si="29"/>
        <v>0</v>
      </c>
      <c r="AJ148" s="45"/>
      <c r="AK148" s="35">
        <v>0</v>
      </c>
      <c r="AL148" s="35"/>
      <c r="AM148" s="35">
        <v>0</v>
      </c>
      <c r="AN148" s="35"/>
      <c r="AO148" s="35">
        <v>0</v>
      </c>
      <c r="AP148" s="35"/>
      <c r="AQ148" s="35">
        <v>0</v>
      </c>
      <c r="AR148" s="35"/>
      <c r="AS148" s="45">
        <f t="shared" si="25"/>
        <v>0</v>
      </c>
      <c r="AT148" s="45"/>
      <c r="AU148" s="35">
        <v>0</v>
      </c>
      <c r="AV148" s="35"/>
      <c r="AW148" s="35">
        <v>0</v>
      </c>
      <c r="AX148" s="35"/>
      <c r="AY148" s="35">
        <f t="shared" si="32"/>
        <v>0</v>
      </c>
      <c r="AZ148" s="35"/>
      <c r="BA148" s="35" t="s">
        <v>181</v>
      </c>
      <c r="BB148" s="55"/>
      <c r="BC148" s="35" t="s">
        <v>125</v>
      </c>
      <c r="BD148" s="35"/>
      <c r="BE148" s="35">
        <v>0</v>
      </c>
      <c r="BF148" s="35"/>
      <c r="BG148" s="35">
        <v>0</v>
      </c>
      <c r="BH148" s="35"/>
      <c r="BI148" s="35">
        <v>0</v>
      </c>
      <c r="BJ148" s="35"/>
      <c r="BK148" s="35">
        <v>0</v>
      </c>
      <c r="BL148" s="35"/>
      <c r="BM148" s="35">
        <f t="shared" si="34"/>
        <v>0</v>
      </c>
      <c r="BN148" s="54" t="s">
        <v>347</v>
      </c>
    </row>
    <row r="149" spans="1:66" hidden="1">
      <c r="A149" s="35" t="s">
        <v>185</v>
      </c>
      <c r="C149" s="35" t="s">
        <v>80</v>
      </c>
      <c r="D149" s="35"/>
      <c r="E149" s="35">
        <f t="shared" si="30"/>
        <v>0</v>
      </c>
      <c r="F149" s="35"/>
      <c r="G149" s="35">
        <v>0</v>
      </c>
      <c r="H149" s="35"/>
      <c r="I149" s="35">
        <v>0</v>
      </c>
      <c r="J149" s="35"/>
      <c r="K149" s="35">
        <f t="shared" si="31"/>
        <v>0</v>
      </c>
      <c r="L149" s="35"/>
      <c r="M149" s="35">
        <v>0</v>
      </c>
      <c r="N149" s="35"/>
      <c r="O149" s="35">
        <v>0</v>
      </c>
      <c r="P149" s="35"/>
      <c r="Q149" s="35">
        <v>0</v>
      </c>
      <c r="R149" s="35"/>
      <c r="S149" s="35">
        <v>0</v>
      </c>
      <c r="T149" s="35"/>
      <c r="U149" s="35">
        <v>0</v>
      </c>
      <c r="V149" s="35"/>
      <c r="W149" s="35">
        <f t="shared" si="33"/>
        <v>0</v>
      </c>
      <c r="X149" s="35"/>
      <c r="Y149" s="35" t="s">
        <v>185</v>
      </c>
      <c r="Z149" s="55"/>
      <c r="AA149" s="35" t="s">
        <v>80</v>
      </c>
      <c r="AB149" s="35"/>
      <c r="AC149" s="35">
        <v>0</v>
      </c>
      <c r="AD149" s="35"/>
      <c r="AE149" s="35">
        <v>0</v>
      </c>
      <c r="AF149" s="35"/>
      <c r="AG149" s="35">
        <v>0</v>
      </c>
      <c r="AH149" s="35"/>
      <c r="AI149" s="45">
        <f t="shared" si="29"/>
        <v>0</v>
      </c>
      <c r="AJ149" s="45"/>
      <c r="AK149" s="35">
        <v>0</v>
      </c>
      <c r="AL149" s="35"/>
      <c r="AM149" s="35">
        <v>0</v>
      </c>
      <c r="AN149" s="35"/>
      <c r="AO149" s="35">
        <v>0</v>
      </c>
      <c r="AP149" s="35"/>
      <c r="AQ149" s="35">
        <v>0</v>
      </c>
      <c r="AR149" s="35"/>
      <c r="AS149" s="45">
        <f t="shared" si="25"/>
        <v>0</v>
      </c>
      <c r="AT149" s="45"/>
      <c r="AU149" s="35">
        <v>0</v>
      </c>
      <c r="AV149" s="35"/>
      <c r="AW149" s="35">
        <v>0</v>
      </c>
      <c r="AX149" s="35"/>
      <c r="AY149" s="35">
        <f t="shared" si="32"/>
        <v>0</v>
      </c>
      <c r="AZ149" s="35"/>
      <c r="BA149" s="35" t="s">
        <v>185</v>
      </c>
      <c r="BB149" s="55"/>
      <c r="BC149" s="35" t="s">
        <v>80</v>
      </c>
      <c r="BD149" s="35"/>
      <c r="BE149" s="35">
        <v>0</v>
      </c>
      <c r="BF149" s="35"/>
      <c r="BG149" s="35">
        <v>0</v>
      </c>
      <c r="BH149" s="35"/>
      <c r="BI149" s="35">
        <v>0</v>
      </c>
      <c r="BJ149" s="35"/>
      <c r="BK149" s="35">
        <v>0</v>
      </c>
      <c r="BL149" s="35"/>
      <c r="BM149" s="35">
        <f t="shared" si="34"/>
        <v>0</v>
      </c>
      <c r="BN149" s="54" t="s">
        <v>347</v>
      </c>
    </row>
    <row r="150" spans="1:66" hidden="1">
      <c r="A150" s="35" t="s">
        <v>186</v>
      </c>
      <c r="C150" s="35" t="s">
        <v>15</v>
      </c>
      <c r="D150" s="35"/>
      <c r="E150" s="35">
        <f t="shared" si="30"/>
        <v>261807</v>
      </c>
      <c r="F150" s="35"/>
      <c r="G150" s="35">
        <v>0</v>
      </c>
      <c r="H150" s="35"/>
      <c r="I150" s="35">
        <v>261807</v>
      </c>
      <c r="J150" s="35"/>
      <c r="K150" s="35">
        <f t="shared" si="31"/>
        <v>87822</v>
      </c>
      <c r="L150" s="35"/>
      <c r="M150" s="35">
        <v>0</v>
      </c>
      <c r="N150" s="35"/>
      <c r="O150" s="35">
        <v>87822</v>
      </c>
      <c r="P150" s="35"/>
      <c r="Q150" s="35">
        <v>0</v>
      </c>
      <c r="R150" s="35"/>
      <c r="S150" s="35">
        <v>0</v>
      </c>
      <c r="T150" s="35"/>
      <c r="U150" s="35">
        <v>173985</v>
      </c>
      <c r="V150" s="35"/>
      <c r="W150" s="35">
        <f t="shared" ref="W150:W164" si="35">SUM(Q150:U150)</f>
        <v>173985</v>
      </c>
      <c r="X150" s="35"/>
      <c r="Y150" s="35" t="s">
        <v>186</v>
      </c>
      <c r="Z150" s="55"/>
      <c r="AA150" s="35" t="s">
        <v>15</v>
      </c>
      <c r="AB150" s="35"/>
      <c r="AC150" s="35">
        <v>811940</v>
      </c>
      <c r="AD150" s="35"/>
      <c r="AE150" s="35">
        <v>886457</v>
      </c>
      <c r="AF150" s="35"/>
      <c r="AG150" s="35">
        <v>0</v>
      </c>
      <c r="AH150" s="35"/>
      <c r="AI150" s="45">
        <f t="shared" si="29"/>
        <v>-74517</v>
      </c>
      <c r="AJ150" s="45"/>
      <c r="AK150" s="35">
        <v>51768</v>
      </c>
      <c r="AL150" s="35"/>
      <c r="AM150" s="35">
        <v>0</v>
      </c>
      <c r="AN150" s="35"/>
      <c r="AO150" s="35">
        <v>0</v>
      </c>
      <c r="AP150" s="35"/>
      <c r="AQ150" s="35">
        <v>0</v>
      </c>
      <c r="AR150" s="35"/>
      <c r="AS150" s="45">
        <f t="shared" si="25"/>
        <v>-22749</v>
      </c>
      <c r="AT150" s="45"/>
      <c r="AU150" s="35">
        <v>0</v>
      </c>
      <c r="AV150" s="35"/>
      <c r="AW150" s="35">
        <v>0</v>
      </c>
      <c r="AX150" s="35"/>
      <c r="AY150" s="35">
        <f t="shared" si="32"/>
        <v>173985</v>
      </c>
      <c r="AZ150" s="35"/>
      <c r="BA150" s="35" t="s">
        <v>186</v>
      </c>
      <c r="BB150" s="55"/>
      <c r="BC150" s="35" t="s">
        <v>15</v>
      </c>
      <c r="BD150" s="35"/>
      <c r="BE150" s="35">
        <v>0</v>
      </c>
      <c r="BF150" s="35"/>
      <c r="BG150" s="35">
        <v>0</v>
      </c>
      <c r="BH150" s="35"/>
      <c r="BI150" s="35">
        <v>0</v>
      </c>
      <c r="BJ150" s="35"/>
      <c r="BK150" s="35">
        <v>0</v>
      </c>
      <c r="BL150" s="35"/>
      <c r="BM150" s="35">
        <f t="shared" ref="BM150:BM164" si="36">SUM(BE150:BK150)</f>
        <v>0</v>
      </c>
      <c r="BN150" s="54" t="s">
        <v>347</v>
      </c>
    </row>
    <row r="151" spans="1:66" hidden="1">
      <c r="A151" s="35" t="s">
        <v>187</v>
      </c>
      <c r="C151" s="35" t="s">
        <v>27</v>
      </c>
      <c r="D151" s="35"/>
      <c r="E151" s="35">
        <f t="shared" si="30"/>
        <v>0</v>
      </c>
      <c r="F151" s="35"/>
      <c r="G151" s="35">
        <v>0</v>
      </c>
      <c r="H151" s="35"/>
      <c r="I151" s="35">
        <v>0</v>
      </c>
      <c r="J151" s="35"/>
      <c r="K151" s="35">
        <f t="shared" si="31"/>
        <v>0</v>
      </c>
      <c r="L151" s="35"/>
      <c r="M151" s="35">
        <v>0</v>
      </c>
      <c r="N151" s="35"/>
      <c r="O151" s="35">
        <v>0</v>
      </c>
      <c r="P151" s="35"/>
      <c r="Q151" s="35">
        <v>0</v>
      </c>
      <c r="R151" s="35"/>
      <c r="S151" s="35">
        <v>0</v>
      </c>
      <c r="T151" s="35"/>
      <c r="U151" s="35">
        <v>0</v>
      </c>
      <c r="V151" s="35"/>
      <c r="W151" s="35">
        <f t="shared" si="35"/>
        <v>0</v>
      </c>
      <c r="X151" s="35"/>
      <c r="Y151" s="35" t="s">
        <v>187</v>
      </c>
      <c r="Z151" s="55"/>
      <c r="AA151" s="35" t="s">
        <v>27</v>
      </c>
      <c r="AB151" s="35"/>
      <c r="AC151" s="35">
        <v>0</v>
      </c>
      <c r="AD151" s="35"/>
      <c r="AE151" s="35">
        <v>0</v>
      </c>
      <c r="AF151" s="35"/>
      <c r="AG151" s="35">
        <v>0</v>
      </c>
      <c r="AH151" s="35"/>
      <c r="AI151" s="45">
        <f t="shared" si="29"/>
        <v>0</v>
      </c>
      <c r="AJ151" s="45"/>
      <c r="AK151" s="35">
        <v>0</v>
      </c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25"/>
        <v>0</v>
      </c>
      <c r="AT151" s="45"/>
      <c r="AU151" s="35">
        <v>0</v>
      </c>
      <c r="AV151" s="35"/>
      <c r="AW151" s="35">
        <v>0</v>
      </c>
      <c r="AX151" s="35"/>
      <c r="AY151" s="35">
        <f t="shared" si="32"/>
        <v>0</v>
      </c>
      <c r="AZ151" s="35"/>
      <c r="BA151" s="35" t="s">
        <v>187</v>
      </c>
      <c r="BB151" s="55"/>
      <c r="BC151" s="35" t="s">
        <v>27</v>
      </c>
      <c r="BD151" s="35"/>
      <c r="BE151" s="35">
        <v>0</v>
      </c>
      <c r="BF151" s="35"/>
      <c r="BG151" s="35">
        <v>0</v>
      </c>
      <c r="BH151" s="35"/>
      <c r="BI151" s="35">
        <v>0</v>
      </c>
      <c r="BJ151" s="35"/>
      <c r="BK151" s="35">
        <v>0</v>
      </c>
      <c r="BL151" s="35"/>
      <c r="BM151" s="35">
        <f t="shared" si="36"/>
        <v>0</v>
      </c>
      <c r="BN151" s="54" t="s">
        <v>347</v>
      </c>
    </row>
    <row r="152" spans="1:66" hidden="1">
      <c r="A152" s="35" t="s">
        <v>189</v>
      </c>
      <c r="C152" s="35" t="s">
        <v>17</v>
      </c>
      <c r="D152" s="35"/>
      <c r="E152" s="35">
        <f t="shared" si="30"/>
        <v>0</v>
      </c>
      <c r="F152" s="35"/>
      <c r="G152" s="35">
        <v>0</v>
      </c>
      <c r="H152" s="35"/>
      <c r="I152" s="35">
        <v>0</v>
      </c>
      <c r="J152" s="35"/>
      <c r="K152" s="35">
        <f t="shared" si="31"/>
        <v>0</v>
      </c>
      <c r="L152" s="35"/>
      <c r="M152" s="35">
        <v>0</v>
      </c>
      <c r="N152" s="35"/>
      <c r="O152" s="35">
        <v>0</v>
      </c>
      <c r="P152" s="35"/>
      <c r="Q152" s="35">
        <v>0</v>
      </c>
      <c r="R152" s="35"/>
      <c r="S152" s="35">
        <v>0</v>
      </c>
      <c r="T152" s="35"/>
      <c r="U152" s="35">
        <v>0</v>
      </c>
      <c r="V152" s="35"/>
      <c r="W152" s="35">
        <f t="shared" si="35"/>
        <v>0</v>
      </c>
      <c r="X152" s="35"/>
      <c r="Y152" s="35" t="s">
        <v>189</v>
      </c>
      <c r="Z152" s="55"/>
      <c r="AA152" s="35" t="s">
        <v>17</v>
      </c>
      <c r="AB152" s="35"/>
      <c r="AC152" s="35">
        <v>0</v>
      </c>
      <c r="AD152" s="35"/>
      <c r="AE152" s="35">
        <v>0</v>
      </c>
      <c r="AF152" s="35"/>
      <c r="AG152" s="35">
        <v>0</v>
      </c>
      <c r="AH152" s="35"/>
      <c r="AI152" s="45">
        <f t="shared" si="29"/>
        <v>0</v>
      </c>
      <c r="AJ152" s="45"/>
      <c r="AK152" s="35">
        <v>0</v>
      </c>
      <c r="AL152" s="35"/>
      <c r="AM152" s="35">
        <v>0</v>
      </c>
      <c r="AN152" s="35"/>
      <c r="AO152" s="35">
        <v>0</v>
      </c>
      <c r="AP152" s="35"/>
      <c r="AQ152" s="35">
        <v>0</v>
      </c>
      <c r="AR152" s="35"/>
      <c r="AS152" s="45">
        <f t="shared" si="25"/>
        <v>0</v>
      </c>
      <c r="AT152" s="45"/>
      <c r="AU152" s="35">
        <v>0</v>
      </c>
      <c r="AV152" s="35"/>
      <c r="AW152" s="35">
        <v>0</v>
      </c>
      <c r="AX152" s="35"/>
      <c r="AY152" s="35">
        <f t="shared" si="32"/>
        <v>0</v>
      </c>
      <c r="AZ152" s="35"/>
      <c r="BA152" s="35" t="s">
        <v>189</v>
      </c>
      <c r="BB152" s="55"/>
      <c r="BC152" s="35" t="s">
        <v>17</v>
      </c>
      <c r="BD152" s="35"/>
      <c r="BE152" s="35">
        <v>0</v>
      </c>
      <c r="BF152" s="35"/>
      <c r="BG152" s="35">
        <v>0</v>
      </c>
      <c r="BH152" s="35"/>
      <c r="BI152" s="35">
        <v>0</v>
      </c>
      <c r="BJ152" s="35"/>
      <c r="BK152" s="35">
        <v>0</v>
      </c>
      <c r="BL152" s="35"/>
      <c r="BM152" s="35">
        <f t="shared" si="36"/>
        <v>0</v>
      </c>
      <c r="BN152" s="54" t="s">
        <v>347</v>
      </c>
    </row>
    <row r="153" spans="1:66" hidden="1">
      <c r="A153" s="35" t="s">
        <v>188</v>
      </c>
      <c r="C153" s="35" t="s">
        <v>27</v>
      </c>
      <c r="D153" s="35"/>
      <c r="E153" s="35">
        <f t="shared" si="30"/>
        <v>0</v>
      </c>
      <c r="F153" s="35"/>
      <c r="G153" s="35">
        <v>0</v>
      </c>
      <c r="H153" s="35"/>
      <c r="I153" s="35">
        <v>0</v>
      </c>
      <c r="J153" s="35"/>
      <c r="K153" s="35">
        <f t="shared" si="31"/>
        <v>0</v>
      </c>
      <c r="L153" s="35"/>
      <c r="M153" s="35">
        <v>0</v>
      </c>
      <c r="N153" s="35"/>
      <c r="O153" s="35">
        <v>0</v>
      </c>
      <c r="P153" s="35"/>
      <c r="Q153" s="35">
        <v>0</v>
      </c>
      <c r="R153" s="35"/>
      <c r="S153" s="35">
        <v>0</v>
      </c>
      <c r="T153" s="35"/>
      <c r="U153" s="35">
        <v>0</v>
      </c>
      <c r="V153" s="35"/>
      <c r="W153" s="35">
        <f t="shared" si="35"/>
        <v>0</v>
      </c>
      <c r="X153" s="35"/>
      <c r="Y153" s="35" t="s">
        <v>188</v>
      </c>
      <c r="Z153" s="55"/>
      <c r="AA153" s="35" t="s">
        <v>27</v>
      </c>
      <c r="AB153" s="35"/>
      <c r="AC153" s="35">
        <v>0</v>
      </c>
      <c r="AD153" s="35"/>
      <c r="AE153" s="35">
        <v>0</v>
      </c>
      <c r="AF153" s="35"/>
      <c r="AG153" s="35">
        <v>0</v>
      </c>
      <c r="AH153" s="35"/>
      <c r="AI153" s="45">
        <f t="shared" si="29"/>
        <v>0</v>
      </c>
      <c r="AJ153" s="45"/>
      <c r="AK153" s="35">
        <v>0</v>
      </c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25"/>
        <v>0</v>
      </c>
      <c r="AT153" s="45"/>
      <c r="AU153" s="35">
        <v>0</v>
      </c>
      <c r="AV153" s="35"/>
      <c r="AW153" s="35">
        <v>0</v>
      </c>
      <c r="AX153" s="35"/>
      <c r="AY153" s="35">
        <f t="shared" si="32"/>
        <v>0</v>
      </c>
      <c r="AZ153" s="35"/>
      <c r="BA153" s="35" t="s">
        <v>188</v>
      </c>
      <c r="BB153" s="55"/>
      <c r="BC153" s="35" t="s">
        <v>27</v>
      </c>
      <c r="BD153" s="35"/>
      <c r="BE153" s="35">
        <v>0</v>
      </c>
      <c r="BF153" s="35"/>
      <c r="BG153" s="35">
        <v>0</v>
      </c>
      <c r="BH153" s="35"/>
      <c r="BI153" s="35">
        <v>0</v>
      </c>
      <c r="BJ153" s="35"/>
      <c r="BK153" s="35">
        <v>0</v>
      </c>
      <c r="BL153" s="35"/>
      <c r="BM153" s="35">
        <f t="shared" si="36"/>
        <v>0</v>
      </c>
      <c r="BN153" s="54" t="s">
        <v>347</v>
      </c>
    </row>
    <row r="154" spans="1:66" hidden="1">
      <c r="A154" s="35" t="s">
        <v>190</v>
      </c>
      <c r="C154" s="35" t="s">
        <v>47</v>
      </c>
      <c r="D154" s="35"/>
      <c r="E154" s="35">
        <f t="shared" si="30"/>
        <v>0</v>
      </c>
      <c r="F154" s="35"/>
      <c r="G154" s="35">
        <v>0</v>
      </c>
      <c r="H154" s="35"/>
      <c r="I154" s="35">
        <v>0</v>
      </c>
      <c r="J154" s="35"/>
      <c r="K154" s="35">
        <f t="shared" si="31"/>
        <v>0</v>
      </c>
      <c r="L154" s="35"/>
      <c r="M154" s="35">
        <v>0</v>
      </c>
      <c r="N154" s="35"/>
      <c r="O154" s="35">
        <v>0</v>
      </c>
      <c r="P154" s="35"/>
      <c r="Q154" s="35">
        <v>0</v>
      </c>
      <c r="R154" s="35"/>
      <c r="S154" s="35">
        <v>0</v>
      </c>
      <c r="T154" s="35"/>
      <c r="U154" s="35">
        <v>0</v>
      </c>
      <c r="V154" s="35"/>
      <c r="W154" s="35">
        <f t="shared" si="35"/>
        <v>0</v>
      </c>
      <c r="X154" s="35"/>
      <c r="Y154" s="35" t="s">
        <v>190</v>
      </c>
      <c r="Z154" s="55"/>
      <c r="AA154" s="35" t="s">
        <v>47</v>
      </c>
      <c r="AB154" s="35"/>
      <c r="AC154" s="35">
        <v>0</v>
      </c>
      <c r="AD154" s="35"/>
      <c r="AE154" s="35">
        <v>0</v>
      </c>
      <c r="AF154" s="35"/>
      <c r="AG154" s="35">
        <v>0</v>
      </c>
      <c r="AH154" s="35"/>
      <c r="AI154" s="45">
        <f t="shared" si="29"/>
        <v>0</v>
      </c>
      <c r="AJ154" s="45"/>
      <c r="AK154" s="35">
        <v>0</v>
      </c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25"/>
        <v>0</v>
      </c>
      <c r="AT154" s="45"/>
      <c r="AU154" s="35">
        <v>0</v>
      </c>
      <c r="AV154" s="35"/>
      <c r="AW154" s="35">
        <v>0</v>
      </c>
      <c r="AX154" s="35"/>
      <c r="AY154" s="35">
        <f t="shared" si="32"/>
        <v>0</v>
      </c>
      <c r="AZ154" s="35"/>
      <c r="BA154" s="35" t="s">
        <v>190</v>
      </c>
      <c r="BB154" s="55"/>
      <c r="BC154" s="35" t="s">
        <v>47</v>
      </c>
      <c r="BD154" s="35"/>
      <c r="BE154" s="35">
        <v>0</v>
      </c>
      <c r="BF154" s="35"/>
      <c r="BG154" s="35">
        <v>0</v>
      </c>
      <c r="BH154" s="35"/>
      <c r="BI154" s="35">
        <v>0</v>
      </c>
      <c r="BJ154" s="35"/>
      <c r="BK154" s="35">
        <v>0</v>
      </c>
      <c r="BL154" s="35"/>
      <c r="BM154" s="35">
        <f t="shared" si="36"/>
        <v>0</v>
      </c>
      <c r="BN154" s="54" t="s">
        <v>347</v>
      </c>
    </row>
    <row r="155" spans="1:66" hidden="1">
      <c r="A155" s="35" t="s">
        <v>191</v>
      </c>
      <c r="C155" s="35" t="s">
        <v>13</v>
      </c>
      <c r="D155" s="35"/>
      <c r="E155" s="35">
        <f t="shared" si="30"/>
        <v>0</v>
      </c>
      <c r="F155" s="35"/>
      <c r="G155" s="35">
        <v>0</v>
      </c>
      <c r="H155" s="35"/>
      <c r="I155" s="35">
        <v>0</v>
      </c>
      <c r="J155" s="35"/>
      <c r="K155" s="35">
        <f t="shared" si="31"/>
        <v>0</v>
      </c>
      <c r="L155" s="35"/>
      <c r="M155" s="35">
        <v>0</v>
      </c>
      <c r="N155" s="35"/>
      <c r="O155" s="35">
        <v>0</v>
      </c>
      <c r="P155" s="35"/>
      <c r="Q155" s="35">
        <v>0</v>
      </c>
      <c r="R155" s="35"/>
      <c r="S155" s="35">
        <v>0</v>
      </c>
      <c r="T155" s="35"/>
      <c r="U155" s="35">
        <v>0</v>
      </c>
      <c r="V155" s="35"/>
      <c r="W155" s="35">
        <f t="shared" si="35"/>
        <v>0</v>
      </c>
      <c r="X155" s="35"/>
      <c r="Y155" s="35" t="s">
        <v>191</v>
      </c>
      <c r="Z155" s="55"/>
      <c r="AA155" s="35" t="s">
        <v>13</v>
      </c>
      <c r="AB155" s="35"/>
      <c r="AC155" s="35">
        <v>0</v>
      </c>
      <c r="AD155" s="35"/>
      <c r="AE155" s="35">
        <v>0</v>
      </c>
      <c r="AF155" s="35"/>
      <c r="AG155" s="35">
        <v>0</v>
      </c>
      <c r="AH155" s="35"/>
      <c r="AI155" s="45">
        <f t="shared" si="29"/>
        <v>0</v>
      </c>
      <c r="AJ155" s="45"/>
      <c r="AK155" s="35">
        <v>0</v>
      </c>
      <c r="AL155" s="35"/>
      <c r="AM155" s="35">
        <v>0</v>
      </c>
      <c r="AN155" s="35"/>
      <c r="AO155" s="35">
        <v>0</v>
      </c>
      <c r="AP155" s="35"/>
      <c r="AQ155" s="35">
        <v>0</v>
      </c>
      <c r="AR155" s="35"/>
      <c r="AS155" s="45">
        <f t="shared" si="25"/>
        <v>0</v>
      </c>
      <c r="AT155" s="45"/>
      <c r="AU155" s="35">
        <v>0</v>
      </c>
      <c r="AV155" s="35"/>
      <c r="AW155" s="35">
        <v>0</v>
      </c>
      <c r="AX155" s="35"/>
      <c r="AY155" s="35">
        <f t="shared" si="32"/>
        <v>0</v>
      </c>
      <c r="AZ155" s="35"/>
      <c r="BA155" s="35" t="s">
        <v>191</v>
      </c>
      <c r="BB155" s="55"/>
      <c r="BC155" s="35" t="s">
        <v>13</v>
      </c>
      <c r="BD155" s="35"/>
      <c r="BE155" s="35">
        <v>0</v>
      </c>
      <c r="BF155" s="35"/>
      <c r="BG155" s="35">
        <v>0</v>
      </c>
      <c r="BH155" s="35"/>
      <c r="BI155" s="35">
        <v>0</v>
      </c>
      <c r="BJ155" s="35"/>
      <c r="BK155" s="35">
        <v>0</v>
      </c>
      <c r="BL155" s="35"/>
      <c r="BM155" s="35">
        <f t="shared" si="36"/>
        <v>0</v>
      </c>
      <c r="BN155" s="54" t="s">
        <v>347</v>
      </c>
    </row>
    <row r="156" spans="1:66">
      <c r="A156" s="35" t="s">
        <v>192</v>
      </c>
      <c r="C156" s="35" t="s">
        <v>38</v>
      </c>
      <c r="D156" s="35"/>
      <c r="E156" s="35">
        <f t="shared" si="30"/>
        <v>957865</v>
      </c>
      <c r="F156" s="35"/>
      <c r="G156" s="35">
        <v>618996</v>
      </c>
      <c r="H156" s="35"/>
      <c r="I156" s="35">
        <v>1576861</v>
      </c>
      <c r="J156" s="35"/>
      <c r="K156" s="35">
        <f t="shared" si="31"/>
        <v>87877</v>
      </c>
      <c r="L156" s="35"/>
      <c r="M156" s="35">
        <v>43011</v>
      </c>
      <c r="N156" s="35"/>
      <c r="O156" s="35">
        <v>130888</v>
      </c>
      <c r="P156" s="35"/>
      <c r="Q156" s="35">
        <v>618996</v>
      </c>
      <c r="R156" s="35"/>
      <c r="S156" s="35">
        <v>0</v>
      </c>
      <c r="T156" s="35"/>
      <c r="U156" s="35">
        <v>826977</v>
      </c>
      <c r="V156" s="35"/>
      <c r="W156" s="35">
        <f t="shared" si="35"/>
        <v>1445973</v>
      </c>
      <c r="X156" s="35"/>
      <c r="Y156" s="35" t="s">
        <v>192</v>
      </c>
      <c r="Z156" s="55"/>
      <c r="AA156" s="35" t="s">
        <v>38</v>
      </c>
      <c r="AB156" s="35"/>
      <c r="AC156" s="35">
        <v>36418</v>
      </c>
      <c r="AD156" s="35"/>
      <c r="AE156" s="35">
        <f>991378-66885</f>
        <v>924493</v>
      </c>
      <c r="AF156" s="35"/>
      <c r="AG156" s="35">
        <v>66885</v>
      </c>
      <c r="AH156" s="35"/>
      <c r="AI156" s="45">
        <f t="shared" si="29"/>
        <v>-954960</v>
      </c>
      <c r="AJ156" s="45"/>
      <c r="AK156" s="35">
        <v>1003715</v>
      </c>
      <c r="AL156" s="35"/>
      <c r="AM156" s="35">
        <v>0</v>
      </c>
      <c r="AN156" s="35"/>
      <c r="AO156" s="35">
        <v>0</v>
      </c>
      <c r="AP156" s="35"/>
      <c r="AQ156" s="35">
        <v>0</v>
      </c>
      <c r="AR156" s="35"/>
      <c r="AS156" s="45">
        <f t="shared" si="25"/>
        <v>48755</v>
      </c>
      <c r="AT156" s="45"/>
      <c r="AU156" s="35">
        <v>0</v>
      </c>
      <c r="AV156" s="35"/>
      <c r="AW156" s="35">
        <v>0</v>
      </c>
      <c r="AX156" s="35"/>
      <c r="AY156" s="35">
        <f t="shared" si="32"/>
        <v>869988</v>
      </c>
      <c r="AZ156" s="35"/>
      <c r="BA156" s="35" t="s">
        <v>192</v>
      </c>
      <c r="BB156" s="55"/>
      <c r="BC156" s="35" t="s">
        <v>38</v>
      </c>
      <c r="BD156" s="35"/>
      <c r="BE156" s="35">
        <v>0</v>
      </c>
      <c r="BF156" s="35"/>
      <c r="BG156" s="35">
        <v>0</v>
      </c>
      <c r="BH156" s="35"/>
      <c r="BI156" s="35">
        <v>0</v>
      </c>
      <c r="BJ156" s="35"/>
      <c r="BK156" s="35">
        <f>43011+25946</f>
        <v>68957</v>
      </c>
      <c r="BL156" s="35"/>
      <c r="BM156" s="35">
        <f t="shared" si="36"/>
        <v>68957</v>
      </c>
      <c r="BN156" s="54" t="s">
        <v>347</v>
      </c>
    </row>
    <row r="157" spans="1:66" hidden="1">
      <c r="A157" s="35" t="s">
        <v>193</v>
      </c>
      <c r="C157" s="35" t="s">
        <v>45</v>
      </c>
      <c r="D157" s="35"/>
      <c r="E157" s="35">
        <f t="shared" si="30"/>
        <v>516428</v>
      </c>
      <c r="F157" s="35"/>
      <c r="G157" s="35">
        <v>0</v>
      </c>
      <c r="H157" s="35"/>
      <c r="I157" s="35">
        <v>516428</v>
      </c>
      <c r="J157" s="35"/>
      <c r="K157" s="35">
        <f t="shared" si="31"/>
        <v>0</v>
      </c>
      <c r="L157" s="35"/>
      <c r="M157" s="35">
        <v>0</v>
      </c>
      <c r="N157" s="35"/>
      <c r="O157" s="35">
        <v>0</v>
      </c>
      <c r="P157" s="35"/>
      <c r="Q157" s="35">
        <v>0</v>
      </c>
      <c r="R157" s="35"/>
      <c r="S157" s="35">
        <v>0</v>
      </c>
      <c r="T157" s="35"/>
      <c r="U157" s="35">
        <v>516428</v>
      </c>
      <c r="V157" s="35"/>
      <c r="W157" s="35">
        <f t="shared" si="35"/>
        <v>516428</v>
      </c>
      <c r="X157" s="35"/>
      <c r="Y157" s="35" t="s">
        <v>193</v>
      </c>
      <c r="Z157" s="55"/>
      <c r="AA157" s="35" t="s">
        <v>45</v>
      </c>
      <c r="AB157" s="35"/>
      <c r="AC157" s="35">
        <v>1285680</v>
      </c>
      <c r="AD157" s="35"/>
      <c r="AE157" s="35">
        <v>1104172</v>
      </c>
      <c r="AF157" s="35"/>
      <c r="AG157" s="35">
        <v>0</v>
      </c>
      <c r="AH157" s="35"/>
      <c r="AI157" s="45">
        <f t="shared" si="29"/>
        <v>181508</v>
      </c>
      <c r="AJ157" s="45"/>
      <c r="AK157" s="35">
        <v>0</v>
      </c>
      <c r="AL157" s="35"/>
      <c r="AM157" s="35">
        <v>0</v>
      </c>
      <c r="AN157" s="35"/>
      <c r="AO157" s="35">
        <v>0</v>
      </c>
      <c r="AP157" s="35"/>
      <c r="AQ157" s="35">
        <v>0</v>
      </c>
      <c r="AR157" s="35"/>
      <c r="AS157" s="45">
        <f t="shared" si="25"/>
        <v>181508</v>
      </c>
      <c r="AT157" s="45"/>
      <c r="AU157" s="35">
        <v>0</v>
      </c>
      <c r="AV157" s="35"/>
      <c r="AW157" s="35">
        <v>0</v>
      </c>
      <c r="AX157" s="35"/>
      <c r="AY157" s="35">
        <f t="shared" si="32"/>
        <v>516428</v>
      </c>
      <c r="AZ157" s="35"/>
      <c r="BA157" s="35" t="s">
        <v>193</v>
      </c>
      <c r="BB157" s="55"/>
      <c r="BC157" s="35" t="s">
        <v>45</v>
      </c>
      <c r="BD157" s="35"/>
      <c r="BE157" s="35">
        <v>0</v>
      </c>
      <c r="BF157" s="35"/>
      <c r="BG157" s="35">
        <v>0</v>
      </c>
      <c r="BH157" s="35"/>
      <c r="BI157" s="35">
        <v>0</v>
      </c>
      <c r="BJ157" s="35"/>
      <c r="BK157" s="35">
        <v>0</v>
      </c>
      <c r="BL157" s="35"/>
      <c r="BM157" s="35">
        <f t="shared" si="36"/>
        <v>0</v>
      </c>
      <c r="BN157" s="54" t="s">
        <v>347</v>
      </c>
    </row>
    <row r="158" spans="1:66" hidden="1">
      <c r="A158" s="35" t="s">
        <v>194</v>
      </c>
      <c r="C158" s="35" t="s">
        <v>66</v>
      </c>
      <c r="D158" s="35"/>
      <c r="E158" s="35">
        <f t="shared" si="30"/>
        <v>0</v>
      </c>
      <c r="F158" s="35"/>
      <c r="G158" s="35">
        <v>0</v>
      </c>
      <c r="H158" s="35"/>
      <c r="I158" s="35">
        <v>0</v>
      </c>
      <c r="J158" s="35"/>
      <c r="K158" s="35">
        <f t="shared" si="31"/>
        <v>0</v>
      </c>
      <c r="L158" s="35"/>
      <c r="M158" s="35">
        <v>0</v>
      </c>
      <c r="N158" s="35"/>
      <c r="O158" s="35">
        <v>0</v>
      </c>
      <c r="P158" s="35"/>
      <c r="Q158" s="35">
        <v>0</v>
      </c>
      <c r="R158" s="35"/>
      <c r="S158" s="35">
        <v>0</v>
      </c>
      <c r="T158" s="35"/>
      <c r="U158" s="35">
        <v>0</v>
      </c>
      <c r="V158" s="35"/>
      <c r="W158" s="35">
        <f t="shared" si="35"/>
        <v>0</v>
      </c>
      <c r="X158" s="35"/>
      <c r="Y158" s="35" t="s">
        <v>194</v>
      </c>
      <c r="Z158" s="55"/>
      <c r="AA158" s="35" t="s">
        <v>66</v>
      </c>
      <c r="AB158" s="35"/>
      <c r="AC158" s="35">
        <v>0</v>
      </c>
      <c r="AD158" s="35"/>
      <c r="AE158" s="35">
        <v>0</v>
      </c>
      <c r="AF158" s="35"/>
      <c r="AG158" s="35">
        <v>0</v>
      </c>
      <c r="AH158" s="35"/>
      <c r="AI158" s="45">
        <f t="shared" si="29"/>
        <v>0</v>
      </c>
      <c r="AJ158" s="45"/>
      <c r="AK158" s="35">
        <v>0</v>
      </c>
      <c r="AL158" s="35"/>
      <c r="AM158" s="35">
        <v>0</v>
      </c>
      <c r="AN158" s="35"/>
      <c r="AO158" s="35">
        <v>0</v>
      </c>
      <c r="AP158" s="35"/>
      <c r="AQ158" s="35">
        <v>0</v>
      </c>
      <c r="AR158" s="35"/>
      <c r="AS158" s="45">
        <f t="shared" si="25"/>
        <v>0</v>
      </c>
      <c r="AT158" s="45"/>
      <c r="AU158" s="35">
        <v>0</v>
      </c>
      <c r="AV158" s="35"/>
      <c r="AW158" s="35">
        <v>0</v>
      </c>
      <c r="AX158" s="35"/>
      <c r="AY158" s="35">
        <f t="shared" si="32"/>
        <v>0</v>
      </c>
      <c r="AZ158" s="35"/>
      <c r="BA158" s="35" t="s">
        <v>194</v>
      </c>
      <c r="BB158" s="55"/>
      <c r="BC158" s="35" t="s">
        <v>66</v>
      </c>
      <c r="BD158" s="35"/>
      <c r="BE158" s="35">
        <v>0</v>
      </c>
      <c r="BF158" s="35"/>
      <c r="BG158" s="35">
        <v>0</v>
      </c>
      <c r="BH158" s="35"/>
      <c r="BI158" s="35">
        <v>0</v>
      </c>
      <c r="BJ158" s="35"/>
      <c r="BK158" s="35">
        <v>0</v>
      </c>
      <c r="BL158" s="35"/>
      <c r="BM158" s="35">
        <f t="shared" si="36"/>
        <v>0</v>
      </c>
      <c r="BN158" s="54" t="s">
        <v>347</v>
      </c>
    </row>
    <row r="159" spans="1:66">
      <c r="A159" s="35" t="s">
        <v>195</v>
      </c>
      <c r="C159" s="35" t="s">
        <v>17</v>
      </c>
      <c r="D159" s="35"/>
      <c r="E159" s="35">
        <f t="shared" si="30"/>
        <v>1168234</v>
      </c>
      <c r="F159" s="35"/>
      <c r="G159" s="35">
        <v>267256</v>
      </c>
      <c r="H159" s="35"/>
      <c r="I159" s="35">
        <v>1435490</v>
      </c>
      <c r="J159" s="35"/>
      <c r="K159" s="35">
        <f t="shared" si="31"/>
        <v>339355</v>
      </c>
      <c r="L159" s="35"/>
      <c r="M159" s="35">
        <v>26519</v>
      </c>
      <c r="N159" s="35"/>
      <c r="O159" s="35">
        <v>365874</v>
      </c>
      <c r="P159" s="35"/>
      <c r="Q159" s="35">
        <v>267256</v>
      </c>
      <c r="R159" s="35"/>
      <c r="S159" s="35">
        <v>0</v>
      </c>
      <c r="T159" s="35"/>
      <c r="U159" s="35">
        <v>802360</v>
      </c>
      <c r="V159" s="35"/>
      <c r="W159" s="35">
        <f t="shared" si="35"/>
        <v>1069616</v>
      </c>
      <c r="X159" s="35"/>
      <c r="Y159" s="35" t="s">
        <v>195</v>
      </c>
      <c r="Z159" s="55"/>
      <c r="AA159" s="35" t="s">
        <v>17</v>
      </c>
      <c r="AB159" s="35"/>
      <c r="AC159" s="35">
        <v>910522</v>
      </c>
      <c r="AD159" s="35"/>
      <c r="AE159" s="35">
        <f>647413-47354</f>
        <v>600059</v>
      </c>
      <c r="AF159" s="35"/>
      <c r="AG159" s="35">
        <v>47354</v>
      </c>
      <c r="AH159" s="35"/>
      <c r="AI159" s="45">
        <f t="shared" si="29"/>
        <v>263109</v>
      </c>
      <c r="AJ159" s="45"/>
      <c r="AK159" s="35">
        <v>0</v>
      </c>
      <c r="AL159" s="35"/>
      <c r="AM159" s="35">
        <v>0</v>
      </c>
      <c r="AN159" s="35"/>
      <c r="AO159" s="35">
        <v>224688</v>
      </c>
      <c r="AP159" s="35"/>
      <c r="AQ159" s="35">
        <v>0</v>
      </c>
      <c r="AR159" s="35"/>
      <c r="AS159" s="45">
        <f t="shared" si="25"/>
        <v>38421</v>
      </c>
      <c r="AT159" s="45"/>
      <c r="AU159" s="35">
        <v>0</v>
      </c>
      <c r="AV159" s="35"/>
      <c r="AW159" s="35">
        <v>0</v>
      </c>
      <c r="AX159" s="35"/>
      <c r="AY159" s="35">
        <f t="shared" si="32"/>
        <v>828879</v>
      </c>
      <c r="AZ159" s="35"/>
      <c r="BA159" s="35" t="s">
        <v>195</v>
      </c>
      <c r="BB159" s="55"/>
      <c r="BC159" s="35" t="s">
        <v>17</v>
      </c>
      <c r="BD159" s="35"/>
      <c r="BE159" s="35">
        <v>0</v>
      </c>
      <c r="BF159" s="35"/>
      <c r="BG159" s="35">
        <v>0</v>
      </c>
      <c r="BH159" s="35"/>
      <c r="BI159" s="35">
        <v>0</v>
      </c>
      <c r="BJ159" s="35"/>
      <c r="BK159" s="35">
        <v>26519</v>
      </c>
      <c r="BL159" s="35"/>
      <c r="BM159" s="35">
        <f t="shared" si="36"/>
        <v>26519</v>
      </c>
      <c r="BN159" s="54" t="s">
        <v>347</v>
      </c>
    </row>
    <row r="160" spans="1:66" hidden="1">
      <c r="A160" s="35" t="s">
        <v>196</v>
      </c>
      <c r="C160" s="35" t="s">
        <v>27</v>
      </c>
      <c r="D160" s="35"/>
      <c r="E160" s="35">
        <f t="shared" si="30"/>
        <v>0</v>
      </c>
      <c r="F160" s="35"/>
      <c r="G160" s="35">
        <v>0</v>
      </c>
      <c r="H160" s="35"/>
      <c r="I160" s="35">
        <v>0</v>
      </c>
      <c r="J160" s="35"/>
      <c r="K160" s="35">
        <f t="shared" si="31"/>
        <v>0</v>
      </c>
      <c r="L160" s="35"/>
      <c r="M160" s="35">
        <v>0</v>
      </c>
      <c r="N160" s="35"/>
      <c r="O160" s="35">
        <v>0</v>
      </c>
      <c r="P160" s="35"/>
      <c r="Q160" s="35">
        <v>0</v>
      </c>
      <c r="R160" s="35"/>
      <c r="S160" s="35">
        <v>0</v>
      </c>
      <c r="T160" s="35"/>
      <c r="U160" s="35">
        <v>0</v>
      </c>
      <c r="V160" s="35"/>
      <c r="W160" s="35">
        <f t="shared" si="35"/>
        <v>0</v>
      </c>
      <c r="X160" s="35"/>
      <c r="Y160" s="35" t="s">
        <v>196</v>
      </c>
      <c r="Z160" s="55"/>
      <c r="AA160" s="35" t="s">
        <v>27</v>
      </c>
      <c r="AB160" s="35"/>
      <c r="AC160" s="35">
        <v>0</v>
      </c>
      <c r="AD160" s="35"/>
      <c r="AE160" s="35">
        <v>0</v>
      </c>
      <c r="AF160" s="35"/>
      <c r="AG160" s="35">
        <v>0</v>
      </c>
      <c r="AH160" s="35"/>
      <c r="AI160" s="45">
        <f t="shared" si="29"/>
        <v>0</v>
      </c>
      <c r="AJ160" s="45"/>
      <c r="AK160" s="35">
        <v>0</v>
      </c>
      <c r="AL160" s="35"/>
      <c r="AM160" s="35">
        <v>0</v>
      </c>
      <c r="AN160" s="35"/>
      <c r="AO160" s="35">
        <v>0</v>
      </c>
      <c r="AP160" s="35"/>
      <c r="AQ160" s="35">
        <v>0</v>
      </c>
      <c r="AR160" s="35"/>
      <c r="AS160" s="45">
        <f t="shared" si="25"/>
        <v>0</v>
      </c>
      <c r="AT160" s="45"/>
      <c r="AU160" s="35">
        <v>0</v>
      </c>
      <c r="AV160" s="35"/>
      <c r="AW160" s="35">
        <v>0</v>
      </c>
      <c r="AX160" s="35"/>
      <c r="AY160" s="35">
        <f t="shared" si="32"/>
        <v>0</v>
      </c>
      <c r="AZ160" s="35"/>
      <c r="BA160" s="35" t="s">
        <v>196</v>
      </c>
      <c r="BB160" s="55"/>
      <c r="BC160" s="35" t="s">
        <v>27</v>
      </c>
      <c r="BD160" s="35"/>
      <c r="BE160" s="35">
        <v>0</v>
      </c>
      <c r="BF160" s="35"/>
      <c r="BG160" s="35">
        <v>0</v>
      </c>
      <c r="BH160" s="35"/>
      <c r="BI160" s="35">
        <v>0</v>
      </c>
      <c r="BJ160" s="35"/>
      <c r="BK160" s="35">
        <v>0</v>
      </c>
      <c r="BL160" s="35"/>
      <c r="BM160" s="35">
        <f t="shared" si="36"/>
        <v>0</v>
      </c>
      <c r="BN160" s="54" t="s">
        <v>347</v>
      </c>
    </row>
    <row r="161" spans="1:67" hidden="1">
      <c r="A161" s="35" t="s">
        <v>402</v>
      </c>
      <c r="C161" s="35" t="s">
        <v>153</v>
      </c>
      <c r="D161" s="35"/>
      <c r="E161" s="35">
        <f t="shared" si="30"/>
        <v>0</v>
      </c>
      <c r="F161" s="35"/>
      <c r="G161" s="35">
        <v>0</v>
      </c>
      <c r="H161" s="35"/>
      <c r="I161" s="35">
        <v>0</v>
      </c>
      <c r="J161" s="35"/>
      <c r="K161" s="35">
        <f t="shared" si="31"/>
        <v>0</v>
      </c>
      <c r="L161" s="35"/>
      <c r="M161" s="35">
        <v>0</v>
      </c>
      <c r="N161" s="35"/>
      <c r="O161" s="35">
        <v>0</v>
      </c>
      <c r="P161" s="35"/>
      <c r="Q161" s="35">
        <v>0</v>
      </c>
      <c r="R161" s="35"/>
      <c r="S161" s="35">
        <v>0</v>
      </c>
      <c r="T161" s="35"/>
      <c r="U161" s="35">
        <v>0</v>
      </c>
      <c r="V161" s="35"/>
      <c r="W161" s="35">
        <f t="shared" si="35"/>
        <v>0</v>
      </c>
      <c r="X161" s="35"/>
      <c r="Y161" s="35" t="s">
        <v>402</v>
      </c>
      <c r="Z161" s="55"/>
      <c r="AA161" s="35" t="s">
        <v>153</v>
      </c>
      <c r="AB161" s="35"/>
      <c r="AC161" s="35">
        <v>0</v>
      </c>
      <c r="AD161" s="35"/>
      <c r="AE161" s="35">
        <v>0</v>
      </c>
      <c r="AF161" s="35"/>
      <c r="AG161" s="35">
        <v>0</v>
      </c>
      <c r="AH161" s="35"/>
      <c r="AI161" s="45">
        <f t="shared" si="29"/>
        <v>0</v>
      </c>
      <c r="AJ161" s="45"/>
      <c r="AK161" s="35">
        <v>0</v>
      </c>
      <c r="AL161" s="35"/>
      <c r="AM161" s="35">
        <v>0</v>
      </c>
      <c r="AN161" s="35"/>
      <c r="AO161" s="35">
        <v>0</v>
      </c>
      <c r="AP161" s="35"/>
      <c r="AQ161" s="35">
        <v>0</v>
      </c>
      <c r="AR161" s="35"/>
      <c r="AS161" s="45">
        <f t="shared" si="25"/>
        <v>0</v>
      </c>
      <c r="AT161" s="45"/>
      <c r="AU161" s="35">
        <v>0</v>
      </c>
      <c r="AV161" s="35"/>
      <c r="AW161" s="35">
        <v>0</v>
      </c>
      <c r="AX161" s="35"/>
      <c r="AY161" s="35">
        <f t="shared" si="32"/>
        <v>0</v>
      </c>
      <c r="AZ161" s="35"/>
      <c r="BA161" s="35" t="s">
        <v>402</v>
      </c>
      <c r="BB161" s="55"/>
      <c r="BC161" s="35" t="s">
        <v>153</v>
      </c>
      <c r="BD161" s="35"/>
      <c r="BE161" s="35">
        <v>0</v>
      </c>
      <c r="BF161" s="35"/>
      <c r="BG161" s="35">
        <v>0</v>
      </c>
      <c r="BH161" s="35"/>
      <c r="BI161" s="35">
        <v>0</v>
      </c>
      <c r="BJ161" s="35"/>
      <c r="BK161" s="35">
        <v>0</v>
      </c>
      <c r="BL161" s="35"/>
      <c r="BM161" s="35">
        <f t="shared" si="36"/>
        <v>0</v>
      </c>
      <c r="BN161" s="54" t="s">
        <v>347</v>
      </c>
    </row>
    <row r="162" spans="1:67" hidden="1">
      <c r="A162" s="35" t="s">
        <v>197</v>
      </c>
      <c r="C162" s="35" t="s">
        <v>163</v>
      </c>
      <c r="D162" s="35"/>
      <c r="E162" s="35">
        <f t="shared" si="30"/>
        <v>0</v>
      </c>
      <c r="F162" s="35"/>
      <c r="G162" s="35">
        <v>0</v>
      </c>
      <c r="H162" s="35"/>
      <c r="I162" s="35">
        <v>0</v>
      </c>
      <c r="J162" s="35"/>
      <c r="K162" s="35">
        <f t="shared" si="31"/>
        <v>0</v>
      </c>
      <c r="L162" s="35"/>
      <c r="M162" s="35">
        <v>0</v>
      </c>
      <c r="N162" s="35"/>
      <c r="O162" s="35">
        <v>0</v>
      </c>
      <c r="P162" s="35"/>
      <c r="Q162" s="35">
        <v>0</v>
      </c>
      <c r="R162" s="35"/>
      <c r="S162" s="35">
        <v>0</v>
      </c>
      <c r="T162" s="35"/>
      <c r="U162" s="35">
        <v>0</v>
      </c>
      <c r="V162" s="35"/>
      <c r="W162" s="35">
        <f t="shared" si="35"/>
        <v>0</v>
      </c>
      <c r="X162" s="35"/>
      <c r="Y162" s="35" t="s">
        <v>197</v>
      </c>
      <c r="Z162" s="55"/>
      <c r="AA162" s="35" t="s">
        <v>163</v>
      </c>
      <c r="AB162" s="35"/>
      <c r="AC162" s="35">
        <v>0</v>
      </c>
      <c r="AD162" s="35"/>
      <c r="AE162" s="35">
        <v>0</v>
      </c>
      <c r="AF162" s="35"/>
      <c r="AG162" s="35">
        <v>0</v>
      </c>
      <c r="AH162" s="35"/>
      <c r="AI162" s="45">
        <f t="shared" si="29"/>
        <v>0</v>
      </c>
      <c r="AJ162" s="45"/>
      <c r="AK162" s="35">
        <v>0</v>
      </c>
      <c r="AL162" s="35"/>
      <c r="AM162" s="35">
        <v>0</v>
      </c>
      <c r="AN162" s="35"/>
      <c r="AO162" s="35">
        <v>0</v>
      </c>
      <c r="AP162" s="35"/>
      <c r="AQ162" s="35">
        <v>0</v>
      </c>
      <c r="AR162" s="35"/>
      <c r="AS162" s="45">
        <f t="shared" si="25"/>
        <v>0</v>
      </c>
      <c r="AT162" s="45"/>
      <c r="AU162" s="35">
        <v>0</v>
      </c>
      <c r="AV162" s="35"/>
      <c r="AW162" s="35">
        <v>0</v>
      </c>
      <c r="AX162" s="35"/>
      <c r="AY162" s="35">
        <f t="shared" si="32"/>
        <v>0</v>
      </c>
      <c r="AZ162" s="35"/>
      <c r="BA162" s="35" t="s">
        <v>197</v>
      </c>
      <c r="BB162" s="55"/>
      <c r="BC162" s="35" t="s">
        <v>163</v>
      </c>
      <c r="BD162" s="35"/>
      <c r="BE162" s="35">
        <v>0</v>
      </c>
      <c r="BF162" s="35"/>
      <c r="BG162" s="35">
        <v>0</v>
      </c>
      <c r="BH162" s="35"/>
      <c r="BI162" s="35">
        <v>0</v>
      </c>
      <c r="BJ162" s="35"/>
      <c r="BK162" s="35">
        <v>0</v>
      </c>
      <c r="BL162" s="35"/>
      <c r="BM162" s="35">
        <f t="shared" si="36"/>
        <v>0</v>
      </c>
      <c r="BN162" s="54" t="s">
        <v>347</v>
      </c>
    </row>
    <row r="163" spans="1:67" hidden="1">
      <c r="A163" s="35" t="s">
        <v>198</v>
      </c>
      <c r="C163" s="35" t="s">
        <v>199</v>
      </c>
      <c r="D163" s="35"/>
      <c r="E163" s="35">
        <f t="shared" si="30"/>
        <v>0</v>
      </c>
      <c r="F163" s="35"/>
      <c r="G163" s="35">
        <v>0</v>
      </c>
      <c r="H163" s="35"/>
      <c r="I163" s="35">
        <v>0</v>
      </c>
      <c r="J163" s="35"/>
      <c r="K163" s="35">
        <f t="shared" si="31"/>
        <v>0</v>
      </c>
      <c r="L163" s="35"/>
      <c r="M163" s="35">
        <v>0</v>
      </c>
      <c r="N163" s="35"/>
      <c r="O163" s="35">
        <v>0</v>
      </c>
      <c r="P163" s="35"/>
      <c r="Q163" s="35">
        <v>0</v>
      </c>
      <c r="R163" s="35"/>
      <c r="S163" s="35">
        <v>0</v>
      </c>
      <c r="T163" s="35"/>
      <c r="U163" s="35">
        <v>0</v>
      </c>
      <c r="V163" s="35"/>
      <c r="W163" s="35">
        <f t="shared" si="35"/>
        <v>0</v>
      </c>
      <c r="X163" s="35"/>
      <c r="Y163" s="35" t="s">
        <v>198</v>
      </c>
      <c r="Z163" s="55"/>
      <c r="AA163" s="35" t="s">
        <v>199</v>
      </c>
      <c r="AB163" s="35"/>
      <c r="AC163" s="35">
        <v>0</v>
      </c>
      <c r="AD163" s="35"/>
      <c r="AE163" s="35">
        <v>0</v>
      </c>
      <c r="AF163" s="35"/>
      <c r="AG163" s="35">
        <v>0</v>
      </c>
      <c r="AH163" s="35"/>
      <c r="AI163" s="45">
        <f t="shared" si="29"/>
        <v>0</v>
      </c>
      <c r="AJ163" s="45"/>
      <c r="AK163" s="35">
        <v>0</v>
      </c>
      <c r="AL163" s="35"/>
      <c r="AM163" s="35">
        <v>0</v>
      </c>
      <c r="AN163" s="35"/>
      <c r="AO163" s="35">
        <v>0</v>
      </c>
      <c r="AP163" s="35"/>
      <c r="AQ163" s="35">
        <v>0</v>
      </c>
      <c r="AR163" s="35"/>
      <c r="AS163" s="45">
        <f t="shared" si="25"/>
        <v>0</v>
      </c>
      <c r="AT163" s="45"/>
      <c r="AU163" s="35">
        <v>0</v>
      </c>
      <c r="AV163" s="35"/>
      <c r="AW163" s="35">
        <v>0</v>
      </c>
      <c r="AX163" s="35"/>
      <c r="AY163" s="35">
        <f t="shared" si="32"/>
        <v>0</v>
      </c>
      <c r="AZ163" s="35"/>
      <c r="BA163" s="35" t="s">
        <v>198</v>
      </c>
      <c r="BB163" s="55"/>
      <c r="BC163" s="35" t="s">
        <v>199</v>
      </c>
      <c r="BD163" s="35"/>
      <c r="BE163" s="35">
        <v>0</v>
      </c>
      <c r="BF163" s="35"/>
      <c r="BG163" s="35">
        <v>0</v>
      </c>
      <c r="BH163" s="35"/>
      <c r="BI163" s="35">
        <v>0</v>
      </c>
      <c r="BJ163" s="35"/>
      <c r="BK163" s="35">
        <v>0</v>
      </c>
      <c r="BL163" s="35"/>
      <c r="BM163" s="35">
        <f t="shared" si="36"/>
        <v>0</v>
      </c>
      <c r="BN163" s="54" t="s">
        <v>347</v>
      </c>
      <c r="BO163" s="55" t="s">
        <v>371</v>
      </c>
    </row>
    <row r="164" spans="1:67">
      <c r="A164" s="35" t="s">
        <v>200</v>
      </c>
      <c r="C164" s="35" t="s">
        <v>103</v>
      </c>
      <c r="D164" s="35"/>
      <c r="E164" s="35">
        <f t="shared" si="30"/>
        <v>2929488</v>
      </c>
      <c r="F164" s="35"/>
      <c r="G164" s="35">
        <v>69340</v>
      </c>
      <c r="H164" s="35"/>
      <c r="I164" s="35">
        <v>2998828</v>
      </c>
      <c r="J164" s="35"/>
      <c r="K164" s="35">
        <f t="shared" si="31"/>
        <v>357029</v>
      </c>
      <c r="L164" s="35"/>
      <c r="M164" s="35">
        <v>2112981</v>
      </c>
      <c r="N164" s="35"/>
      <c r="O164" s="35">
        <v>2470010</v>
      </c>
      <c r="P164" s="35"/>
      <c r="Q164" s="35">
        <v>69340</v>
      </c>
      <c r="R164" s="35"/>
      <c r="S164" s="35">
        <v>0</v>
      </c>
      <c r="T164" s="35"/>
      <c r="U164" s="35">
        <v>459478</v>
      </c>
      <c r="V164" s="35"/>
      <c r="W164" s="35">
        <f t="shared" si="35"/>
        <v>528818</v>
      </c>
      <c r="X164" s="35"/>
      <c r="Y164" s="35" t="s">
        <v>200</v>
      </c>
      <c r="Z164" s="55"/>
      <c r="AA164" s="35" t="s">
        <v>103</v>
      </c>
      <c r="AB164" s="35"/>
      <c r="AC164" s="35">
        <v>1609175</v>
      </c>
      <c r="AD164" s="35"/>
      <c r="AE164" s="35">
        <f>1358483-6225</f>
        <v>1352258</v>
      </c>
      <c r="AF164" s="35"/>
      <c r="AG164" s="35">
        <v>6225</v>
      </c>
      <c r="AH164" s="35"/>
      <c r="AI164" s="45">
        <f t="shared" si="29"/>
        <v>250692</v>
      </c>
      <c r="AJ164" s="45"/>
      <c r="AK164" s="35">
        <v>-2459</v>
      </c>
      <c r="AL164" s="35"/>
      <c r="AM164" s="35">
        <v>0</v>
      </c>
      <c r="AN164" s="35"/>
      <c r="AO164" s="35">
        <v>0</v>
      </c>
      <c r="AP164" s="35"/>
      <c r="AQ164" s="35">
        <v>0</v>
      </c>
      <c r="AR164" s="35"/>
      <c r="AS164" s="45">
        <f t="shared" si="25"/>
        <v>248233</v>
      </c>
      <c r="AT164" s="45"/>
      <c r="AU164" s="35">
        <v>0</v>
      </c>
      <c r="AV164" s="35"/>
      <c r="AW164" s="35">
        <v>0</v>
      </c>
      <c r="AX164" s="35"/>
      <c r="AY164" s="35">
        <f t="shared" si="32"/>
        <v>2572459</v>
      </c>
      <c r="AZ164" s="35"/>
      <c r="BA164" s="35" t="s">
        <v>200</v>
      </c>
      <c r="BB164" s="55"/>
      <c r="BC164" s="35" t="s">
        <v>103</v>
      </c>
      <c r="BD164" s="35"/>
      <c r="BE164" s="35">
        <v>0</v>
      </c>
      <c r="BF164" s="35"/>
      <c r="BG164" s="35">
        <v>0</v>
      </c>
      <c r="BH164" s="35"/>
      <c r="BI164" s="35">
        <f>963797+249741</f>
        <v>1213538</v>
      </c>
      <c r="BJ164" s="35"/>
      <c r="BK164" s="35">
        <f>1139146+10038+5347</f>
        <v>1154531</v>
      </c>
      <c r="BL164" s="35"/>
      <c r="BM164" s="35">
        <f t="shared" si="36"/>
        <v>2368069</v>
      </c>
      <c r="BN164" s="54" t="s">
        <v>347</v>
      </c>
    </row>
    <row r="165" spans="1:67" hidden="1">
      <c r="A165" s="35" t="s">
        <v>201</v>
      </c>
      <c r="C165" s="35" t="s">
        <v>92</v>
      </c>
      <c r="D165" s="35"/>
      <c r="E165" s="35">
        <f t="shared" si="30"/>
        <v>0</v>
      </c>
      <c r="F165" s="35"/>
      <c r="G165" s="35">
        <v>0</v>
      </c>
      <c r="H165" s="35"/>
      <c r="I165" s="35">
        <v>0</v>
      </c>
      <c r="J165" s="35"/>
      <c r="K165" s="35">
        <f t="shared" si="31"/>
        <v>0</v>
      </c>
      <c r="L165" s="35"/>
      <c r="M165" s="35">
        <v>0</v>
      </c>
      <c r="N165" s="35"/>
      <c r="O165" s="35">
        <v>0</v>
      </c>
      <c r="P165" s="35"/>
      <c r="Q165" s="35">
        <v>0</v>
      </c>
      <c r="R165" s="35"/>
      <c r="S165" s="35">
        <v>0</v>
      </c>
      <c r="T165" s="35"/>
      <c r="U165" s="35">
        <v>0</v>
      </c>
      <c r="V165" s="35"/>
      <c r="W165" s="35">
        <f t="shared" si="33"/>
        <v>0</v>
      </c>
      <c r="X165" s="35"/>
      <c r="Y165" s="35" t="s">
        <v>201</v>
      </c>
      <c r="Z165" s="55"/>
      <c r="AA165" s="35" t="s">
        <v>92</v>
      </c>
      <c r="AB165" s="35"/>
      <c r="AC165" s="35">
        <v>0</v>
      </c>
      <c r="AD165" s="35"/>
      <c r="AE165" s="35">
        <v>0</v>
      </c>
      <c r="AF165" s="35"/>
      <c r="AG165" s="35">
        <v>0</v>
      </c>
      <c r="AH165" s="35"/>
      <c r="AI165" s="45">
        <f t="shared" si="29"/>
        <v>0</v>
      </c>
      <c r="AJ165" s="45"/>
      <c r="AK165" s="35">
        <v>0</v>
      </c>
      <c r="AL165" s="35"/>
      <c r="AM165" s="35">
        <v>0</v>
      </c>
      <c r="AN165" s="35"/>
      <c r="AO165" s="35">
        <v>0</v>
      </c>
      <c r="AP165" s="35"/>
      <c r="AQ165" s="35">
        <v>0</v>
      </c>
      <c r="AR165" s="35"/>
      <c r="AS165" s="45">
        <f t="shared" si="25"/>
        <v>0</v>
      </c>
      <c r="AT165" s="45"/>
      <c r="AU165" s="35">
        <v>0</v>
      </c>
      <c r="AV165" s="35"/>
      <c r="AW165" s="35">
        <v>0</v>
      </c>
      <c r="AX165" s="35"/>
      <c r="AY165" s="35">
        <f t="shared" si="32"/>
        <v>0</v>
      </c>
      <c r="AZ165" s="35"/>
      <c r="BA165" s="35" t="s">
        <v>201</v>
      </c>
      <c r="BB165" s="55"/>
      <c r="BC165" s="35" t="s">
        <v>92</v>
      </c>
      <c r="BD165" s="35"/>
      <c r="BE165" s="35">
        <v>0</v>
      </c>
      <c r="BF165" s="35"/>
      <c r="BG165" s="35">
        <v>0</v>
      </c>
      <c r="BH165" s="35"/>
      <c r="BI165" s="35">
        <v>0</v>
      </c>
      <c r="BJ165" s="35"/>
      <c r="BK165" s="35">
        <v>0</v>
      </c>
      <c r="BL165" s="35"/>
      <c r="BM165" s="35">
        <f t="shared" si="34"/>
        <v>0</v>
      </c>
      <c r="BN165" s="54" t="s">
        <v>347</v>
      </c>
    </row>
    <row r="166" spans="1:67" hidden="1">
      <c r="A166" s="35" t="s">
        <v>202</v>
      </c>
      <c r="C166" s="35" t="s">
        <v>27</v>
      </c>
      <c r="D166" s="35"/>
      <c r="E166" s="35">
        <f t="shared" si="30"/>
        <v>0</v>
      </c>
      <c r="F166" s="35"/>
      <c r="G166" s="35">
        <v>0</v>
      </c>
      <c r="H166" s="35"/>
      <c r="I166" s="35">
        <v>0</v>
      </c>
      <c r="J166" s="35"/>
      <c r="K166" s="35">
        <f t="shared" si="31"/>
        <v>0</v>
      </c>
      <c r="L166" s="35"/>
      <c r="M166" s="35">
        <v>0</v>
      </c>
      <c r="N166" s="35"/>
      <c r="O166" s="35">
        <v>0</v>
      </c>
      <c r="P166" s="35"/>
      <c r="Q166" s="35">
        <v>0</v>
      </c>
      <c r="R166" s="35"/>
      <c r="S166" s="35">
        <v>0</v>
      </c>
      <c r="T166" s="35"/>
      <c r="U166" s="35">
        <v>0</v>
      </c>
      <c r="V166" s="35"/>
      <c r="W166" s="35">
        <f t="shared" si="33"/>
        <v>0</v>
      </c>
      <c r="X166" s="35"/>
      <c r="Y166" s="35" t="s">
        <v>202</v>
      </c>
      <c r="Z166" s="55"/>
      <c r="AA166" s="35" t="s">
        <v>27</v>
      </c>
      <c r="AB166" s="35"/>
      <c r="AC166" s="35">
        <v>0</v>
      </c>
      <c r="AD166" s="35"/>
      <c r="AE166" s="35">
        <v>0</v>
      </c>
      <c r="AF166" s="35"/>
      <c r="AG166" s="35">
        <v>0</v>
      </c>
      <c r="AH166" s="35"/>
      <c r="AI166" s="45">
        <f t="shared" si="29"/>
        <v>0</v>
      </c>
      <c r="AJ166" s="45"/>
      <c r="AK166" s="35">
        <v>0</v>
      </c>
      <c r="AL166" s="35"/>
      <c r="AM166" s="35">
        <v>0</v>
      </c>
      <c r="AN166" s="35"/>
      <c r="AO166" s="35">
        <v>0</v>
      </c>
      <c r="AP166" s="35"/>
      <c r="AQ166" s="35">
        <v>0</v>
      </c>
      <c r="AR166" s="35"/>
      <c r="AS166" s="45">
        <f t="shared" si="25"/>
        <v>0</v>
      </c>
      <c r="AT166" s="45"/>
      <c r="AU166" s="35">
        <v>0</v>
      </c>
      <c r="AV166" s="35"/>
      <c r="AW166" s="35">
        <v>0</v>
      </c>
      <c r="AX166" s="35"/>
      <c r="AY166" s="35">
        <f t="shared" si="32"/>
        <v>0</v>
      </c>
      <c r="AZ166" s="35"/>
      <c r="BA166" s="35" t="s">
        <v>202</v>
      </c>
      <c r="BB166" s="55"/>
      <c r="BC166" s="35" t="s">
        <v>27</v>
      </c>
      <c r="BD166" s="35"/>
      <c r="BE166" s="35">
        <v>0</v>
      </c>
      <c r="BF166" s="35"/>
      <c r="BG166" s="35">
        <v>0</v>
      </c>
      <c r="BH166" s="35"/>
      <c r="BI166" s="35">
        <v>0</v>
      </c>
      <c r="BJ166" s="35"/>
      <c r="BK166" s="35">
        <v>0</v>
      </c>
      <c r="BL166" s="35"/>
      <c r="BM166" s="35">
        <f t="shared" si="34"/>
        <v>0</v>
      </c>
      <c r="BN166" s="54" t="s">
        <v>347</v>
      </c>
    </row>
    <row r="167" spans="1:67" hidden="1">
      <c r="A167" s="35" t="s">
        <v>203</v>
      </c>
      <c r="C167" s="35" t="s">
        <v>27</v>
      </c>
      <c r="D167" s="35"/>
      <c r="E167" s="35">
        <f t="shared" si="30"/>
        <v>0</v>
      </c>
      <c r="F167" s="35"/>
      <c r="G167" s="35">
        <v>0</v>
      </c>
      <c r="H167" s="35"/>
      <c r="I167" s="35">
        <v>0</v>
      </c>
      <c r="J167" s="35"/>
      <c r="K167" s="35">
        <f t="shared" si="31"/>
        <v>0</v>
      </c>
      <c r="L167" s="35"/>
      <c r="M167" s="35">
        <v>0</v>
      </c>
      <c r="N167" s="35"/>
      <c r="O167" s="35">
        <v>0</v>
      </c>
      <c r="P167" s="35"/>
      <c r="Q167" s="35">
        <v>0</v>
      </c>
      <c r="R167" s="35"/>
      <c r="S167" s="35">
        <v>0</v>
      </c>
      <c r="T167" s="35"/>
      <c r="U167" s="35">
        <v>0</v>
      </c>
      <c r="V167" s="35"/>
      <c r="W167" s="35">
        <f t="shared" si="33"/>
        <v>0</v>
      </c>
      <c r="X167" s="35"/>
      <c r="Y167" s="35" t="s">
        <v>203</v>
      </c>
      <c r="Z167" s="55"/>
      <c r="AA167" s="35" t="s">
        <v>27</v>
      </c>
      <c r="AB167" s="35"/>
      <c r="AC167" s="35">
        <v>0</v>
      </c>
      <c r="AD167" s="35"/>
      <c r="AE167" s="35">
        <v>0</v>
      </c>
      <c r="AF167" s="35"/>
      <c r="AG167" s="35">
        <v>0</v>
      </c>
      <c r="AH167" s="35"/>
      <c r="AI167" s="45">
        <f t="shared" si="29"/>
        <v>0</v>
      </c>
      <c r="AJ167" s="45"/>
      <c r="AK167" s="35">
        <v>0</v>
      </c>
      <c r="AL167" s="35"/>
      <c r="AM167" s="35">
        <v>0</v>
      </c>
      <c r="AN167" s="35"/>
      <c r="AO167" s="35">
        <v>0</v>
      </c>
      <c r="AP167" s="35"/>
      <c r="AQ167" s="35">
        <v>0</v>
      </c>
      <c r="AR167" s="35"/>
      <c r="AS167" s="45">
        <f t="shared" ref="AS167:AS230" si="37">+AI167+AK167+AM167-AO167+AQ167</f>
        <v>0</v>
      </c>
      <c r="AT167" s="45"/>
      <c r="AU167" s="35">
        <v>0</v>
      </c>
      <c r="AV167" s="35"/>
      <c r="AW167" s="35">
        <v>0</v>
      </c>
      <c r="AX167" s="35"/>
      <c r="AY167" s="35">
        <f t="shared" si="32"/>
        <v>0</v>
      </c>
      <c r="AZ167" s="35"/>
      <c r="BA167" s="35" t="s">
        <v>203</v>
      </c>
      <c r="BB167" s="55"/>
      <c r="BC167" s="35" t="s">
        <v>27</v>
      </c>
      <c r="BD167" s="35"/>
      <c r="BE167" s="35">
        <v>0</v>
      </c>
      <c r="BF167" s="35"/>
      <c r="BG167" s="35">
        <v>0</v>
      </c>
      <c r="BH167" s="35"/>
      <c r="BI167" s="35">
        <v>0</v>
      </c>
      <c r="BJ167" s="35"/>
      <c r="BK167" s="35">
        <v>0</v>
      </c>
      <c r="BL167" s="35"/>
      <c r="BM167" s="35">
        <f t="shared" si="34"/>
        <v>0</v>
      </c>
      <c r="BN167" s="54" t="s">
        <v>347</v>
      </c>
    </row>
    <row r="168" spans="1:67" hidden="1">
      <c r="A168" s="35" t="s">
        <v>204</v>
      </c>
      <c r="C168" s="35" t="s">
        <v>125</v>
      </c>
      <c r="D168" s="35"/>
      <c r="E168" s="35">
        <f t="shared" si="30"/>
        <v>0</v>
      </c>
      <c r="F168" s="35"/>
      <c r="G168" s="35">
        <v>0</v>
      </c>
      <c r="H168" s="35"/>
      <c r="I168" s="35">
        <v>0</v>
      </c>
      <c r="J168" s="35"/>
      <c r="K168" s="35">
        <f t="shared" si="31"/>
        <v>0</v>
      </c>
      <c r="L168" s="35"/>
      <c r="M168" s="35">
        <v>0</v>
      </c>
      <c r="N168" s="35"/>
      <c r="O168" s="35">
        <v>0</v>
      </c>
      <c r="P168" s="35"/>
      <c r="Q168" s="35">
        <v>0</v>
      </c>
      <c r="R168" s="35"/>
      <c r="S168" s="35">
        <v>0</v>
      </c>
      <c r="T168" s="35"/>
      <c r="U168" s="35">
        <v>0</v>
      </c>
      <c r="V168" s="35"/>
      <c r="W168" s="35">
        <f t="shared" si="33"/>
        <v>0</v>
      </c>
      <c r="X168" s="35"/>
      <c r="Y168" s="35" t="s">
        <v>204</v>
      </c>
      <c r="Z168" s="55"/>
      <c r="AA168" s="35" t="s">
        <v>125</v>
      </c>
      <c r="AB168" s="35"/>
      <c r="AC168" s="35">
        <v>0</v>
      </c>
      <c r="AD168" s="35"/>
      <c r="AE168" s="35">
        <v>0</v>
      </c>
      <c r="AF168" s="35"/>
      <c r="AG168" s="35">
        <v>0</v>
      </c>
      <c r="AH168" s="35"/>
      <c r="AI168" s="45">
        <f t="shared" si="29"/>
        <v>0</v>
      </c>
      <c r="AJ168" s="45"/>
      <c r="AK168" s="35">
        <v>0</v>
      </c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37"/>
        <v>0</v>
      </c>
      <c r="AT168" s="45"/>
      <c r="AU168" s="35">
        <v>0</v>
      </c>
      <c r="AV168" s="35"/>
      <c r="AW168" s="35">
        <v>0</v>
      </c>
      <c r="AX168" s="35"/>
      <c r="AY168" s="35">
        <f t="shared" si="32"/>
        <v>0</v>
      </c>
      <c r="AZ168" s="35"/>
      <c r="BA168" s="35" t="s">
        <v>204</v>
      </c>
      <c r="BB168" s="55"/>
      <c r="BC168" s="35" t="s">
        <v>125</v>
      </c>
      <c r="BD168" s="35"/>
      <c r="BE168" s="35">
        <v>0</v>
      </c>
      <c r="BF168" s="35"/>
      <c r="BG168" s="35">
        <v>0</v>
      </c>
      <c r="BH168" s="35"/>
      <c r="BI168" s="35">
        <v>0</v>
      </c>
      <c r="BJ168" s="35"/>
      <c r="BK168" s="35">
        <v>0</v>
      </c>
      <c r="BL168" s="35"/>
      <c r="BM168" s="35">
        <f t="shared" si="34"/>
        <v>0</v>
      </c>
      <c r="BN168" s="54" t="s">
        <v>347</v>
      </c>
    </row>
    <row r="169" spans="1:67" hidden="1">
      <c r="A169" s="35" t="s">
        <v>205</v>
      </c>
      <c r="C169" s="35" t="s">
        <v>27</v>
      </c>
      <c r="D169" s="35"/>
      <c r="E169" s="35">
        <f t="shared" si="30"/>
        <v>0</v>
      </c>
      <c r="F169" s="35"/>
      <c r="G169" s="35">
        <v>0</v>
      </c>
      <c r="H169" s="35"/>
      <c r="I169" s="35">
        <v>0</v>
      </c>
      <c r="J169" s="35"/>
      <c r="K169" s="35">
        <f t="shared" si="31"/>
        <v>0</v>
      </c>
      <c r="L169" s="35"/>
      <c r="M169" s="35">
        <v>0</v>
      </c>
      <c r="N169" s="35"/>
      <c r="O169" s="35">
        <v>0</v>
      </c>
      <c r="P169" s="35"/>
      <c r="Q169" s="35">
        <v>0</v>
      </c>
      <c r="R169" s="35"/>
      <c r="S169" s="35">
        <v>0</v>
      </c>
      <c r="T169" s="35"/>
      <c r="U169" s="35">
        <v>0</v>
      </c>
      <c r="V169" s="35"/>
      <c r="W169" s="35">
        <f t="shared" si="33"/>
        <v>0</v>
      </c>
      <c r="X169" s="35"/>
      <c r="Y169" s="35" t="s">
        <v>205</v>
      </c>
      <c r="Z169" s="55"/>
      <c r="AA169" s="35" t="s">
        <v>27</v>
      </c>
      <c r="AB169" s="35"/>
      <c r="AC169" s="35">
        <v>0</v>
      </c>
      <c r="AD169" s="35"/>
      <c r="AE169" s="35">
        <v>0</v>
      </c>
      <c r="AF169" s="35"/>
      <c r="AG169" s="35">
        <v>0</v>
      </c>
      <c r="AH169" s="35"/>
      <c r="AI169" s="45">
        <f t="shared" si="29"/>
        <v>0</v>
      </c>
      <c r="AJ169" s="45"/>
      <c r="AK169" s="35">
        <v>0</v>
      </c>
      <c r="AL169" s="35"/>
      <c r="AM169" s="35">
        <v>0</v>
      </c>
      <c r="AN169" s="35"/>
      <c r="AO169" s="35">
        <v>0</v>
      </c>
      <c r="AP169" s="35"/>
      <c r="AQ169" s="35">
        <v>0</v>
      </c>
      <c r="AR169" s="35"/>
      <c r="AS169" s="45">
        <f t="shared" si="37"/>
        <v>0</v>
      </c>
      <c r="AT169" s="45"/>
      <c r="AU169" s="35">
        <v>0</v>
      </c>
      <c r="AV169" s="35"/>
      <c r="AW169" s="35">
        <v>0</v>
      </c>
      <c r="AX169" s="35"/>
      <c r="AY169" s="35">
        <f t="shared" si="32"/>
        <v>0</v>
      </c>
      <c r="AZ169" s="35"/>
      <c r="BA169" s="35" t="s">
        <v>205</v>
      </c>
      <c r="BB169" s="55"/>
      <c r="BC169" s="35" t="s">
        <v>27</v>
      </c>
      <c r="BD169" s="35"/>
      <c r="BE169" s="35">
        <v>0</v>
      </c>
      <c r="BF169" s="35"/>
      <c r="BG169" s="35">
        <v>0</v>
      </c>
      <c r="BH169" s="35"/>
      <c r="BI169" s="35">
        <v>0</v>
      </c>
      <c r="BJ169" s="35"/>
      <c r="BK169" s="35">
        <v>0</v>
      </c>
      <c r="BL169" s="35"/>
      <c r="BM169" s="35">
        <f t="shared" si="34"/>
        <v>0</v>
      </c>
      <c r="BN169" s="54" t="s">
        <v>347</v>
      </c>
    </row>
    <row r="170" spans="1:67" hidden="1">
      <c r="A170" s="35" t="s">
        <v>206</v>
      </c>
      <c r="C170" s="35" t="s">
        <v>47</v>
      </c>
      <c r="D170" s="35"/>
      <c r="E170" s="35">
        <f t="shared" si="30"/>
        <v>0</v>
      </c>
      <c r="F170" s="35"/>
      <c r="G170" s="35">
        <v>0</v>
      </c>
      <c r="H170" s="35"/>
      <c r="I170" s="35">
        <v>0</v>
      </c>
      <c r="J170" s="35"/>
      <c r="K170" s="35">
        <f t="shared" si="31"/>
        <v>0</v>
      </c>
      <c r="L170" s="35"/>
      <c r="M170" s="35">
        <v>0</v>
      </c>
      <c r="N170" s="35"/>
      <c r="O170" s="35">
        <v>0</v>
      </c>
      <c r="P170" s="35"/>
      <c r="Q170" s="35">
        <v>0</v>
      </c>
      <c r="R170" s="35"/>
      <c r="S170" s="35">
        <v>0</v>
      </c>
      <c r="T170" s="35"/>
      <c r="U170" s="35">
        <v>0</v>
      </c>
      <c r="V170" s="35"/>
      <c r="W170" s="35">
        <f t="shared" si="33"/>
        <v>0</v>
      </c>
      <c r="X170" s="35"/>
      <c r="Y170" s="35" t="s">
        <v>206</v>
      </c>
      <c r="Z170" s="55"/>
      <c r="AA170" s="35" t="s">
        <v>47</v>
      </c>
      <c r="AB170" s="35"/>
      <c r="AC170" s="35">
        <v>0</v>
      </c>
      <c r="AD170" s="35"/>
      <c r="AE170" s="35">
        <v>0</v>
      </c>
      <c r="AF170" s="35"/>
      <c r="AG170" s="35">
        <v>0</v>
      </c>
      <c r="AH170" s="35"/>
      <c r="AI170" s="45">
        <f t="shared" si="29"/>
        <v>0</v>
      </c>
      <c r="AJ170" s="45"/>
      <c r="AK170" s="35">
        <v>0</v>
      </c>
      <c r="AL170" s="35"/>
      <c r="AM170" s="35">
        <v>0</v>
      </c>
      <c r="AN170" s="35"/>
      <c r="AO170" s="35">
        <v>0</v>
      </c>
      <c r="AP170" s="35"/>
      <c r="AQ170" s="35">
        <v>0</v>
      </c>
      <c r="AR170" s="35"/>
      <c r="AS170" s="45">
        <f t="shared" si="37"/>
        <v>0</v>
      </c>
      <c r="AT170" s="45"/>
      <c r="AU170" s="35">
        <v>0</v>
      </c>
      <c r="AV170" s="35"/>
      <c r="AW170" s="35">
        <v>0</v>
      </c>
      <c r="AX170" s="35"/>
      <c r="AY170" s="35">
        <f t="shared" si="32"/>
        <v>0</v>
      </c>
      <c r="AZ170" s="35"/>
      <c r="BA170" s="35" t="s">
        <v>206</v>
      </c>
      <c r="BB170" s="55"/>
      <c r="BC170" s="35" t="s">
        <v>47</v>
      </c>
      <c r="BD170" s="35"/>
      <c r="BE170" s="35">
        <v>0</v>
      </c>
      <c r="BF170" s="35"/>
      <c r="BG170" s="35">
        <v>0</v>
      </c>
      <c r="BH170" s="35"/>
      <c r="BI170" s="35">
        <v>0</v>
      </c>
      <c r="BJ170" s="35"/>
      <c r="BK170" s="35">
        <v>0</v>
      </c>
      <c r="BL170" s="35"/>
      <c r="BM170" s="35">
        <f t="shared" si="34"/>
        <v>0</v>
      </c>
      <c r="BN170" s="54" t="s">
        <v>347</v>
      </c>
    </row>
    <row r="171" spans="1:67" hidden="1">
      <c r="A171" s="35" t="s">
        <v>207</v>
      </c>
      <c r="C171" s="35" t="s">
        <v>102</v>
      </c>
      <c r="D171" s="35"/>
      <c r="E171" s="35">
        <f t="shared" si="30"/>
        <v>0</v>
      </c>
      <c r="F171" s="35"/>
      <c r="G171" s="35">
        <v>0</v>
      </c>
      <c r="H171" s="35"/>
      <c r="I171" s="35">
        <v>0</v>
      </c>
      <c r="J171" s="35"/>
      <c r="K171" s="35">
        <f t="shared" si="31"/>
        <v>0</v>
      </c>
      <c r="L171" s="35"/>
      <c r="M171" s="35">
        <v>0</v>
      </c>
      <c r="N171" s="35"/>
      <c r="O171" s="35">
        <v>0</v>
      </c>
      <c r="P171" s="35"/>
      <c r="Q171" s="35">
        <v>0</v>
      </c>
      <c r="R171" s="35"/>
      <c r="S171" s="35">
        <v>0</v>
      </c>
      <c r="T171" s="35"/>
      <c r="U171" s="35">
        <v>0</v>
      </c>
      <c r="V171" s="35"/>
      <c r="W171" s="35">
        <f t="shared" si="33"/>
        <v>0</v>
      </c>
      <c r="X171" s="35"/>
      <c r="Y171" s="35" t="s">
        <v>207</v>
      </c>
      <c r="Z171" s="55"/>
      <c r="AA171" s="35" t="s">
        <v>102</v>
      </c>
      <c r="AB171" s="35"/>
      <c r="AC171" s="35">
        <v>0</v>
      </c>
      <c r="AD171" s="35"/>
      <c r="AE171" s="35">
        <v>0</v>
      </c>
      <c r="AF171" s="35"/>
      <c r="AG171" s="35">
        <v>0</v>
      </c>
      <c r="AH171" s="35"/>
      <c r="AI171" s="45">
        <f t="shared" si="29"/>
        <v>0</v>
      </c>
      <c r="AJ171" s="45"/>
      <c r="AK171" s="35">
        <v>0</v>
      </c>
      <c r="AL171" s="35"/>
      <c r="AM171" s="35">
        <v>0</v>
      </c>
      <c r="AN171" s="35"/>
      <c r="AO171" s="35">
        <v>0</v>
      </c>
      <c r="AP171" s="35"/>
      <c r="AQ171" s="35">
        <v>0</v>
      </c>
      <c r="AR171" s="35"/>
      <c r="AS171" s="45">
        <f t="shared" si="37"/>
        <v>0</v>
      </c>
      <c r="AT171" s="45"/>
      <c r="AU171" s="35">
        <v>0</v>
      </c>
      <c r="AV171" s="35"/>
      <c r="AW171" s="35">
        <v>0</v>
      </c>
      <c r="AX171" s="35"/>
      <c r="AY171" s="35">
        <f t="shared" si="32"/>
        <v>0</v>
      </c>
      <c r="AZ171" s="35"/>
      <c r="BA171" s="35" t="s">
        <v>207</v>
      </c>
      <c r="BB171" s="55"/>
      <c r="BC171" s="35" t="s">
        <v>102</v>
      </c>
      <c r="BD171" s="35"/>
      <c r="BE171" s="35">
        <v>0</v>
      </c>
      <c r="BF171" s="35"/>
      <c r="BG171" s="35">
        <v>0</v>
      </c>
      <c r="BH171" s="35"/>
      <c r="BI171" s="35">
        <v>0</v>
      </c>
      <c r="BJ171" s="35"/>
      <c r="BK171" s="35">
        <v>0</v>
      </c>
      <c r="BL171" s="35"/>
      <c r="BM171" s="35">
        <f t="shared" si="34"/>
        <v>0</v>
      </c>
      <c r="BN171" s="54" t="s">
        <v>347</v>
      </c>
    </row>
    <row r="172" spans="1:67">
      <c r="A172" s="35" t="s">
        <v>208</v>
      </c>
      <c r="C172" s="35" t="s">
        <v>209</v>
      </c>
      <c r="D172" s="35"/>
      <c r="E172" s="35">
        <f t="shared" si="30"/>
        <v>1133746</v>
      </c>
      <c r="F172" s="35"/>
      <c r="G172" s="35">
        <v>306942</v>
      </c>
      <c r="H172" s="35"/>
      <c r="I172" s="35">
        <v>1440688</v>
      </c>
      <c r="J172" s="35"/>
      <c r="K172" s="35">
        <f t="shared" si="31"/>
        <v>109719</v>
      </c>
      <c r="L172" s="35"/>
      <c r="M172" s="35">
        <v>58211</v>
      </c>
      <c r="N172" s="35"/>
      <c r="O172" s="35">
        <v>167930</v>
      </c>
      <c r="P172" s="35"/>
      <c r="Q172" s="35">
        <v>306942</v>
      </c>
      <c r="R172" s="35"/>
      <c r="S172" s="35">
        <v>0</v>
      </c>
      <c r="T172" s="35"/>
      <c r="U172" s="35">
        <v>965816</v>
      </c>
      <c r="V172" s="35"/>
      <c r="W172" s="35">
        <f t="shared" si="33"/>
        <v>1272758</v>
      </c>
      <c r="X172" s="35"/>
      <c r="Y172" s="35" t="s">
        <v>208</v>
      </c>
      <c r="Z172" s="55"/>
      <c r="AA172" s="35" t="s">
        <v>209</v>
      </c>
      <c r="AB172" s="35"/>
      <c r="AC172" s="35">
        <v>1751077</v>
      </c>
      <c r="AD172" s="35"/>
      <c r="AE172" s="35">
        <f>1513593-27349</f>
        <v>1486244</v>
      </c>
      <c r="AF172" s="35"/>
      <c r="AG172" s="35">
        <v>27349</v>
      </c>
      <c r="AH172" s="35"/>
      <c r="AI172" s="45">
        <f t="shared" si="29"/>
        <v>237484</v>
      </c>
      <c r="AJ172" s="45"/>
      <c r="AK172" s="35">
        <v>7215</v>
      </c>
      <c r="AL172" s="35"/>
      <c r="AM172" s="35">
        <v>0</v>
      </c>
      <c r="AN172" s="35"/>
      <c r="AO172" s="35">
        <v>0</v>
      </c>
      <c r="AP172" s="35"/>
      <c r="AQ172" s="35">
        <v>0</v>
      </c>
      <c r="AR172" s="35"/>
      <c r="AS172" s="45">
        <f t="shared" si="37"/>
        <v>244699</v>
      </c>
      <c r="AT172" s="45"/>
      <c r="AU172" s="35">
        <v>0</v>
      </c>
      <c r="AV172" s="35"/>
      <c r="AW172" s="35">
        <v>0</v>
      </c>
      <c r="AX172" s="35"/>
      <c r="AY172" s="35">
        <f t="shared" si="32"/>
        <v>1024027</v>
      </c>
      <c r="AZ172" s="35"/>
      <c r="BA172" s="35" t="s">
        <v>208</v>
      </c>
      <c r="BB172" s="55"/>
      <c r="BC172" s="35" t="s">
        <v>209</v>
      </c>
      <c r="BD172" s="35"/>
      <c r="BE172" s="35">
        <v>0</v>
      </c>
      <c r="BF172" s="35"/>
      <c r="BG172" s="35">
        <v>0</v>
      </c>
      <c r="BH172" s="35"/>
      <c r="BI172" s="35">
        <v>0</v>
      </c>
      <c r="BJ172" s="35"/>
      <c r="BK172" s="35">
        <f>58211+33643</f>
        <v>91854</v>
      </c>
      <c r="BL172" s="35"/>
      <c r="BM172" s="35">
        <f t="shared" si="34"/>
        <v>91854</v>
      </c>
      <c r="BN172" s="54" t="s">
        <v>347</v>
      </c>
    </row>
    <row r="173" spans="1:67" hidden="1">
      <c r="A173" s="44" t="s">
        <v>210</v>
      </c>
      <c r="C173" s="44" t="s">
        <v>211</v>
      </c>
      <c r="D173" s="44"/>
      <c r="E173" s="35">
        <f t="shared" si="30"/>
        <v>0</v>
      </c>
      <c r="F173" s="35"/>
      <c r="G173" s="35">
        <v>0</v>
      </c>
      <c r="H173" s="35"/>
      <c r="I173" s="35">
        <v>0</v>
      </c>
      <c r="J173" s="35"/>
      <c r="K173" s="35">
        <f t="shared" si="31"/>
        <v>0</v>
      </c>
      <c r="L173" s="35"/>
      <c r="M173" s="35">
        <v>0</v>
      </c>
      <c r="N173" s="35"/>
      <c r="O173" s="35">
        <v>0</v>
      </c>
      <c r="P173" s="35"/>
      <c r="Q173" s="35">
        <v>0</v>
      </c>
      <c r="R173" s="35"/>
      <c r="S173" s="35">
        <v>0</v>
      </c>
      <c r="T173" s="35"/>
      <c r="U173" s="35">
        <v>0</v>
      </c>
      <c r="V173" s="35"/>
      <c r="W173" s="35">
        <f t="shared" si="33"/>
        <v>0</v>
      </c>
      <c r="X173" s="35"/>
      <c r="Y173" s="44" t="s">
        <v>210</v>
      </c>
      <c r="Z173" s="55"/>
      <c r="AA173" s="44" t="s">
        <v>211</v>
      </c>
      <c r="AB173" s="44"/>
      <c r="AC173" s="35">
        <v>0</v>
      </c>
      <c r="AD173" s="35"/>
      <c r="AE173" s="35">
        <v>0</v>
      </c>
      <c r="AF173" s="35"/>
      <c r="AG173" s="35">
        <v>0</v>
      </c>
      <c r="AH173" s="35"/>
      <c r="AI173" s="45">
        <f t="shared" si="29"/>
        <v>0</v>
      </c>
      <c r="AJ173" s="45"/>
      <c r="AK173" s="35">
        <v>0</v>
      </c>
      <c r="AL173" s="35"/>
      <c r="AM173" s="35">
        <v>0</v>
      </c>
      <c r="AN173" s="35"/>
      <c r="AO173" s="35">
        <v>0</v>
      </c>
      <c r="AP173" s="35"/>
      <c r="AQ173" s="35">
        <v>0</v>
      </c>
      <c r="AR173" s="35"/>
      <c r="AS173" s="45">
        <f t="shared" si="37"/>
        <v>0</v>
      </c>
      <c r="AT173" s="45"/>
      <c r="AU173" s="35">
        <v>0</v>
      </c>
      <c r="AV173" s="35"/>
      <c r="AW173" s="35">
        <v>0</v>
      </c>
      <c r="AX173" s="35"/>
      <c r="AY173" s="35">
        <f t="shared" si="32"/>
        <v>0</v>
      </c>
      <c r="AZ173" s="35"/>
      <c r="BA173" s="44" t="s">
        <v>210</v>
      </c>
      <c r="BB173" s="55"/>
      <c r="BC173" s="44" t="s">
        <v>211</v>
      </c>
      <c r="BD173" s="44"/>
      <c r="BE173" s="35">
        <v>0</v>
      </c>
      <c r="BF173" s="35"/>
      <c r="BG173" s="35">
        <v>0</v>
      </c>
      <c r="BH173" s="35"/>
      <c r="BI173" s="35">
        <v>0</v>
      </c>
      <c r="BJ173" s="35"/>
      <c r="BK173" s="35">
        <v>0</v>
      </c>
      <c r="BL173" s="35"/>
      <c r="BM173" s="35">
        <f t="shared" si="34"/>
        <v>0</v>
      </c>
      <c r="BN173" s="54" t="s">
        <v>347</v>
      </c>
    </row>
    <row r="174" spans="1:67">
      <c r="A174" s="44" t="s">
        <v>212</v>
      </c>
      <c r="C174" s="44" t="s">
        <v>213</v>
      </c>
      <c r="D174" s="44"/>
      <c r="E174" s="35">
        <f t="shared" si="30"/>
        <v>395438</v>
      </c>
      <c r="F174" s="35"/>
      <c r="G174" s="35">
        <v>865208</v>
      </c>
      <c r="H174" s="35"/>
      <c r="I174" s="35">
        <v>1260646</v>
      </c>
      <c r="J174" s="35"/>
      <c r="K174" s="35">
        <f t="shared" si="31"/>
        <v>143486</v>
      </c>
      <c r="L174" s="35"/>
      <c r="M174" s="35">
        <v>95988</v>
      </c>
      <c r="N174" s="35"/>
      <c r="O174" s="35">
        <v>239474</v>
      </c>
      <c r="P174" s="35"/>
      <c r="Q174" s="35">
        <v>679700</v>
      </c>
      <c r="R174" s="35"/>
      <c r="S174" s="35">
        <v>0</v>
      </c>
      <c r="T174" s="35"/>
      <c r="U174" s="35">
        <v>341472</v>
      </c>
      <c r="V174" s="35"/>
      <c r="W174" s="35">
        <f t="shared" si="33"/>
        <v>1021172</v>
      </c>
      <c r="X174" s="35"/>
      <c r="Y174" s="44" t="s">
        <v>212</v>
      </c>
      <c r="Z174" s="55"/>
      <c r="AA174" s="44" t="s">
        <v>213</v>
      </c>
      <c r="AB174" s="44"/>
      <c r="AC174" s="35">
        <v>1375636</v>
      </c>
      <c r="AD174" s="35"/>
      <c r="AE174" s="35">
        <f>1338647-102756</f>
        <v>1235891</v>
      </c>
      <c r="AF174" s="35"/>
      <c r="AG174" s="35">
        <v>-102756</v>
      </c>
      <c r="AH174" s="35"/>
      <c r="AI174" s="45">
        <f t="shared" si="29"/>
        <v>242501</v>
      </c>
      <c r="AJ174" s="45"/>
      <c r="AK174" s="35">
        <v>-92523</v>
      </c>
      <c r="AL174" s="35"/>
      <c r="AM174" s="35">
        <v>0</v>
      </c>
      <c r="AN174" s="35"/>
      <c r="AO174" s="35">
        <v>0</v>
      </c>
      <c r="AP174" s="35"/>
      <c r="AQ174" s="35">
        <v>0</v>
      </c>
      <c r="AR174" s="35"/>
      <c r="AS174" s="45">
        <f t="shared" si="37"/>
        <v>149978</v>
      </c>
      <c r="AT174" s="45"/>
      <c r="AU174" s="35">
        <v>0</v>
      </c>
      <c r="AV174" s="35"/>
      <c r="AW174" s="35">
        <v>0</v>
      </c>
      <c r="AX174" s="35"/>
      <c r="AY174" s="35">
        <f t="shared" si="32"/>
        <v>251952</v>
      </c>
      <c r="AZ174" s="35"/>
      <c r="BA174" s="44" t="s">
        <v>212</v>
      </c>
      <c r="BB174" s="55"/>
      <c r="BC174" s="44" t="s">
        <v>213</v>
      </c>
      <c r="BD174" s="44"/>
      <c r="BE174" s="35">
        <v>0</v>
      </c>
      <c r="BF174" s="35"/>
      <c r="BG174" s="35">
        <v>0</v>
      </c>
      <c r="BH174" s="35"/>
      <c r="BI174" s="35">
        <v>0</v>
      </c>
      <c r="BJ174" s="35"/>
      <c r="BK174" s="35">
        <f>94666+1322+90842+218</f>
        <v>187048</v>
      </c>
      <c r="BL174" s="35"/>
      <c r="BM174" s="35">
        <f t="shared" si="34"/>
        <v>187048</v>
      </c>
      <c r="BN174" s="54" t="s">
        <v>347</v>
      </c>
    </row>
    <row r="175" spans="1:67" hidden="1">
      <c r="A175" s="44" t="s">
        <v>214</v>
      </c>
      <c r="C175" s="44" t="s">
        <v>86</v>
      </c>
      <c r="D175" s="44"/>
      <c r="E175" s="35">
        <f t="shared" si="30"/>
        <v>0</v>
      </c>
      <c r="F175" s="35"/>
      <c r="G175" s="35">
        <v>0</v>
      </c>
      <c r="H175" s="35"/>
      <c r="I175" s="35">
        <v>0</v>
      </c>
      <c r="J175" s="35"/>
      <c r="K175" s="35">
        <f t="shared" si="31"/>
        <v>0</v>
      </c>
      <c r="L175" s="35"/>
      <c r="M175" s="35">
        <v>0</v>
      </c>
      <c r="N175" s="35"/>
      <c r="O175" s="35">
        <v>0</v>
      </c>
      <c r="P175" s="35"/>
      <c r="Q175" s="35">
        <v>0</v>
      </c>
      <c r="R175" s="35"/>
      <c r="S175" s="35">
        <v>0</v>
      </c>
      <c r="T175" s="35"/>
      <c r="U175" s="35">
        <v>0</v>
      </c>
      <c r="V175" s="35"/>
      <c r="W175" s="35">
        <f t="shared" si="33"/>
        <v>0</v>
      </c>
      <c r="X175" s="35"/>
      <c r="Y175" s="44" t="s">
        <v>214</v>
      </c>
      <c r="Z175" s="55"/>
      <c r="AA175" s="44" t="s">
        <v>86</v>
      </c>
      <c r="AB175" s="44"/>
      <c r="AC175" s="35">
        <v>0</v>
      </c>
      <c r="AD175" s="35"/>
      <c r="AE175" s="35">
        <v>0</v>
      </c>
      <c r="AF175" s="35"/>
      <c r="AG175" s="35">
        <v>0</v>
      </c>
      <c r="AH175" s="35"/>
      <c r="AI175" s="45">
        <f t="shared" si="29"/>
        <v>0</v>
      </c>
      <c r="AJ175" s="45"/>
      <c r="AK175" s="35">
        <v>0</v>
      </c>
      <c r="AL175" s="35"/>
      <c r="AM175" s="35">
        <v>0</v>
      </c>
      <c r="AN175" s="35"/>
      <c r="AO175" s="35">
        <v>0</v>
      </c>
      <c r="AP175" s="35"/>
      <c r="AQ175" s="35">
        <v>0</v>
      </c>
      <c r="AR175" s="35"/>
      <c r="AS175" s="45">
        <f t="shared" si="37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2"/>
        <v>0</v>
      </c>
      <c r="AZ175" s="35"/>
      <c r="BA175" s="44" t="s">
        <v>214</v>
      </c>
      <c r="BB175" s="55"/>
      <c r="BC175" s="44" t="s">
        <v>86</v>
      </c>
      <c r="BD175" s="44"/>
      <c r="BE175" s="35">
        <v>0</v>
      </c>
      <c r="BF175" s="35"/>
      <c r="BG175" s="35">
        <v>0</v>
      </c>
      <c r="BH175" s="35"/>
      <c r="BI175" s="35">
        <v>0</v>
      </c>
      <c r="BJ175" s="35"/>
      <c r="BK175" s="35">
        <v>0</v>
      </c>
      <c r="BL175" s="35"/>
      <c r="BM175" s="35">
        <f t="shared" si="34"/>
        <v>0</v>
      </c>
      <c r="BN175" s="54" t="s">
        <v>347</v>
      </c>
    </row>
    <row r="176" spans="1:67" hidden="1">
      <c r="A176" s="35" t="s">
        <v>215</v>
      </c>
      <c r="C176" s="35" t="s">
        <v>22</v>
      </c>
      <c r="D176" s="35"/>
      <c r="E176" s="35">
        <f t="shared" si="30"/>
        <v>0</v>
      </c>
      <c r="F176" s="35"/>
      <c r="G176" s="35">
        <v>0</v>
      </c>
      <c r="H176" s="35"/>
      <c r="I176" s="35">
        <v>0</v>
      </c>
      <c r="J176" s="35"/>
      <c r="K176" s="35">
        <f t="shared" si="31"/>
        <v>0</v>
      </c>
      <c r="L176" s="35"/>
      <c r="M176" s="35">
        <v>0</v>
      </c>
      <c r="N176" s="35"/>
      <c r="O176" s="35">
        <v>0</v>
      </c>
      <c r="P176" s="35"/>
      <c r="Q176" s="35">
        <v>0</v>
      </c>
      <c r="R176" s="35"/>
      <c r="S176" s="35">
        <v>0</v>
      </c>
      <c r="T176" s="35"/>
      <c r="U176" s="35">
        <v>0</v>
      </c>
      <c r="V176" s="35"/>
      <c r="W176" s="35">
        <f t="shared" si="33"/>
        <v>0</v>
      </c>
      <c r="X176" s="35"/>
      <c r="Y176" s="35" t="s">
        <v>215</v>
      </c>
      <c r="Z176" s="55"/>
      <c r="AA176" s="35" t="s">
        <v>22</v>
      </c>
      <c r="AB176" s="35"/>
      <c r="AC176" s="35">
        <v>0</v>
      </c>
      <c r="AD176" s="35"/>
      <c r="AE176" s="35">
        <v>0</v>
      </c>
      <c r="AF176" s="35"/>
      <c r="AG176" s="35">
        <v>0</v>
      </c>
      <c r="AH176" s="35"/>
      <c r="AI176" s="45">
        <f t="shared" si="29"/>
        <v>0</v>
      </c>
      <c r="AJ176" s="45"/>
      <c r="AK176" s="35">
        <v>0</v>
      </c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37"/>
        <v>0</v>
      </c>
      <c r="AT176" s="45"/>
      <c r="AU176" s="35">
        <v>0</v>
      </c>
      <c r="AV176" s="35"/>
      <c r="AW176" s="35">
        <v>0</v>
      </c>
      <c r="AX176" s="35"/>
      <c r="AY176" s="35">
        <f t="shared" si="32"/>
        <v>0</v>
      </c>
      <c r="AZ176" s="35"/>
      <c r="BA176" s="35" t="s">
        <v>215</v>
      </c>
      <c r="BB176" s="55"/>
      <c r="BC176" s="35" t="s">
        <v>22</v>
      </c>
      <c r="BD176" s="35"/>
      <c r="BE176" s="35">
        <v>0</v>
      </c>
      <c r="BF176" s="35"/>
      <c r="BG176" s="35">
        <v>0</v>
      </c>
      <c r="BH176" s="35"/>
      <c r="BI176" s="35">
        <v>0</v>
      </c>
      <c r="BJ176" s="35"/>
      <c r="BK176" s="35">
        <v>0</v>
      </c>
      <c r="BL176" s="35"/>
      <c r="BM176" s="35">
        <f t="shared" si="34"/>
        <v>0</v>
      </c>
      <c r="BN176" s="54" t="s">
        <v>347</v>
      </c>
    </row>
    <row r="177" spans="1:68" hidden="1">
      <c r="A177" s="35" t="s">
        <v>216</v>
      </c>
      <c r="C177" s="35" t="s">
        <v>45</v>
      </c>
      <c r="D177" s="35"/>
      <c r="E177" s="35">
        <f t="shared" si="30"/>
        <v>0</v>
      </c>
      <c r="F177" s="35"/>
      <c r="G177" s="35">
        <v>0</v>
      </c>
      <c r="H177" s="35"/>
      <c r="I177" s="35">
        <v>0</v>
      </c>
      <c r="J177" s="35"/>
      <c r="K177" s="35">
        <f t="shared" si="31"/>
        <v>0</v>
      </c>
      <c r="L177" s="35"/>
      <c r="M177" s="35">
        <v>0</v>
      </c>
      <c r="N177" s="35"/>
      <c r="O177" s="35">
        <v>0</v>
      </c>
      <c r="P177" s="35"/>
      <c r="Q177" s="35">
        <v>0</v>
      </c>
      <c r="R177" s="35"/>
      <c r="S177" s="35">
        <v>0</v>
      </c>
      <c r="T177" s="35"/>
      <c r="U177" s="35">
        <v>0</v>
      </c>
      <c r="V177" s="35"/>
      <c r="W177" s="35">
        <f t="shared" si="33"/>
        <v>0</v>
      </c>
      <c r="X177" s="35"/>
      <c r="Y177" s="35" t="s">
        <v>216</v>
      </c>
      <c r="Z177" s="55"/>
      <c r="AA177" s="35" t="s">
        <v>45</v>
      </c>
      <c r="AB177" s="35"/>
      <c r="AC177" s="35">
        <v>0</v>
      </c>
      <c r="AD177" s="35"/>
      <c r="AE177" s="35">
        <v>0</v>
      </c>
      <c r="AF177" s="35"/>
      <c r="AG177" s="35">
        <v>0</v>
      </c>
      <c r="AH177" s="35"/>
      <c r="AI177" s="45">
        <f t="shared" si="29"/>
        <v>0</v>
      </c>
      <c r="AJ177" s="45"/>
      <c r="AK177" s="35">
        <v>0</v>
      </c>
      <c r="AL177" s="35"/>
      <c r="AM177" s="35">
        <v>0</v>
      </c>
      <c r="AN177" s="35"/>
      <c r="AO177" s="35">
        <v>0</v>
      </c>
      <c r="AP177" s="35"/>
      <c r="AQ177" s="35">
        <v>0</v>
      </c>
      <c r="AR177" s="35"/>
      <c r="AS177" s="45">
        <f t="shared" si="37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2"/>
        <v>0</v>
      </c>
      <c r="AZ177" s="35"/>
      <c r="BA177" s="35" t="s">
        <v>216</v>
      </c>
      <c r="BB177" s="55"/>
      <c r="BC177" s="35" t="s">
        <v>45</v>
      </c>
      <c r="BD177" s="35"/>
      <c r="BE177" s="35">
        <v>0</v>
      </c>
      <c r="BF177" s="35"/>
      <c r="BG177" s="35">
        <v>0</v>
      </c>
      <c r="BH177" s="35"/>
      <c r="BI177" s="35">
        <v>0</v>
      </c>
      <c r="BJ177" s="35"/>
      <c r="BK177" s="35">
        <v>0</v>
      </c>
      <c r="BL177" s="35"/>
      <c r="BM177" s="35">
        <f t="shared" si="34"/>
        <v>0</v>
      </c>
      <c r="BN177" s="54" t="s">
        <v>347</v>
      </c>
    </row>
    <row r="178" spans="1:68" hidden="1">
      <c r="A178" s="35" t="s">
        <v>217</v>
      </c>
      <c r="C178" s="35" t="s">
        <v>43</v>
      </c>
      <c r="D178" s="35"/>
      <c r="E178" s="35">
        <f t="shared" si="30"/>
        <v>874363</v>
      </c>
      <c r="F178" s="35"/>
      <c r="G178" s="35">
        <v>0</v>
      </c>
      <c r="H178" s="35"/>
      <c r="I178" s="35">
        <v>874363</v>
      </c>
      <c r="J178" s="35"/>
      <c r="K178" s="35">
        <f t="shared" si="31"/>
        <v>302282</v>
      </c>
      <c r="L178" s="35"/>
      <c r="M178" s="35">
        <v>0</v>
      </c>
      <c r="N178" s="35"/>
      <c r="O178" s="35">
        <v>302282</v>
      </c>
      <c r="P178" s="35"/>
      <c r="Q178" s="35">
        <v>0</v>
      </c>
      <c r="R178" s="35"/>
      <c r="S178" s="35">
        <v>0</v>
      </c>
      <c r="T178" s="35"/>
      <c r="U178" s="35">
        <v>185081</v>
      </c>
      <c r="V178" s="35"/>
      <c r="W178" s="35">
        <f t="shared" si="33"/>
        <v>185081</v>
      </c>
      <c r="X178" s="35"/>
      <c r="Y178" s="35" t="s">
        <v>217</v>
      </c>
      <c r="Z178" s="55"/>
      <c r="AA178" s="35" t="s">
        <v>43</v>
      </c>
      <c r="AB178" s="35"/>
      <c r="AC178" s="35">
        <v>1855450</v>
      </c>
      <c r="AD178" s="35"/>
      <c r="AE178" s="35">
        <f>1926930-1143</f>
        <v>1925787</v>
      </c>
      <c r="AF178" s="35"/>
      <c r="AG178" s="35">
        <v>1143</v>
      </c>
      <c r="AH178" s="35"/>
      <c r="AI178" s="45">
        <f t="shared" si="29"/>
        <v>-71480</v>
      </c>
      <c r="AJ178" s="45"/>
      <c r="AK178" s="35">
        <v>0</v>
      </c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37"/>
        <v>-71480</v>
      </c>
      <c r="AT178" s="45"/>
      <c r="AU178" s="35">
        <v>0</v>
      </c>
      <c r="AV178" s="35"/>
      <c r="AW178" s="35">
        <v>0</v>
      </c>
      <c r="AX178" s="35"/>
      <c r="AY178" s="35">
        <f t="shared" si="32"/>
        <v>572081</v>
      </c>
      <c r="AZ178" s="35"/>
      <c r="BA178" s="35" t="s">
        <v>217</v>
      </c>
      <c r="BB178" s="55"/>
      <c r="BC178" s="35" t="s">
        <v>43</v>
      </c>
      <c r="BD178" s="35"/>
      <c r="BE178" s="35">
        <v>0</v>
      </c>
      <c r="BF178" s="35"/>
      <c r="BG178" s="35">
        <v>0</v>
      </c>
      <c r="BH178" s="35"/>
      <c r="BI178" s="35">
        <v>0</v>
      </c>
      <c r="BJ178" s="35"/>
      <c r="BK178" s="35">
        <v>0</v>
      </c>
      <c r="BL178" s="35"/>
      <c r="BM178" s="35">
        <f t="shared" si="34"/>
        <v>0</v>
      </c>
      <c r="BN178" s="54" t="s">
        <v>347</v>
      </c>
    </row>
    <row r="179" spans="1:68" hidden="1">
      <c r="A179" s="35" t="s">
        <v>218</v>
      </c>
      <c r="C179" s="35" t="s">
        <v>27</v>
      </c>
      <c r="D179" s="35"/>
      <c r="E179" s="35">
        <f t="shared" si="30"/>
        <v>0</v>
      </c>
      <c r="F179" s="35"/>
      <c r="G179" s="35">
        <v>0</v>
      </c>
      <c r="H179" s="35"/>
      <c r="I179" s="35">
        <v>0</v>
      </c>
      <c r="J179" s="35"/>
      <c r="K179" s="35">
        <f t="shared" si="31"/>
        <v>0</v>
      </c>
      <c r="L179" s="35"/>
      <c r="M179" s="35">
        <v>0</v>
      </c>
      <c r="N179" s="35"/>
      <c r="O179" s="35">
        <v>0</v>
      </c>
      <c r="P179" s="35"/>
      <c r="Q179" s="35">
        <v>0</v>
      </c>
      <c r="R179" s="35"/>
      <c r="S179" s="35">
        <v>0</v>
      </c>
      <c r="T179" s="35"/>
      <c r="U179" s="35">
        <v>0</v>
      </c>
      <c r="V179" s="35"/>
      <c r="W179" s="35">
        <f t="shared" si="33"/>
        <v>0</v>
      </c>
      <c r="X179" s="35"/>
      <c r="Y179" s="35" t="s">
        <v>218</v>
      </c>
      <c r="Z179" s="55"/>
      <c r="AA179" s="35" t="s">
        <v>27</v>
      </c>
      <c r="AB179" s="35"/>
      <c r="AC179" s="35">
        <v>0</v>
      </c>
      <c r="AD179" s="35"/>
      <c r="AE179" s="35">
        <v>0</v>
      </c>
      <c r="AF179" s="35"/>
      <c r="AG179" s="35">
        <v>0</v>
      </c>
      <c r="AH179" s="35"/>
      <c r="AI179" s="45">
        <f t="shared" si="29"/>
        <v>0</v>
      </c>
      <c r="AJ179" s="45"/>
      <c r="AK179" s="35">
        <v>0</v>
      </c>
      <c r="AL179" s="35"/>
      <c r="AM179" s="35">
        <v>0</v>
      </c>
      <c r="AN179" s="35"/>
      <c r="AO179" s="35">
        <v>0</v>
      </c>
      <c r="AP179" s="35"/>
      <c r="AQ179" s="35">
        <v>0</v>
      </c>
      <c r="AR179" s="35"/>
      <c r="AS179" s="45">
        <f t="shared" si="37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2"/>
        <v>0</v>
      </c>
      <c r="AZ179" s="35"/>
      <c r="BA179" s="35" t="s">
        <v>218</v>
      </c>
      <c r="BB179" s="55"/>
      <c r="BC179" s="35" t="s">
        <v>27</v>
      </c>
      <c r="BD179" s="35"/>
      <c r="BE179" s="35">
        <v>0</v>
      </c>
      <c r="BF179" s="35"/>
      <c r="BG179" s="35">
        <v>0</v>
      </c>
      <c r="BH179" s="35"/>
      <c r="BI179" s="35">
        <v>0</v>
      </c>
      <c r="BJ179" s="35"/>
      <c r="BK179" s="35">
        <v>0</v>
      </c>
      <c r="BL179" s="35"/>
      <c r="BM179" s="35">
        <f t="shared" si="34"/>
        <v>0</v>
      </c>
      <c r="BN179" s="54" t="s">
        <v>347</v>
      </c>
      <c r="BO179" s="35"/>
      <c r="BP179" s="35"/>
    </row>
    <row r="180" spans="1:68" hidden="1">
      <c r="A180" s="35" t="s">
        <v>219</v>
      </c>
      <c r="C180" s="35" t="s">
        <v>199</v>
      </c>
      <c r="D180" s="35"/>
      <c r="E180" s="35">
        <f t="shared" si="30"/>
        <v>0</v>
      </c>
      <c r="F180" s="35"/>
      <c r="G180" s="35">
        <v>0</v>
      </c>
      <c r="H180" s="35"/>
      <c r="I180" s="35">
        <v>0</v>
      </c>
      <c r="J180" s="35"/>
      <c r="K180" s="35">
        <f t="shared" si="31"/>
        <v>0</v>
      </c>
      <c r="L180" s="35"/>
      <c r="M180" s="35">
        <v>0</v>
      </c>
      <c r="N180" s="35"/>
      <c r="O180" s="35">
        <v>0</v>
      </c>
      <c r="P180" s="35"/>
      <c r="Q180" s="35">
        <v>0</v>
      </c>
      <c r="R180" s="35"/>
      <c r="S180" s="35">
        <v>0</v>
      </c>
      <c r="T180" s="35"/>
      <c r="U180" s="35">
        <v>0</v>
      </c>
      <c r="V180" s="35"/>
      <c r="W180" s="35">
        <f t="shared" si="33"/>
        <v>0</v>
      </c>
      <c r="X180" s="35"/>
      <c r="Y180" s="35" t="s">
        <v>219</v>
      </c>
      <c r="Z180" s="55"/>
      <c r="AA180" s="35" t="s">
        <v>199</v>
      </c>
      <c r="AB180" s="35"/>
      <c r="AC180" s="35">
        <v>0</v>
      </c>
      <c r="AD180" s="35"/>
      <c r="AE180" s="35">
        <v>0</v>
      </c>
      <c r="AF180" s="35"/>
      <c r="AG180" s="35">
        <v>0</v>
      </c>
      <c r="AH180" s="35"/>
      <c r="AI180" s="45">
        <f t="shared" si="29"/>
        <v>0</v>
      </c>
      <c r="AJ180" s="45"/>
      <c r="AK180" s="35">
        <v>0</v>
      </c>
      <c r="AL180" s="35"/>
      <c r="AM180" s="35">
        <v>0</v>
      </c>
      <c r="AN180" s="35"/>
      <c r="AO180" s="35">
        <v>0</v>
      </c>
      <c r="AP180" s="35"/>
      <c r="AQ180" s="35">
        <v>0</v>
      </c>
      <c r="AR180" s="35"/>
      <c r="AS180" s="45">
        <f t="shared" si="37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2"/>
        <v>0</v>
      </c>
      <c r="AZ180" s="35"/>
      <c r="BA180" s="35" t="s">
        <v>219</v>
      </c>
      <c r="BB180" s="55"/>
      <c r="BC180" s="35" t="s">
        <v>199</v>
      </c>
      <c r="BD180" s="35"/>
      <c r="BE180" s="35">
        <v>0</v>
      </c>
      <c r="BF180" s="35"/>
      <c r="BG180" s="35">
        <v>0</v>
      </c>
      <c r="BH180" s="35"/>
      <c r="BI180" s="35">
        <v>0</v>
      </c>
      <c r="BJ180" s="35"/>
      <c r="BK180" s="35">
        <v>0</v>
      </c>
      <c r="BL180" s="35"/>
      <c r="BM180" s="35">
        <f t="shared" si="34"/>
        <v>0</v>
      </c>
      <c r="BN180" s="54" t="s">
        <v>347</v>
      </c>
    </row>
    <row r="181" spans="1:68" hidden="1">
      <c r="A181" s="35" t="s">
        <v>220</v>
      </c>
      <c r="C181" s="35" t="s">
        <v>66</v>
      </c>
      <c r="D181" s="35"/>
      <c r="E181" s="35">
        <f t="shared" si="30"/>
        <v>0</v>
      </c>
      <c r="F181" s="35"/>
      <c r="G181" s="35">
        <v>0</v>
      </c>
      <c r="H181" s="35"/>
      <c r="I181" s="35">
        <v>0</v>
      </c>
      <c r="J181" s="35"/>
      <c r="K181" s="35">
        <f t="shared" si="31"/>
        <v>0</v>
      </c>
      <c r="L181" s="35"/>
      <c r="M181" s="35">
        <v>0</v>
      </c>
      <c r="N181" s="35"/>
      <c r="O181" s="35">
        <v>0</v>
      </c>
      <c r="P181" s="35"/>
      <c r="Q181" s="35">
        <v>0</v>
      </c>
      <c r="R181" s="35"/>
      <c r="S181" s="35">
        <v>0</v>
      </c>
      <c r="T181" s="35"/>
      <c r="U181" s="35">
        <v>0</v>
      </c>
      <c r="V181" s="35"/>
      <c r="W181" s="35">
        <f t="shared" si="33"/>
        <v>0</v>
      </c>
      <c r="X181" s="35"/>
      <c r="Y181" s="35" t="s">
        <v>220</v>
      </c>
      <c r="Z181" s="55"/>
      <c r="AA181" s="35" t="s">
        <v>66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45">
        <f t="shared" si="29"/>
        <v>0</v>
      </c>
      <c r="AJ181" s="45"/>
      <c r="AK181" s="35">
        <v>0</v>
      </c>
      <c r="AL181" s="35"/>
      <c r="AM181" s="35">
        <v>0</v>
      </c>
      <c r="AN181" s="35"/>
      <c r="AO181" s="35">
        <v>0</v>
      </c>
      <c r="AP181" s="35"/>
      <c r="AQ181" s="35">
        <v>0</v>
      </c>
      <c r="AR181" s="35"/>
      <c r="AS181" s="45">
        <f t="shared" si="37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2"/>
        <v>0</v>
      </c>
      <c r="AZ181" s="35"/>
      <c r="BA181" s="35" t="s">
        <v>220</v>
      </c>
      <c r="BB181" s="55"/>
      <c r="BC181" s="35" t="s">
        <v>66</v>
      </c>
      <c r="BD181" s="35"/>
      <c r="BE181" s="35">
        <v>0</v>
      </c>
      <c r="BF181" s="35"/>
      <c r="BG181" s="35">
        <v>0</v>
      </c>
      <c r="BH181" s="35"/>
      <c r="BI181" s="35">
        <v>0</v>
      </c>
      <c r="BJ181" s="35"/>
      <c r="BK181" s="35">
        <v>0</v>
      </c>
      <c r="BL181" s="35"/>
      <c r="BM181" s="35">
        <f t="shared" si="34"/>
        <v>0</v>
      </c>
      <c r="BN181" s="89" t="s">
        <v>347</v>
      </c>
    </row>
    <row r="182" spans="1:68" hidden="1">
      <c r="A182" s="35" t="s">
        <v>221</v>
      </c>
      <c r="C182" s="35" t="s">
        <v>27</v>
      </c>
      <c r="D182" s="35"/>
      <c r="E182" s="35">
        <f t="shared" si="30"/>
        <v>0</v>
      </c>
      <c r="F182" s="35"/>
      <c r="G182" s="35">
        <v>0</v>
      </c>
      <c r="H182" s="35"/>
      <c r="I182" s="35">
        <v>0</v>
      </c>
      <c r="J182" s="35"/>
      <c r="K182" s="35">
        <f t="shared" si="31"/>
        <v>0</v>
      </c>
      <c r="L182" s="35"/>
      <c r="M182" s="35">
        <v>0</v>
      </c>
      <c r="N182" s="35"/>
      <c r="O182" s="35">
        <v>0</v>
      </c>
      <c r="P182" s="35"/>
      <c r="Q182" s="35">
        <v>0</v>
      </c>
      <c r="R182" s="35"/>
      <c r="S182" s="35">
        <v>0</v>
      </c>
      <c r="T182" s="35"/>
      <c r="U182" s="35">
        <v>0</v>
      </c>
      <c r="V182" s="35"/>
      <c r="W182" s="35">
        <f t="shared" si="33"/>
        <v>0</v>
      </c>
      <c r="X182" s="35"/>
      <c r="Y182" s="35" t="s">
        <v>221</v>
      </c>
      <c r="Z182" s="55"/>
      <c r="AA182" s="35" t="s">
        <v>27</v>
      </c>
      <c r="AB182" s="35"/>
      <c r="AC182" s="35">
        <v>0</v>
      </c>
      <c r="AD182" s="35"/>
      <c r="AE182" s="35">
        <v>0</v>
      </c>
      <c r="AF182" s="35"/>
      <c r="AG182" s="35">
        <v>0</v>
      </c>
      <c r="AH182" s="35"/>
      <c r="AI182" s="45">
        <f t="shared" ref="AI182:AI245" si="38">+AC182-AE182-AG182</f>
        <v>0</v>
      </c>
      <c r="AJ182" s="45"/>
      <c r="AK182" s="35">
        <v>0</v>
      </c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37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2"/>
        <v>0</v>
      </c>
      <c r="AZ182" s="35"/>
      <c r="BA182" s="35" t="s">
        <v>221</v>
      </c>
      <c r="BB182" s="55"/>
      <c r="BC182" s="35" t="s">
        <v>27</v>
      </c>
      <c r="BD182" s="35"/>
      <c r="BE182" s="35">
        <v>0</v>
      </c>
      <c r="BF182" s="35"/>
      <c r="BG182" s="35">
        <v>0</v>
      </c>
      <c r="BH182" s="35"/>
      <c r="BI182" s="35">
        <v>0</v>
      </c>
      <c r="BJ182" s="35"/>
      <c r="BK182" s="35">
        <v>0</v>
      </c>
      <c r="BL182" s="35"/>
      <c r="BM182" s="35">
        <f t="shared" si="34"/>
        <v>0</v>
      </c>
      <c r="BN182" s="89" t="s">
        <v>347</v>
      </c>
    </row>
    <row r="183" spans="1:68" hidden="1">
      <c r="A183" s="35" t="s">
        <v>222</v>
      </c>
      <c r="C183" s="35" t="s">
        <v>47</v>
      </c>
      <c r="D183" s="35"/>
      <c r="E183" s="35">
        <f t="shared" si="30"/>
        <v>0</v>
      </c>
      <c r="F183" s="35"/>
      <c r="G183" s="35">
        <v>0</v>
      </c>
      <c r="H183" s="35"/>
      <c r="I183" s="35">
        <v>0</v>
      </c>
      <c r="J183" s="35"/>
      <c r="K183" s="35">
        <f t="shared" si="31"/>
        <v>0</v>
      </c>
      <c r="L183" s="35"/>
      <c r="M183" s="35">
        <v>0</v>
      </c>
      <c r="N183" s="35"/>
      <c r="O183" s="35">
        <v>0</v>
      </c>
      <c r="P183" s="35"/>
      <c r="Q183" s="35">
        <v>0</v>
      </c>
      <c r="R183" s="35"/>
      <c r="S183" s="35">
        <v>0</v>
      </c>
      <c r="T183" s="35"/>
      <c r="U183" s="35">
        <v>0</v>
      </c>
      <c r="V183" s="35"/>
      <c r="W183" s="35">
        <f t="shared" si="33"/>
        <v>0</v>
      </c>
      <c r="X183" s="35"/>
      <c r="Y183" s="35" t="s">
        <v>222</v>
      </c>
      <c r="Z183" s="55"/>
      <c r="AA183" s="35" t="s">
        <v>47</v>
      </c>
      <c r="AB183" s="35"/>
      <c r="AC183" s="35">
        <v>0</v>
      </c>
      <c r="AD183" s="35"/>
      <c r="AE183" s="35">
        <v>0</v>
      </c>
      <c r="AF183" s="35"/>
      <c r="AG183" s="35">
        <v>0</v>
      </c>
      <c r="AH183" s="35"/>
      <c r="AI183" s="45">
        <f t="shared" si="38"/>
        <v>0</v>
      </c>
      <c r="AJ183" s="45"/>
      <c r="AK183" s="35">
        <v>0</v>
      </c>
      <c r="AL183" s="35"/>
      <c r="AM183" s="35">
        <v>0</v>
      </c>
      <c r="AN183" s="35"/>
      <c r="AO183" s="35">
        <v>0</v>
      </c>
      <c r="AP183" s="35"/>
      <c r="AQ183" s="35">
        <v>0</v>
      </c>
      <c r="AR183" s="35"/>
      <c r="AS183" s="45">
        <f t="shared" si="37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2"/>
        <v>0</v>
      </c>
      <c r="AZ183" s="35"/>
      <c r="BA183" s="35" t="s">
        <v>222</v>
      </c>
      <c r="BB183" s="55"/>
      <c r="BC183" s="35" t="s">
        <v>47</v>
      </c>
      <c r="BD183" s="35"/>
      <c r="BE183" s="35">
        <v>0</v>
      </c>
      <c r="BF183" s="35"/>
      <c r="BG183" s="35">
        <v>0</v>
      </c>
      <c r="BH183" s="35"/>
      <c r="BI183" s="35">
        <v>0</v>
      </c>
      <c r="BJ183" s="35"/>
      <c r="BK183" s="35">
        <v>0</v>
      </c>
      <c r="BL183" s="35"/>
      <c r="BM183" s="35">
        <f t="shared" si="34"/>
        <v>0</v>
      </c>
      <c r="BN183" s="89" t="s">
        <v>347</v>
      </c>
    </row>
    <row r="184" spans="1:68" hidden="1">
      <c r="A184" s="35" t="s">
        <v>223</v>
      </c>
      <c r="C184" s="35" t="s">
        <v>94</v>
      </c>
      <c r="D184" s="35"/>
      <c r="E184" s="35">
        <f t="shared" si="30"/>
        <v>0</v>
      </c>
      <c r="F184" s="35"/>
      <c r="G184" s="35">
        <v>0</v>
      </c>
      <c r="H184" s="35"/>
      <c r="I184" s="35">
        <v>0</v>
      </c>
      <c r="J184" s="35"/>
      <c r="K184" s="35">
        <f t="shared" si="31"/>
        <v>0</v>
      </c>
      <c r="L184" s="35"/>
      <c r="M184" s="35">
        <v>0</v>
      </c>
      <c r="N184" s="35"/>
      <c r="O184" s="35">
        <v>0</v>
      </c>
      <c r="P184" s="35"/>
      <c r="Q184" s="35">
        <v>0</v>
      </c>
      <c r="R184" s="35"/>
      <c r="S184" s="35">
        <v>0</v>
      </c>
      <c r="T184" s="35"/>
      <c r="U184" s="35">
        <v>0</v>
      </c>
      <c r="V184" s="35"/>
      <c r="W184" s="35">
        <f t="shared" si="33"/>
        <v>0</v>
      </c>
      <c r="X184" s="35"/>
      <c r="Y184" s="35" t="s">
        <v>223</v>
      </c>
      <c r="Z184" s="55"/>
      <c r="AA184" s="35" t="s">
        <v>94</v>
      </c>
      <c r="AB184" s="35"/>
      <c r="AC184" s="35">
        <v>0</v>
      </c>
      <c r="AD184" s="35"/>
      <c r="AE184" s="35">
        <v>0</v>
      </c>
      <c r="AF184" s="35"/>
      <c r="AG184" s="35">
        <v>0</v>
      </c>
      <c r="AH184" s="35"/>
      <c r="AI184" s="45">
        <f t="shared" si="38"/>
        <v>0</v>
      </c>
      <c r="AJ184" s="45"/>
      <c r="AK184" s="35">
        <v>0</v>
      </c>
      <c r="AL184" s="35"/>
      <c r="AM184" s="35">
        <v>0</v>
      </c>
      <c r="AN184" s="35"/>
      <c r="AO184" s="35">
        <v>0</v>
      </c>
      <c r="AP184" s="35"/>
      <c r="AQ184" s="35">
        <v>0</v>
      </c>
      <c r="AR184" s="35"/>
      <c r="AS184" s="45">
        <f t="shared" si="37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2"/>
        <v>0</v>
      </c>
      <c r="AZ184" s="35"/>
      <c r="BA184" s="35" t="s">
        <v>223</v>
      </c>
      <c r="BB184" s="55"/>
      <c r="BC184" s="35" t="s">
        <v>94</v>
      </c>
      <c r="BD184" s="35"/>
      <c r="BE184" s="35">
        <v>0</v>
      </c>
      <c r="BF184" s="35"/>
      <c r="BG184" s="35">
        <v>0</v>
      </c>
      <c r="BH184" s="35"/>
      <c r="BI184" s="35">
        <v>0</v>
      </c>
      <c r="BJ184" s="35"/>
      <c r="BK184" s="35">
        <v>0</v>
      </c>
      <c r="BL184" s="35"/>
      <c r="BM184" s="35">
        <f t="shared" si="34"/>
        <v>0</v>
      </c>
      <c r="BN184" s="89" t="s">
        <v>347</v>
      </c>
    </row>
    <row r="185" spans="1:68" hidden="1">
      <c r="A185" s="35" t="s">
        <v>76</v>
      </c>
      <c r="C185" s="35" t="s">
        <v>132</v>
      </c>
      <c r="D185" s="35"/>
      <c r="E185" s="35">
        <f t="shared" si="30"/>
        <v>0</v>
      </c>
      <c r="F185" s="35"/>
      <c r="G185" s="35">
        <v>0</v>
      </c>
      <c r="H185" s="35"/>
      <c r="I185" s="35">
        <v>0</v>
      </c>
      <c r="J185" s="35"/>
      <c r="K185" s="35">
        <f t="shared" si="31"/>
        <v>0</v>
      </c>
      <c r="L185" s="35"/>
      <c r="M185" s="35">
        <v>0</v>
      </c>
      <c r="N185" s="35"/>
      <c r="O185" s="35">
        <v>0</v>
      </c>
      <c r="P185" s="35"/>
      <c r="Q185" s="35">
        <v>0</v>
      </c>
      <c r="R185" s="35"/>
      <c r="S185" s="35">
        <v>0</v>
      </c>
      <c r="T185" s="35"/>
      <c r="U185" s="35">
        <v>0</v>
      </c>
      <c r="V185" s="35"/>
      <c r="W185" s="35">
        <f t="shared" si="33"/>
        <v>0</v>
      </c>
      <c r="X185" s="35"/>
      <c r="Y185" s="35" t="s">
        <v>76</v>
      </c>
      <c r="Z185" s="55"/>
      <c r="AA185" s="35" t="s">
        <v>132</v>
      </c>
      <c r="AB185" s="35"/>
      <c r="AC185" s="35">
        <v>0</v>
      </c>
      <c r="AD185" s="35"/>
      <c r="AE185" s="35">
        <v>0</v>
      </c>
      <c r="AF185" s="35"/>
      <c r="AG185" s="35">
        <v>0</v>
      </c>
      <c r="AH185" s="35"/>
      <c r="AI185" s="45">
        <f t="shared" si="38"/>
        <v>0</v>
      </c>
      <c r="AJ185" s="45"/>
      <c r="AK185" s="35">
        <v>0</v>
      </c>
      <c r="AL185" s="35"/>
      <c r="AM185" s="35">
        <v>0</v>
      </c>
      <c r="AN185" s="35"/>
      <c r="AO185" s="35">
        <v>0</v>
      </c>
      <c r="AP185" s="35"/>
      <c r="AQ185" s="35">
        <v>0</v>
      </c>
      <c r="AR185" s="35"/>
      <c r="AS185" s="45">
        <f t="shared" si="37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2"/>
        <v>0</v>
      </c>
      <c r="AZ185" s="35"/>
      <c r="BA185" s="35" t="s">
        <v>76</v>
      </c>
      <c r="BB185" s="55"/>
      <c r="BC185" s="35" t="s">
        <v>132</v>
      </c>
      <c r="BD185" s="35"/>
      <c r="BE185" s="35">
        <v>0</v>
      </c>
      <c r="BF185" s="35"/>
      <c r="BG185" s="35">
        <v>0</v>
      </c>
      <c r="BH185" s="35"/>
      <c r="BI185" s="35">
        <v>0</v>
      </c>
      <c r="BJ185" s="35"/>
      <c r="BK185" s="35">
        <v>0</v>
      </c>
      <c r="BL185" s="35"/>
      <c r="BM185" s="35">
        <f t="shared" si="34"/>
        <v>0</v>
      </c>
      <c r="BN185" s="54" t="s">
        <v>347</v>
      </c>
    </row>
    <row r="186" spans="1:68" hidden="1">
      <c r="A186" s="35" t="s">
        <v>224</v>
      </c>
      <c r="C186" s="35" t="s">
        <v>27</v>
      </c>
      <c r="D186" s="35"/>
      <c r="E186" s="35">
        <f t="shared" ref="E186:E245" si="39">I186-G186</f>
        <v>0</v>
      </c>
      <c r="F186" s="35"/>
      <c r="G186" s="35">
        <v>0</v>
      </c>
      <c r="H186" s="35"/>
      <c r="I186" s="35">
        <v>0</v>
      </c>
      <c r="J186" s="35"/>
      <c r="K186" s="35">
        <f t="shared" ref="K186:K245" si="40">O186-M186</f>
        <v>0</v>
      </c>
      <c r="L186" s="35"/>
      <c r="M186" s="35">
        <v>0</v>
      </c>
      <c r="N186" s="35"/>
      <c r="O186" s="35">
        <v>0</v>
      </c>
      <c r="P186" s="35"/>
      <c r="Q186" s="35">
        <v>0</v>
      </c>
      <c r="R186" s="35"/>
      <c r="S186" s="35">
        <v>0</v>
      </c>
      <c r="T186" s="35"/>
      <c r="U186" s="35">
        <v>0</v>
      </c>
      <c r="V186" s="35"/>
      <c r="W186" s="35">
        <f t="shared" si="33"/>
        <v>0</v>
      </c>
      <c r="X186" s="35"/>
      <c r="Y186" s="35" t="s">
        <v>224</v>
      </c>
      <c r="Z186" s="55"/>
      <c r="AA186" s="35" t="s">
        <v>27</v>
      </c>
      <c r="AB186" s="35"/>
      <c r="AC186" s="35">
        <v>0</v>
      </c>
      <c r="AD186" s="35"/>
      <c r="AE186" s="35">
        <v>0</v>
      </c>
      <c r="AF186" s="35"/>
      <c r="AG186" s="35">
        <v>0</v>
      </c>
      <c r="AH186" s="35"/>
      <c r="AI186" s="45">
        <f t="shared" si="38"/>
        <v>0</v>
      </c>
      <c r="AJ186" s="45"/>
      <c r="AK186" s="35">
        <v>0</v>
      </c>
      <c r="AL186" s="35"/>
      <c r="AM186" s="35">
        <v>0</v>
      </c>
      <c r="AN186" s="35"/>
      <c r="AO186" s="35">
        <v>0</v>
      </c>
      <c r="AP186" s="35"/>
      <c r="AQ186" s="35">
        <v>0</v>
      </c>
      <c r="AR186" s="35"/>
      <c r="AS186" s="45">
        <f t="shared" si="37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2"/>
        <v>0</v>
      </c>
      <c r="AZ186" s="35"/>
      <c r="BA186" s="35" t="s">
        <v>224</v>
      </c>
      <c r="BB186" s="55"/>
      <c r="BC186" s="35" t="s">
        <v>27</v>
      </c>
      <c r="BD186" s="35"/>
      <c r="BE186" s="35">
        <v>0</v>
      </c>
      <c r="BF186" s="35"/>
      <c r="BG186" s="35">
        <v>0</v>
      </c>
      <c r="BH186" s="35"/>
      <c r="BI186" s="35">
        <v>0</v>
      </c>
      <c r="BJ186" s="35"/>
      <c r="BK186" s="35">
        <v>0</v>
      </c>
      <c r="BL186" s="35"/>
      <c r="BM186" s="35">
        <f t="shared" si="34"/>
        <v>0</v>
      </c>
      <c r="BN186" s="54" t="s">
        <v>347</v>
      </c>
      <c r="BO186" s="35"/>
      <c r="BP186" s="35"/>
    </row>
    <row r="187" spans="1:68" hidden="1">
      <c r="A187" s="35" t="s">
        <v>225</v>
      </c>
      <c r="C187" s="35" t="s">
        <v>27</v>
      </c>
      <c r="D187" s="35"/>
      <c r="E187" s="35">
        <f t="shared" si="39"/>
        <v>0</v>
      </c>
      <c r="F187" s="35"/>
      <c r="G187" s="35">
        <v>0</v>
      </c>
      <c r="H187" s="35"/>
      <c r="I187" s="35">
        <v>0</v>
      </c>
      <c r="J187" s="35"/>
      <c r="K187" s="35">
        <f t="shared" si="40"/>
        <v>0</v>
      </c>
      <c r="L187" s="35"/>
      <c r="M187" s="35">
        <v>0</v>
      </c>
      <c r="N187" s="35"/>
      <c r="O187" s="35">
        <v>0</v>
      </c>
      <c r="P187" s="35"/>
      <c r="Q187" s="35">
        <v>0</v>
      </c>
      <c r="R187" s="35"/>
      <c r="S187" s="35">
        <v>0</v>
      </c>
      <c r="T187" s="35"/>
      <c r="U187" s="35">
        <v>0</v>
      </c>
      <c r="V187" s="35"/>
      <c r="W187" s="35">
        <f t="shared" si="33"/>
        <v>0</v>
      </c>
      <c r="X187" s="35"/>
      <c r="Y187" s="35" t="s">
        <v>225</v>
      </c>
      <c r="Z187" s="55"/>
      <c r="AA187" s="35" t="s">
        <v>27</v>
      </c>
      <c r="AB187" s="35"/>
      <c r="AC187" s="35">
        <v>0</v>
      </c>
      <c r="AD187" s="35"/>
      <c r="AE187" s="35">
        <v>0</v>
      </c>
      <c r="AF187" s="35"/>
      <c r="AG187" s="35">
        <v>0</v>
      </c>
      <c r="AH187" s="35"/>
      <c r="AI187" s="45">
        <f t="shared" si="38"/>
        <v>0</v>
      </c>
      <c r="AJ187" s="45"/>
      <c r="AK187" s="35">
        <v>0</v>
      </c>
      <c r="AL187" s="35"/>
      <c r="AM187" s="35">
        <v>0</v>
      </c>
      <c r="AN187" s="35"/>
      <c r="AO187" s="35">
        <v>0</v>
      </c>
      <c r="AP187" s="35"/>
      <c r="AQ187" s="35">
        <v>0</v>
      </c>
      <c r="AR187" s="35"/>
      <c r="AS187" s="45">
        <f t="shared" si="37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2"/>
        <v>0</v>
      </c>
      <c r="AZ187" s="35"/>
      <c r="BA187" s="35" t="s">
        <v>225</v>
      </c>
      <c r="BB187" s="55"/>
      <c r="BC187" s="35" t="s">
        <v>27</v>
      </c>
      <c r="BD187" s="35"/>
      <c r="BE187" s="35">
        <v>0</v>
      </c>
      <c r="BF187" s="35"/>
      <c r="BG187" s="35">
        <v>0</v>
      </c>
      <c r="BH187" s="35"/>
      <c r="BI187" s="35">
        <v>0</v>
      </c>
      <c r="BJ187" s="35"/>
      <c r="BK187" s="35">
        <v>0</v>
      </c>
      <c r="BL187" s="35"/>
      <c r="BM187" s="35">
        <f t="shared" si="34"/>
        <v>0</v>
      </c>
      <c r="BN187" s="54" t="s">
        <v>347</v>
      </c>
    </row>
    <row r="188" spans="1:68" hidden="1">
      <c r="A188" s="35" t="s">
        <v>226</v>
      </c>
      <c r="C188" s="35" t="s">
        <v>45</v>
      </c>
      <c r="D188" s="35"/>
      <c r="E188" s="35">
        <f t="shared" si="39"/>
        <v>0</v>
      </c>
      <c r="F188" s="35"/>
      <c r="G188" s="35">
        <v>0</v>
      </c>
      <c r="H188" s="35"/>
      <c r="I188" s="35">
        <v>0</v>
      </c>
      <c r="J188" s="35"/>
      <c r="K188" s="35">
        <f t="shared" si="40"/>
        <v>0</v>
      </c>
      <c r="L188" s="35"/>
      <c r="M188" s="35">
        <v>0</v>
      </c>
      <c r="N188" s="35"/>
      <c r="O188" s="35">
        <v>0</v>
      </c>
      <c r="P188" s="35"/>
      <c r="Q188" s="35">
        <v>0</v>
      </c>
      <c r="R188" s="35"/>
      <c r="S188" s="35">
        <v>0</v>
      </c>
      <c r="T188" s="35"/>
      <c r="U188" s="35">
        <v>0</v>
      </c>
      <c r="V188" s="35"/>
      <c r="W188" s="35">
        <f t="shared" si="33"/>
        <v>0</v>
      </c>
      <c r="X188" s="35"/>
      <c r="Y188" s="35" t="s">
        <v>226</v>
      </c>
      <c r="Z188" s="55"/>
      <c r="AA188" s="35" t="s">
        <v>45</v>
      </c>
      <c r="AB188" s="35"/>
      <c r="AC188" s="35">
        <v>0</v>
      </c>
      <c r="AD188" s="35"/>
      <c r="AE188" s="35">
        <v>0</v>
      </c>
      <c r="AF188" s="35"/>
      <c r="AG188" s="35">
        <v>0</v>
      </c>
      <c r="AH188" s="35"/>
      <c r="AI188" s="45">
        <f t="shared" si="38"/>
        <v>0</v>
      </c>
      <c r="AJ188" s="45"/>
      <c r="AK188" s="35">
        <v>0</v>
      </c>
      <c r="AL188" s="35"/>
      <c r="AM188" s="35">
        <v>0</v>
      </c>
      <c r="AN188" s="35"/>
      <c r="AO188" s="35">
        <v>0</v>
      </c>
      <c r="AP188" s="35"/>
      <c r="AQ188" s="35">
        <v>0</v>
      </c>
      <c r="AR188" s="35"/>
      <c r="AS188" s="45">
        <f t="shared" si="37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2"/>
        <v>0</v>
      </c>
      <c r="AZ188" s="35"/>
      <c r="BA188" s="35" t="s">
        <v>226</v>
      </c>
      <c r="BB188" s="55"/>
      <c r="BC188" s="35" t="s">
        <v>45</v>
      </c>
      <c r="BD188" s="35"/>
      <c r="BE188" s="35">
        <v>0</v>
      </c>
      <c r="BF188" s="35"/>
      <c r="BG188" s="35">
        <v>0</v>
      </c>
      <c r="BH188" s="35"/>
      <c r="BI188" s="35">
        <v>0</v>
      </c>
      <c r="BJ188" s="35"/>
      <c r="BK188" s="35">
        <v>0</v>
      </c>
      <c r="BL188" s="35"/>
      <c r="BM188" s="35">
        <f t="shared" si="34"/>
        <v>0</v>
      </c>
      <c r="BN188" s="54" t="s">
        <v>347</v>
      </c>
    </row>
    <row r="189" spans="1:68" hidden="1">
      <c r="A189" s="35" t="s">
        <v>227</v>
      </c>
      <c r="C189" s="35" t="s">
        <v>17</v>
      </c>
      <c r="D189" s="35"/>
      <c r="E189" s="35">
        <f t="shared" si="39"/>
        <v>0</v>
      </c>
      <c r="F189" s="35"/>
      <c r="G189" s="35">
        <v>0</v>
      </c>
      <c r="H189" s="35"/>
      <c r="I189" s="35">
        <v>0</v>
      </c>
      <c r="J189" s="35"/>
      <c r="K189" s="35">
        <f t="shared" si="40"/>
        <v>0</v>
      </c>
      <c r="L189" s="35"/>
      <c r="M189" s="35">
        <v>0</v>
      </c>
      <c r="N189" s="35"/>
      <c r="O189" s="35">
        <v>0</v>
      </c>
      <c r="P189" s="35"/>
      <c r="Q189" s="35">
        <v>0</v>
      </c>
      <c r="R189" s="35"/>
      <c r="S189" s="35">
        <v>0</v>
      </c>
      <c r="T189" s="35"/>
      <c r="U189" s="35">
        <v>0</v>
      </c>
      <c r="V189" s="35"/>
      <c r="W189" s="35">
        <f t="shared" si="33"/>
        <v>0</v>
      </c>
      <c r="X189" s="35"/>
      <c r="Y189" s="35" t="s">
        <v>227</v>
      </c>
      <c r="Z189" s="55"/>
      <c r="AA189" s="35" t="s">
        <v>17</v>
      </c>
      <c r="AB189" s="35"/>
      <c r="AC189" s="35">
        <v>0</v>
      </c>
      <c r="AD189" s="35"/>
      <c r="AE189" s="35">
        <v>0</v>
      </c>
      <c r="AF189" s="35"/>
      <c r="AG189" s="35">
        <v>0</v>
      </c>
      <c r="AH189" s="35"/>
      <c r="AI189" s="45">
        <f t="shared" si="38"/>
        <v>0</v>
      </c>
      <c r="AJ189" s="45"/>
      <c r="AK189" s="35">
        <v>0</v>
      </c>
      <c r="AL189" s="35"/>
      <c r="AM189" s="35">
        <v>0</v>
      </c>
      <c r="AN189" s="35"/>
      <c r="AO189" s="35">
        <v>0</v>
      </c>
      <c r="AP189" s="35"/>
      <c r="AQ189" s="35">
        <v>0</v>
      </c>
      <c r="AR189" s="35"/>
      <c r="AS189" s="45">
        <f t="shared" si="37"/>
        <v>0</v>
      </c>
      <c r="AT189" s="45"/>
      <c r="AU189" s="35">
        <v>0</v>
      </c>
      <c r="AV189" s="35"/>
      <c r="AW189" s="35">
        <v>0</v>
      </c>
      <c r="AX189" s="35"/>
      <c r="AY189" s="35">
        <f t="shared" ref="AY189:AY245" si="41">+E189-K189</f>
        <v>0</v>
      </c>
      <c r="AZ189" s="35"/>
      <c r="BA189" s="35" t="s">
        <v>227</v>
      </c>
      <c r="BB189" s="55"/>
      <c r="BC189" s="35" t="s">
        <v>17</v>
      </c>
      <c r="BD189" s="35"/>
      <c r="BE189" s="35">
        <v>0</v>
      </c>
      <c r="BF189" s="35"/>
      <c r="BG189" s="35">
        <v>0</v>
      </c>
      <c r="BH189" s="35"/>
      <c r="BI189" s="35">
        <v>0</v>
      </c>
      <c r="BJ189" s="35"/>
      <c r="BK189" s="35">
        <v>0</v>
      </c>
      <c r="BL189" s="35"/>
      <c r="BM189" s="35">
        <v>0</v>
      </c>
      <c r="BN189" s="54" t="s">
        <v>347</v>
      </c>
    </row>
    <row r="190" spans="1:68" hidden="1">
      <c r="A190" s="35" t="s">
        <v>228</v>
      </c>
      <c r="C190" s="35" t="s">
        <v>153</v>
      </c>
      <c r="D190" s="35"/>
      <c r="E190" s="35">
        <f t="shared" si="39"/>
        <v>0</v>
      </c>
      <c r="F190" s="35"/>
      <c r="G190" s="35">
        <v>0</v>
      </c>
      <c r="H190" s="35"/>
      <c r="I190" s="35">
        <v>0</v>
      </c>
      <c r="J190" s="35"/>
      <c r="K190" s="35">
        <f t="shared" si="40"/>
        <v>0</v>
      </c>
      <c r="L190" s="35"/>
      <c r="M190" s="35">
        <v>0</v>
      </c>
      <c r="N190" s="35"/>
      <c r="O190" s="35">
        <v>0</v>
      </c>
      <c r="P190" s="35"/>
      <c r="Q190" s="35">
        <v>0</v>
      </c>
      <c r="R190" s="35"/>
      <c r="S190" s="35">
        <v>0</v>
      </c>
      <c r="T190" s="35"/>
      <c r="U190" s="35">
        <v>0</v>
      </c>
      <c r="V190" s="35"/>
      <c r="W190" s="35">
        <f t="shared" si="33"/>
        <v>0</v>
      </c>
      <c r="X190" s="35"/>
      <c r="Y190" s="35" t="s">
        <v>228</v>
      </c>
      <c r="Z190" s="55"/>
      <c r="AA190" s="35" t="s">
        <v>153</v>
      </c>
      <c r="AB190" s="35"/>
      <c r="AC190" s="35">
        <v>0</v>
      </c>
      <c r="AD190" s="35"/>
      <c r="AE190" s="35">
        <v>0</v>
      </c>
      <c r="AF190" s="35"/>
      <c r="AG190" s="35">
        <v>0</v>
      </c>
      <c r="AH190" s="35"/>
      <c r="AI190" s="45">
        <f t="shared" si="38"/>
        <v>0</v>
      </c>
      <c r="AJ190" s="45"/>
      <c r="AK190" s="35">
        <v>0</v>
      </c>
      <c r="AL190" s="35"/>
      <c r="AM190" s="35">
        <v>0</v>
      </c>
      <c r="AN190" s="35"/>
      <c r="AO190" s="35">
        <v>0</v>
      </c>
      <c r="AP190" s="35"/>
      <c r="AQ190" s="35">
        <v>0</v>
      </c>
      <c r="AR190" s="35"/>
      <c r="AS190" s="45">
        <f t="shared" si="37"/>
        <v>0</v>
      </c>
      <c r="AT190" s="45"/>
      <c r="AU190" s="35">
        <v>0</v>
      </c>
      <c r="AV190" s="35"/>
      <c r="AW190" s="35">
        <v>0</v>
      </c>
      <c r="AX190" s="35"/>
      <c r="AY190" s="35">
        <f t="shared" si="41"/>
        <v>0</v>
      </c>
      <c r="AZ190" s="35"/>
      <c r="BA190" s="35" t="s">
        <v>228</v>
      </c>
      <c r="BB190" s="55"/>
      <c r="BC190" s="35" t="s">
        <v>153</v>
      </c>
      <c r="BD190" s="35"/>
      <c r="BE190" s="35">
        <v>0</v>
      </c>
      <c r="BF190" s="35"/>
      <c r="BG190" s="35">
        <v>0</v>
      </c>
      <c r="BH190" s="35"/>
      <c r="BI190" s="35">
        <v>0</v>
      </c>
      <c r="BJ190" s="35"/>
      <c r="BK190" s="35">
        <v>0</v>
      </c>
      <c r="BL190" s="35"/>
      <c r="BM190" s="35">
        <f t="shared" ref="BM190:BM245" si="42">SUM(BE190:BK190)</f>
        <v>0</v>
      </c>
      <c r="BN190" s="54" t="s">
        <v>347</v>
      </c>
    </row>
    <row r="191" spans="1:68" hidden="1">
      <c r="A191" s="35" t="s">
        <v>229</v>
      </c>
      <c r="C191" s="35" t="s">
        <v>228</v>
      </c>
      <c r="D191" s="35"/>
      <c r="E191" s="35">
        <f t="shared" si="39"/>
        <v>0</v>
      </c>
      <c r="F191" s="35"/>
      <c r="G191" s="35">
        <v>0</v>
      </c>
      <c r="H191" s="35"/>
      <c r="I191" s="35">
        <v>0</v>
      </c>
      <c r="J191" s="35"/>
      <c r="K191" s="35">
        <f t="shared" si="40"/>
        <v>0</v>
      </c>
      <c r="L191" s="35"/>
      <c r="M191" s="35">
        <v>0</v>
      </c>
      <c r="N191" s="35"/>
      <c r="O191" s="35">
        <v>0</v>
      </c>
      <c r="P191" s="35"/>
      <c r="Q191" s="35">
        <v>0</v>
      </c>
      <c r="R191" s="35"/>
      <c r="S191" s="35">
        <v>0</v>
      </c>
      <c r="T191" s="35"/>
      <c r="U191" s="35">
        <v>0</v>
      </c>
      <c r="V191" s="35"/>
      <c r="W191" s="35">
        <f t="shared" si="33"/>
        <v>0</v>
      </c>
      <c r="X191" s="35"/>
      <c r="Y191" s="35" t="s">
        <v>229</v>
      </c>
      <c r="Z191" s="55"/>
      <c r="AA191" s="35" t="s">
        <v>228</v>
      </c>
      <c r="AB191" s="35"/>
      <c r="AC191" s="35">
        <v>0</v>
      </c>
      <c r="AD191" s="35"/>
      <c r="AE191" s="35">
        <v>0</v>
      </c>
      <c r="AF191" s="35"/>
      <c r="AG191" s="35">
        <v>0</v>
      </c>
      <c r="AH191" s="35"/>
      <c r="AI191" s="45">
        <f t="shared" si="38"/>
        <v>0</v>
      </c>
      <c r="AJ191" s="45"/>
      <c r="AK191" s="35">
        <v>0</v>
      </c>
      <c r="AL191" s="35"/>
      <c r="AM191" s="35">
        <v>0</v>
      </c>
      <c r="AN191" s="35"/>
      <c r="AO191" s="35">
        <v>0</v>
      </c>
      <c r="AP191" s="35"/>
      <c r="AQ191" s="35">
        <v>0</v>
      </c>
      <c r="AR191" s="35"/>
      <c r="AS191" s="45">
        <f t="shared" si="37"/>
        <v>0</v>
      </c>
      <c r="AT191" s="45"/>
      <c r="AU191" s="35">
        <v>0</v>
      </c>
      <c r="AV191" s="35"/>
      <c r="AW191" s="35">
        <v>0</v>
      </c>
      <c r="AX191" s="35"/>
      <c r="AY191" s="35">
        <f t="shared" si="41"/>
        <v>0</v>
      </c>
      <c r="AZ191" s="35"/>
      <c r="BA191" s="35" t="s">
        <v>229</v>
      </c>
      <c r="BB191" s="55"/>
      <c r="BC191" s="35" t="s">
        <v>228</v>
      </c>
      <c r="BD191" s="35"/>
      <c r="BE191" s="35">
        <v>0</v>
      </c>
      <c r="BF191" s="35"/>
      <c r="BG191" s="35">
        <v>0</v>
      </c>
      <c r="BH191" s="35"/>
      <c r="BI191" s="35">
        <v>0</v>
      </c>
      <c r="BJ191" s="35"/>
      <c r="BK191" s="35">
        <v>0</v>
      </c>
      <c r="BL191" s="35"/>
      <c r="BM191" s="35">
        <f t="shared" si="42"/>
        <v>0</v>
      </c>
      <c r="BN191" s="54" t="s">
        <v>347</v>
      </c>
    </row>
    <row r="192" spans="1:68" hidden="1">
      <c r="A192" s="35" t="s">
        <v>230</v>
      </c>
      <c r="C192" s="35" t="s">
        <v>45</v>
      </c>
      <c r="D192" s="35"/>
      <c r="E192" s="35">
        <f t="shared" si="39"/>
        <v>0</v>
      </c>
      <c r="F192" s="35"/>
      <c r="G192" s="35">
        <v>0</v>
      </c>
      <c r="H192" s="35"/>
      <c r="I192" s="35">
        <v>0</v>
      </c>
      <c r="J192" s="35"/>
      <c r="K192" s="35">
        <f t="shared" si="40"/>
        <v>0</v>
      </c>
      <c r="L192" s="35"/>
      <c r="M192" s="35">
        <v>0</v>
      </c>
      <c r="N192" s="35"/>
      <c r="O192" s="35">
        <v>0</v>
      </c>
      <c r="P192" s="35"/>
      <c r="Q192" s="35">
        <v>0</v>
      </c>
      <c r="R192" s="35"/>
      <c r="S192" s="35">
        <v>0</v>
      </c>
      <c r="T192" s="35"/>
      <c r="U192" s="35">
        <v>0</v>
      </c>
      <c r="V192" s="35"/>
      <c r="W192" s="35">
        <f t="shared" si="33"/>
        <v>0</v>
      </c>
      <c r="X192" s="35"/>
      <c r="Y192" s="35" t="s">
        <v>230</v>
      </c>
      <c r="Z192" s="55"/>
      <c r="AA192" s="35" t="s">
        <v>45</v>
      </c>
      <c r="AB192" s="35"/>
      <c r="AC192" s="35">
        <v>0</v>
      </c>
      <c r="AD192" s="35"/>
      <c r="AE192" s="35">
        <v>0</v>
      </c>
      <c r="AF192" s="35"/>
      <c r="AG192" s="35">
        <v>0</v>
      </c>
      <c r="AH192" s="35"/>
      <c r="AI192" s="45">
        <f t="shared" si="38"/>
        <v>0</v>
      </c>
      <c r="AJ192" s="45"/>
      <c r="AK192" s="35">
        <v>0</v>
      </c>
      <c r="AL192" s="35"/>
      <c r="AM192" s="35">
        <v>0</v>
      </c>
      <c r="AN192" s="35"/>
      <c r="AO192" s="35">
        <v>0</v>
      </c>
      <c r="AP192" s="35"/>
      <c r="AQ192" s="35">
        <v>0</v>
      </c>
      <c r="AR192" s="35"/>
      <c r="AS192" s="45">
        <f t="shared" si="37"/>
        <v>0</v>
      </c>
      <c r="AT192" s="45"/>
      <c r="AU192" s="35">
        <v>0</v>
      </c>
      <c r="AV192" s="35"/>
      <c r="AW192" s="35">
        <v>0</v>
      </c>
      <c r="AX192" s="35"/>
      <c r="AY192" s="35">
        <f t="shared" si="41"/>
        <v>0</v>
      </c>
      <c r="AZ192" s="35"/>
      <c r="BA192" s="35" t="s">
        <v>230</v>
      </c>
      <c r="BB192" s="55"/>
      <c r="BC192" s="35" t="s">
        <v>45</v>
      </c>
      <c r="BD192" s="35"/>
      <c r="BE192" s="35">
        <v>0</v>
      </c>
      <c r="BF192" s="35"/>
      <c r="BG192" s="35">
        <v>0</v>
      </c>
      <c r="BH192" s="35"/>
      <c r="BI192" s="35">
        <v>0</v>
      </c>
      <c r="BJ192" s="35"/>
      <c r="BK192" s="35">
        <v>0</v>
      </c>
      <c r="BL192" s="35"/>
      <c r="BM192" s="35">
        <f t="shared" si="42"/>
        <v>0</v>
      </c>
      <c r="BN192" s="54" t="s">
        <v>347</v>
      </c>
    </row>
    <row r="193" spans="1:74" hidden="1">
      <c r="A193" s="35" t="s">
        <v>231</v>
      </c>
      <c r="C193" s="35" t="s">
        <v>27</v>
      </c>
      <c r="D193" s="35"/>
      <c r="E193" s="35">
        <f t="shared" si="39"/>
        <v>0</v>
      </c>
      <c r="F193" s="35"/>
      <c r="G193" s="35">
        <v>0</v>
      </c>
      <c r="H193" s="35"/>
      <c r="I193" s="35">
        <v>0</v>
      </c>
      <c r="J193" s="35"/>
      <c r="K193" s="35">
        <f t="shared" si="40"/>
        <v>0</v>
      </c>
      <c r="L193" s="35"/>
      <c r="M193" s="35">
        <v>0</v>
      </c>
      <c r="N193" s="35"/>
      <c r="O193" s="35">
        <v>0</v>
      </c>
      <c r="P193" s="35"/>
      <c r="Q193" s="35">
        <v>0</v>
      </c>
      <c r="R193" s="35"/>
      <c r="S193" s="35">
        <v>0</v>
      </c>
      <c r="T193" s="35"/>
      <c r="U193" s="35">
        <v>0</v>
      </c>
      <c r="V193" s="35"/>
      <c r="W193" s="35">
        <f t="shared" si="33"/>
        <v>0</v>
      </c>
      <c r="X193" s="35"/>
      <c r="Y193" s="35" t="s">
        <v>231</v>
      </c>
      <c r="Z193" s="55"/>
      <c r="AA193" s="35" t="s">
        <v>27</v>
      </c>
      <c r="AB193" s="35"/>
      <c r="AC193" s="35">
        <v>0</v>
      </c>
      <c r="AD193" s="35"/>
      <c r="AE193" s="35">
        <v>0</v>
      </c>
      <c r="AF193" s="35"/>
      <c r="AG193" s="35">
        <v>0</v>
      </c>
      <c r="AH193" s="35"/>
      <c r="AI193" s="45">
        <f t="shared" si="38"/>
        <v>0</v>
      </c>
      <c r="AJ193" s="45"/>
      <c r="AK193" s="35">
        <v>0</v>
      </c>
      <c r="AL193" s="35"/>
      <c r="AM193" s="35">
        <v>0</v>
      </c>
      <c r="AN193" s="35"/>
      <c r="AO193" s="35">
        <v>0</v>
      </c>
      <c r="AP193" s="35"/>
      <c r="AQ193" s="35">
        <v>0</v>
      </c>
      <c r="AR193" s="35"/>
      <c r="AS193" s="45">
        <f t="shared" si="37"/>
        <v>0</v>
      </c>
      <c r="AT193" s="45"/>
      <c r="AU193" s="35">
        <v>0</v>
      </c>
      <c r="AV193" s="35"/>
      <c r="AW193" s="35">
        <v>0</v>
      </c>
      <c r="AX193" s="35"/>
      <c r="AY193" s="35">
        <f t="shared" si="41"/>
        <v>0</v>
      </c>
      <c r="AZ193" s="35"/>
      <c r="BA193" s="35" t="s">
        <v>231</v>
      </c>
      <c r="BB193" s="55"/>
      <c r="BC193" s="35" t="s">
        <v>27</v>
      </c>
      <c r="BD193" s="35"/>
      <c r="BE193" s="35">
        <v>0</v>
      </c>
      <c r="BF193" s="35"/>
      <c r="BG193" s="35">
        <v>0</v>
      </c>
      <c r="BH193" s="35"/>
      <c r="BI193" s="35">
        <v>0</v>
      </c>
      <c r="BJ193" s="35"/>
      <c r="BK193" s="35">
        <v>0</v>
      </c>
      <c r="BL193" s="35"/>
      <c r="BM193" s="35">
        <f t="shared" si="42"/>
        <v>0</v>
      </c>
      <c r="BN193" s="54" t="s">
        <v>347</v>
      </c>
    </row>
    <row r="194" spans="1:74" hidden="1">
      <c r="A194" s="35" t="s">
        <v>232</v>
      </c>
      <c r="C194" s="35" t="s">
        <v>27</v>
      </c>
      <c r="D194" s="35"/>
      <c r="E194" s="35">
        <f t="shared" si="39"/>
        <v>0</v>
      </c>
      <c r="F194" s="35"/>
      <c r="G194" s="35">
        <v>0</v>
      </c>
      <c r="H194" s="35"/>
      <c r="I194" s="35">
        <v>0</v>
      </c>
      <c r="J194" s="35"/>
      <c r="K194" s="35">
        <f t="shared" si="40"/>
        <v>0</v>
      </c>
      <c r="L194" s="35"/>
      <c r="M194" s="35">
        <v>0</v>
      </c>
      <c r="N194" s="35"/>
      <c r="O194" s="35">
        <v>0</v>
      </c>
      <c r="P194" s="35"/>
      <c r="Q194" s="35">
        <v>0</v>
      </c>
      <c r="R194" s="35"/>
      <c r="S194" s="35">
        <v>0</v>
      </c>
      <c r="T194" s="35"/>
      <c r="U194" s="35">
        <v>0</v>
      </c>
      <c r="V194" s="35"/>
      <c r="W194" s="35">
        <f t="shared" si="33"/>
        <v>0</v>
      </c>
      <c r="X194" s="35"/>
      <c r="Y194" s="35" t="s">
        <v>232</v>
      </c>
      <c r="Z194" s="55"/>
      <c r="AA194" s="35" t="s">
        <v>27</v>
      </c>
      <c r="AB194" s="35"/>
      <c r="AC194" s="35">
        <v>0</v>
      </c>
      <c r="AD194" s="35"/>
      <c r="AE194" s="35">
        <v>0</v>
      </c>
      <c r="AF194" s="35"/>
      <c r="AG194" s="35">
        <v>0</v>
      </c>
      <c r="AH194" s="35"/>
      <c r="AI194" s="45">
        <f t="shared" si="38"/>
        <v>0</v>
      </c>
      <c r="AJ194" s="45"/>
      <c r="AK194" s="35">
        <v>0</v>
      </c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37"/>
        <v>0</v>
      </c>
      <c r="AT194" s="45"/>
      <c r="AU194" s="35">
        <v>0</v>
      </c>
      <c r="AV194" s="35"/>
      <c r="AW194" s="35">
        <v>0</v>
      </c>
      <c r="AX194" s="35"/>
      <c r="AY194" s="35">
        <f t="shared" si="41"/>
        <v>0</v>
      </c>
      <c r="AZ194" s="35"/>
      <c r="BA194" s="35" t="s">
        <v>232</v>
      </c>
      <c r="BB194" s="55"/>
      <c r="BC194" s="35" t="s">
        <v>27</v>
      </c>
      <c r="BD194" s="35"/>
      <c r="BE194" s="35">
        <v>0</v>
      </c>
      <c r="BF194" s="35"/>
      <c r="BG194" s="35">
        <v>0</v>
      </c>
      <c r="BH194" s="35"/>
      <c r="BI194" s="35">
        <v>0</v>
      </c>
      <c r="BJ194" s="35"/>
      <c r="BK194" s="35">
        <v>0</v>
      </c>
      <c r="BL194" s="35"/>
      <c r="BM194" s="35">
        <f t="shared" si="42"/>
        <v>0</v>
      </c>
      <c r="BN194" s="54" t="s">
        <v>347</v>
      </c>
      <c r="BO194" s="35"/>
      <c r="BP194" s="35"/>
      <c r="BQ194" s="35"/>
      <c r="BR194" s="35"/>
      <c r="BS194" s="35"/>
      <c r="BT194" s="35"/>
      <c r="BU194" s="35"/>
      <c r="BV194" s="35"/>
    </row>
    <row r="195" spans="1:74">
      <c r="A195" s="35" t="s">
        <v>233</v>
      </c>
      <c r="C195" s="35" t="s">
        <v>111</v>
      </c>
      <c r="D195" s="35"/>
      <c r="E195" s="35">
        <f t="shared" si="39"/>
        <v>1031121</v>
      </c>
      <c r="F195" s="35"/>
      <c r="G195" s="35">
        <v>0</v>
      </c>
      <c r="H195" s="35"/>
      <c r="I195" s="35">
        <v>1031121</v>
      </c>
      <c r="J195" s="35"/>
      <c r="K195" s="35">
        <f t="shared" si="40"/>
        <v>394992</v>
      </c>
      <c r="L195" s="35"/>
      <c r="M195" s="35">
        <v>3950</v>
      </c>
      <c r="N195" s="35"/>
      <c r="O195" s="35">
        <v>398942</v>
      </c>
      <c r="P195" s="35"/>
      <c r="Q195" s="35">
        <v>0</v>
      </c>
      <c r="R195" s="35"/>
      <c r="S195" s="35">
        <v>0</v>
      </c>
      <c r="T195" s="35"/>
      <c r="U195" s="35">
        <v>632179</v>
      </c>
      <c r="V195" s="35"/>
      <c r="W195" s="35">
        <f t="shared" si="33"/>
        <v>632179</v>
      </c>
      <c r="X195" s="35"/>
      <c r="Y195" s="35" t="s">
        <v>233</v>
      </c>
      <c r="Z195" s="55"/>
      <c r="AA195" s="35" t="s">
        <v>111</v>
      </c>
      <c r="AB195" s="35"/>
      <c r="AC195" s="35">
        <v>945873</v>
      </c>
      <c r="AD195" s="35"/>
      <c r="AE195" s="35">
        <v>1227847</v>
      </c>
      <c r="AF195" s="35"/>
      <c r="AG195" s="35">
        <v>0</v>
      </c>
      <c r="AH195" s="35"/>
      <c r="AI195" s="45">
        <f t="shared" si="38"/>
        <v>-281974</v>
      </c>
      <c r="AJ195" s="45"/>
      <c r="AK195" s="35">
        <v>-1313</v>
      </c>
      <c r="AL195" s="35"/>
      <c r="AM195" s="35">
        <v>0</v>
      </c>
      <c r="AN195" s="35"/>
      <c r="AO195" s="35">
        <v>0</v>
      </c>
      <c r="AP195" s="35"/>
      <c r="AQ195" s="35">
        <v>0</v>
      </c>
      <c r="AR195" s="35"/>
      <c r="AS195" s="45">
        <f t="shared" si="37"/>
        <v>-283287</v>
      </c>
      <c r="AT195" s="45"/>
      <c r="AU195" s="35">
        <v>0</v>
      </c>
      <c r="AV195" s="35"/>
      <c r="AW195" s="35">
        <v>0</v>
      </c>
      <c r="AX195" s="35"/>
      <c r="AY195" s="35">
        <f t="shared" si="41"/>
        <v>636129</v>
      </c>
      <c r="AZ195" s="35"/>
      <c r="BA195" s="35" t="s">
        <v>233</v>
      </c>
      <c r="BB195" s="55"/>
      <c r="BC195" s="35" t="s">
        <v>111</v>
      </c>
      <c r="BD195" s="35"/>
      <c r="BE195" s="35">
        <v>0</v>
      </c>
      <c r="BF195" s="35"/>
      <c r="BG195" s="35">
        <v>0</v>
      </c>
      <c r="BH195" s="35"/>
      <c r="BI195" s="35">
        <v>0</v>
      </c>
      <c r="BJ195" s="35"/>
      <c r="BK195" s="35">
        <v>3950</v>
      </c>
      <c r="BL195" s="35"/>
      <c r="BM195" s="35">
        <f t="shared" si="42"/>
        <v>3950</v>
      </c>
      <c r="BN195" s="54" t="s">
        <v>347</v>
      </c>
      <c r="BO195" s="35"/>
      <c r="BP195" s="35"/>
      <c r="BQ195" s="35"/>
      <c r="BR195" s="35"/>
      <c r="BS195" s="35"/>
      <c r="BT195" s="35"/>
      <c r="BU195" s="35"/>
      <c r="BV195" s="35"/>
    </row>
    <row r="196" spans="1:74" hidden="1">
      <c r="A196" s="35" t="s">
        <v>234</v>
      </c>
      <c r="C196" s="35" t="s">
        <v>45</v>
      </c>
      <c r="D196" s="35"/>
      <c r="E196" s="35">
        <f t="shared" si="39"/>
        <v>0</v>
      </c>
      <c r="F196" s="35"/>
      <c r="G196" s="35">
        <v>0</v>
      </c>
      <c r="H196" s="35"/>
      <c r="I196" s="35">
        <v>0</v>
      </c>
      <c r="J196" s="35"/>
      <c r="K196" s="35">
        <f t="shared" si="40"/>
        <v>0</v>
      </c>
      <c r="L196" s="35"/>
      <c r="M196" s="35">
        <v>0</v>
      </c>
      <c r="N196" s="35"/>
      <c r="O196" s="35">
        <v>0</v>
      </c>
      <c r="P196" s="35"/>
      <c r="Q196" s="35">
        <v>0</v>
      </c>
      <c r="R196" s="35"/>
      <c r="S196" s="35">
        <v>0</v>
      </c>
      <c r="T196" s="35"/>
      <c r="U196" s="35">
        <v>0</v>
      </c>
      <c r="V196" s="35"/>
      <c r="W196" s="35">
        <f t="shared" si="33"/>
        <v>0</v>
      </c>
      <c r="X196" s="35"/>
      <c r="Y196" s="35" t="s">
        <v>234</v>
      </c>
      <c r="Z196" s="55"/>
      <c r="AA196" s="35" t="s">
        <v>45</v>
      </c>
      <c r="AB196" s="35"/>
      <c r="AC196" s="35">
        <v>0</v>
      </c>
      <c r="AD196" s="35"/>
      <c r="AE196" s="35">
        <v>0</v>
      </c>
      <c r="AF196" s="35"/>
      <c r="AG196" s="35">
        <v>0</v>
      </c>
      <c r="AH196" s="35"/>
      <c r="AI196" s="45">
        <f t="shared" si="38"/>
        <v>0</v>
      </c>
      <c r="AJ196" s="45"/>
      <c r="AK196" s="35">
        <v>0</v>
      </c>
      <c r="AL196" s="35"/>
      <c r="AM196" s="35">
        <v>0</v>
      </c>
      <c r="AN196" s="35"/>
      <c r="AO196" s="35">
        <v>0</v>
      </c>
      <c r="AP196" s="35"/>
      <c r="AQ196" s="35">
        <v>0</v>
      </c>
      <c r="AR196" s="35"/>
      <c r="AS196" s="45">
        <f t="shared" si="37"/>
        <v>0</v>
      </c>
      <c r="AT196" s="45"/>
      <c r="AU196" s="35">
        <v>0</v>
      </c>
      <c r="AV196" s="35"/>
      <c r="AW196" s="35">
        <v>0</v>
      </c>
      <c r="AX196" s="35"/>
      <c r="AY196" s="35">
        <f t="shared" si="41"/>
        <v>0</v>
      </c>
      <c r="AZ196" s="35"/>
      <c r="BA196" s="35" t="s">
        <v>234</v>
      </c>
      <c r="BB196" s="55"/>
      <c r="BC196" s="35" t="s">
        <v>45</v>
      </c>
      <c r="BD196" s="35"/>
      <c r="BE196" s="35">
        <v>0</v>
      </c>
      <c r="BF196" s="35"/>
      <c r="BG196" s="35">
        <v>0</v>
      </c>
      <c r="BH196" s="35"/>
      <c r="BI196" s="35">
        <v>0</v>
      </c>
      <c r="BJ196" s="35"/>
      <c r="BK196" s="35">
        <v>0</v>
      </c>
      <c r="BL196" s="35"/>
      <c r="BM196" s="35">
        <f t="shared" si="42"/>
        <v>0</v>
      </c>
      <c r="BN196" s="54" t="s">
        <v>347</v>
      </c>
      <c r="BO196" s="35" t="s">
        <v>371</v>
      </c>
      <c r="BP196" s="35"/>
      <c r="BQ196" s="35"/>
      <c r="BR196" s="35"/>
      <c r="BS196" s="35"/>
      <c r="BT196" s="35"/>
      <c r="BU196" s="35"/>
      <c r="BV196" s="35"/>
    </row>
    <row r="197" spans="1:74" hidden="1">
      <c r="A197" s="35" t="s">
        <v>235</v>
      </c>
      <c r="C197" s="35" t="s">
        <v>183</v>
      </c>
      <c r="D197" s="35"/>
      <c r="E197" s="35">
        <f t="shared" si="39"/>
        <v>0</v>
      </c>
      <c r="F197" s="35"/>
      <c r="G197" s="35">
        <v>0</v>
      </c>
      <c r="H197" s="35"/>
      <c r="I197" s="35">
        <v>0</v>
      </c>
      <c r="J197" s="35"/>
      <c r="K197" s="35">
        <f t="shared" si="40"/>
        <v>0</v>
      </c>
      <c r="L197" s="35"/>
      <c r="M197" s="35">
        <v>0</v>
      </c>
      <c r="N197" s="35"/>
      <c r="O197" s="35">
        <v>0</v>
      </c>
      <c r="P197" s="35"/>
      <c r="Q197" s="35">
        <v>0</v>
      </c>
      <c r="R197" s="35"/>
      <c r="S197" s="35">
        <v>0</v>
      </c>
      <c r="T197" s="35"/>
      <c r="U197" s="35">
        <v>0</v>
      </c>
      <c r="V197" s="35"/>
      <c r="W197" s="35">
        <f t="shared" si="33"/>
        <v>0</v>
      </c>
      <c r="X197" s="35"/>
      <c r="Y197" s="35" t="s">
        <v>235</v>
      </c>
      <c r="Z197" s="55"/>
      <c r="AA197" s="35" t="s">
        <v>183</v>
      </c>
      <c r="AB197" s="35"/>
      <c r="AC197" s="35">
        <v>0</v>
      </c>
      <c r="AD197" s="35"/>
      <c r="AE197" s="35">
        <v>0</v>
      </c>
      <c r="AF197" s="35"/>
      <c r="AG197" s="35">
        <v>0</v>
      </c>
      <c r="AH197" s="35"/>
      <c r="AI197" s="45">
        <f t="shared" si="38"/>
        <v>0</v>
      </c>
      <c r="AJ197" s="45"/>
      <c r="AK197" s="35">
        <v>0</v>
      </c>
      <c r="AL197" s="35"/>
      <c r="AM197" s="35">
        <v>0</v>
      </c>
      <c r="AN197" s="35"/>
      <c r="AO197" s="35">
        <v>0</v>
      </c>
      <c r="AP197" s="35"/>
      <c r="AQ197" s="35">
        <v>0</v>
      </c>
      <c r="AR197" s="35"/>
      <c r="AS197" s="45">
        <f t="shared" si="37"/>
        <v>0</v>
      </c>
      <c r="AT197" s="45"/>
      <c r="AU197" s="35">
        <v>0</v>
      </c>
      <c r="AV197" s="35"/>
      <c r="AW197" s="35">
        <v>0</v>
      </c>
      <c r="AX197" s="35"/>
      <c r="AY197" s="35">
        <f t="shared" si="41"/>
        <v>0</v>
      </c>
      <c r="AZ197" s="35"/>
      <c r="BA197" s="35" t="s">
        <v>235</v>
      </c>
      <c r="BB197" s="55"/>
      <c r="BC197" s="35" t="s">
        <v>183</v>
      </c>
      <c r="BD197" s="35"/>
      <c r="BE197" s="35">
        <v>0</v>
      </c>
      <c r="BF197" s="35"/>
      <c r="BG197" s="35">
        <v>0</v>
      </c>
      <c r="BH197" s="35"/>
      <c r="BI197" s="35">
        <v>0</v>
      </c>
      <c r="BJ197" s="35"/>
      <c r="BK197" s="35">
        <v>0</v>
      </c>
      <c r="BL197" s="35"/>
      <c r="BM197" s="35">
        <f t="shared" si="42"/>
        <v>0</v>
      </c>
      <c r="BN197" s="54" t="s">
        <v>347</v>
      </c>
      <c r="BO197" s="35"/>
      <c r="BP197" s="35"/>
    </row>
    <row r="198" spans="1:74" hidden="1">
      <c r="A198" s="35" t="s">
        <v>236</v>
      </c>
      <c r="C198" s="35" t="s">
        <v>45</v>
      </c>
      <c r="D198" s="35"/>
      <c r="E198" s="35">
        <f t="shared" si="39"/>
        <v>0</v>
      </c>
      <c r="F198" s="35"/>
      <c r="G198" s="35">
        <v>0</v>
      </c>
      <c r="H198" s="35"/>
      <c r="I198" s="35">
        <v>0</v>
      </c>
      <c r="J198" s="35"/>
      <c r="K198" s="35">
        <f t="shared" si="40"/>
        <v>0</v>
      </c>
      <c r="L198" s="35"/>
      <c r="M198" s="35">
        <v>0</v>
      </c>
      <c r="N198" s="35"/>
      <c r="O198" s="35">
        <v>0</v>
      </c>
      <c r="P198" s="35"/>
      <c r="Q198" s="35">
        <v>0</v>
      </c>
      <c r="R198" s="35"/>
      <c r="S198" s="35">
        <v>0</v>
      </c>
      <c r="T198" s="35"/>
      <c r="U198" s="35">
        <v>0</v>
      </c>
      <c r="V198" s="35"/>
      <c r="W198" s="35">
        <f t="shared" si="33"/>
        <v>0</v>
      </c>
      <c r="X198" s="35"/>
      <c r="Y198" s="35" t="s">
        <v>236</v>
      </c>
      <c r="Z198" s="55"/>
      <c r="AA198" s="35" t="s">
        <v>45</v>
      </c>
      <c r="AB198" s="35"/>
      <c r="AC198" s="35">
        <v>0</v>
      </c>
      <c r="AD198" s="35"/>
      <c r="AE198" s="35">
        <v>0</v>
      </c>
      <c r="AF198" s="35"/>
      <c r="AG198" s="35">
        <v>0</v>
      </c>
      <c r="AH198" s="35"/>
      <c r="AI198" s="45">
        <f t="shared" si="38"/>
        <v>0</v>
      </c>
      <c r="AJ198" s="45"/>
      <c r="AK198" s="35">
        <v>0</v>
      </c>
      <c r="AL198" s="35"/>
      <c r="AM198" s="35">
        <v>0</v>
      </c>
      <c r="AN198" s="35"/>
      <c r="AO198" s="35">
        <v>0</v>
      </c>
      <c r="AP198" s="35"/>
      <c r="AQ198" s="35">
        <v>0</v>
      </c>
      <c r="AR198" s="35"/>
      <c r="AS198" s="45">
        <f t="shared" si="37"/>
        <v>0</v>
      </c>
      <c r="AT198" s="45"/>
      <c r="AU198" s="35">
        <v>0</v>
      </c>
      <c r="AV198" s="35"/>
      <c r="AW198" s="35">
        <v>0</v>
      </c>
      <c r="AX198" s="35"/>
      <c r="AY198" s="35">
        <f t="shared" si="41"/>
        <v>0</v>
      </c>
      <c r="AZ198" s="35"/>
      <c r="BA198" s="35" t="s">
        <v>236</v>
      </c>
      <c r="BB198" s="55"/>
      <c r="BC198" s="35" t="s">
        <v>45</v>
      </c>
      <c r="BD198" s="35"/>
      <c r="BE198" s="35">
        <v>0</v>
      </c>
      <c r="BF198" s="35"/>
      <c r="BG198" s="35">
        <v>0</v>
      </c>
      <c r="BH198" s="35"/>
      <c r="BI198" s="35">
        <v>0</v>
      </c>
      <c r="BJ198" s="35"/>
      <c r="BK198" s="35">
        <v>0</v>
      </c>
      <c r="BL198" s="35"/>
      <c r="BM198" s="35">
        <f t="shared" si="42"/>
        <v>0</v>
      </c>
      <c r="BN198" s="54" t="s">
        <v>347</v>
      </c>
    </row>
    <row r="199" spans="1:74" hidden="1">
      <c r="A199" s="35" t="s">
        <v>237</v>
      </c>
      <c r="C199" s="35" t="s">
        <v>33</v>
      </c>
      <c r="D199" s="35"/>
      <c r="E199" s="35">
        <f t="shared" si="39"/>
        <v>0</v>
      </c>
      <c r="F199" s="35"/>
      <c r="G199" s="35">
        <v>0</v>
      </c>
      <c r="H199" s="35"/>
      <c r="I199" s="35">
        <v>0</v>
      </c>
      <c r="J199" s="35"/>
      <c r="K199" s="35">
        <f t="shared" si="40"/>
        <v>0</v>
      </c>
      <c r="L199" s="35"/>
      <c r="M199" s="35">
        <v>0</v>
      </c>
      <c r="N199" s="35"/>
      <c r="O199" s="35">
        <v>0</v>
      </c>
      <c r="P199" s="35"/>
      <c r="Q199" s="35">
        <v>0</v>
      </c>
      <c r="R199" s="35"/>
      <c r="S199" s="35">
        <v>0</v>
      </c>
      <c r="T199" s="35"/>
      <c r="U199" s="35">
        <v>0</v>
      </c>
      <c r="V199" s="35"/>
      <c r="W199" s="35">
        <f t="shared" si="33"/>
        <v>0</v>
      </c>
      <c r="X199" s="35"/>
      <c r="Y199" s="35" t="s">
        <v>237</v>
      </c>
      <c r="Z199" s="55"/>
      <c r="AA199" s="35" t="s">
        <v>33</v>
      </c>
      <c r="AB199" s="35"/>
      <c r="AC199" s="35">
        <v>0</v>
      </c>
      <c r="AD199" s="35"/>
      <c r="AE199" s="35">
        <v>0</v>
      </c>
      <c r="AF199" s="35"/>
      <c r="AG199" s="35">
        <v>0</v>
      </c>
      <c r="AH199" s="35"/>
      <c r="AI199" s="45">
        <f t="shared" si="38"/>
        <v>0</v>
      </c>
      <c r="AJ199" s="45"/>
      <c r="AK199" s="35">
        <v>0</v>
      </c>
      <c r="AL199" s="35"/>
      <c r="AM199" s="35">
        <v>0</v>
      </c>
      <c r="AN199" s="35"/>
      <c r="AO199" s="35">
        <v>0</v>
      </c>
      <c r="AP199" s="35"/>
      <c r="AQ199" s="35">
        <v>0</v>
      </c>
      <c r="AR199" s="35"/>
      <c r="AS199" s="45">
        <f t="shared" si="37"/>
        <v>0</v>
      </c>
      <c r="AT199" s="45"/>
      <c r="AU199" s="35">
        <v>0</v>
      </c>
      <c r="AV199" s="35"/>
      <c r="AW199" s="35">
        <v>0</v>
      </c>
      <c r="AX199" s="35"/>
      <c r="AY199" s="35">
        <f t="shared" si="41"/>
        <v>0</v>
      </c>
      <c r="AZ199" s="35"/>
      <c r="BA199" s="35" t="s">
        <v>237</v>
      </c>
      <c r="BB199" s="55"/>
      <c r="BC199" s="35" t="s">
        <v>33</v>
      </c>
      <c r="BD199" s="35"/>
      <c r="BE199" s="35">
        <v>0</v>
      </c>
      <c r="BF199" s="35"/>
      <c r="BG199" s="35">
        <v>0</v>
      </c>
      <c r="BH199" s="35"/>
      <c r="BI199" s="35">
        <v>0</v>
      </c>
      <c r="BJ199" s="35"/>
      <c r="BK199" s="35">
        <v>0</v>
      </c>
      <c r="BL199" s="35"/>
      <c r="BM199" s="35">
        <f t="shared" si="42"/>
        <v>0</v>
      </c>
      <c r="BN199" s="54" t="s">
        <v>347</v>
      </c>
    </row>
    <row r="200" spans="1:74" ht="12">
      <c r="A200" s="64" t="s">
        <v>238</v>
      </c>
      <c r="B200" s="90"/>
      <c r="C200" s="64" t="s">
        <v>239</v>
      </c>
      <c r="D200" s="64"/>
      <c r="E200" s="35">
        <f t="shared" si="39"/>
        <v>2007358</v>
      </c>
      <c r="F200" s="35"/>
      <c r="G200" s="35">
        <v>1848688</v>
      </c>
      <c r="H200" s="35"/>
      <c r="I200" s="35">
        <v>3856046</v>
      </c>
      <c r="J200" s="35"/>
      <c r="K200" s="35">
        <f t="shared" si="40"/>
        <v>22899</v>
      </c>
      <c r="L200" s="35"/>
      <c r="M200" s="35">
        <f>20355+3642908</f>
        <v>3663263</v>
      </c>
      <c r="N200" s="35"/>
      <c r="O200" s="35">
        <v>3686162</v>
      </c>
      <c r="P200" s="35"/>
      <c r="Q200" s="35">
        <v>1848688</v>
      </c>
      <c r="R200" s="35"/>
      <c r="S200" s="35">
        <v>0</v>
      </c>
      <c r="T200" s="35"/>
      <c r="U200" s="35">
        <v>-1678804</v>
      </c>
      <c r="V200" s="35"/>
      <c r="W200" s="35">
        <f t="shared" si="33"/>
        <v>169884</v>
      </c>
      <c r="X200" s="64"/>
      <c r="Y200" s="64" t="s">
        <v>238</v>
      </c>
      <c r="Z200" s="90"/>
      <c r="AA200" s="64" t="s">
        <v>239</v>
      </c>
      <c r="AB200" s="64"/>
      <c r="AC200" s="35">
        <v>854285</v>
      </c>
      <c r="AD200" s="35"/>
      <c r="AE200" s="35">
        <f>792452-118555</f>
        <v>673897</v>
      </c>
      <c r="AF200" s="35"/>
      <c r="AG200" s="35">
        <v>118555</v>
      </c>
      <c r="AH200" s="35"/>
      <c r="AI200" s="45">
        <f t="shared" si="38"/>
        <v>61833</v>
      </c>
      <c r="AJ200" s="45"/>
      <c r="AK200" s="35">
        <v>1311</v>
      </c>
      <c r="AL200" s="35"/>
      <c r="AM200" s="35">
        <v>0</v>
      </c>
      <c r="AN200" s="35"/>
      <c r="AO200" s="35">
        <v>0</v>
      </c>
      <c r="AP200" s="35"/>
      <c r="AQ200" s="35">
        <v>0</v>
      </c>
      <c r="AR200" s="35"/>
      <c r="AS200" s="45">
        <f t="shared" si="37"/>
        <v>63144</v>
      </c>
      <c r="AT200" s="45"/>
      <c r="AU200" s="35">
        <v>0</v>
      </c>
      <c r="AV200" s="35"/>
      <c r="AW200" s="35">
        <v>0</v>
      </c>
      <c r="AX200" s="35"/>
      <c r="AY200" s="35">
        <f t="shared" si="41"/>
        <v>1984459</v>
      </c>
      <c r="AZ200" s="35"/>
      <c r="BA200" s="64" t="s">
        <v>238</v>
      </c>
      <c r="BB200" s="90"/>
      <c r="BC200" s="64" t="s">
        <v>239</v>
      </c>
      <c r="BD200" s="64"/>
      <c r="BE200" s="35">
        <v>0</v>
      </c>
      <c r="BF200" s="35"/>
      <c r="BG200" s="35">
        <v>0</v>
      </c>
      <c r="BH200" s="35"/>
      <c r="BI200" s="35">
        <v>0</v>
      </c>
      <c r="BJ200" s="35"/>
      <c r="BK200" s="35">
        <f>20355+3642908+6323</f>
        <v>3669586</v>
      </c>
      <c r="BL200" s="35"/>
      <c r="BM200" s="35">
        <f t="shared" si="42"/>
        <v>3669586</v>
      </c>
      <c r="BN200" s="54" t="s">
        <v>347</v>
      </c>
    </row>
    <row r="201" spans="1:74" ht="12">
      <c r="A201" s="35" t="s">
        <v>486</v>
      </c>
      <c r="B201" s="55"/>
      <c r="C201" s="35" t="s">
        <v>249</v>
      </c>
      <c r="D201" s="35"/>
      <c r="E201" s="35">
        <f t="shared" si="39"/>
        <v>2162513</v>
      </c>
      <c r="F201" s="35"/>
      <c r="G201" s="35">
        <v>340859</v>
      </c>
      <c r="H201" s="35"/>
      <c r="I201" s="35">
        <v>2503372</v>
      </c>
      <c r="J201" s="35"/>
      <c r="K201" s="35">
        <f t="shared" si="40"/>
        <v>222241</v>
      </c>
      <c r="L201" s="35"/>
      <c r="M201" s="35">
        <v>4655898</v>
      </c>
      <c r="N201" s="35"/>
      <c r="O201" s="35">
        <v>4878139</v>
      </c>
      <c r="P201" s="35"/>
      <c r="Q201" s="35">
        <v>314555</v>
      </c>
      <c r="R201" s="35"/>
      <c r="S201" s="35">
        <v>0</v>
      </c>
      <c r="T201" s="35"/>
      <c r="U201" s="35">
        <v>-2690322</v>
      </c>
      <c r="V201" s="35"/>
      <c r="W201" s="35">
        <f t="shared" si="33"/>
        <v>-2375767</v>
      </c>
      <c r="X201" s="35"/>
      <c r="Y201" s="35" t="s">
        <v>486</v>
      </c>
      <c r="Z201" s="55"/>
      <c r="AA201" s="35" t="s">
        <v>249</v>
      </c>
      <c r="AB201" s="35"/>
      <c r="AC201" s="35">
        <v>2328526</v>
      </c>
      <c r="AD201" s="35"/>
      <c r="AE201" s="35">
        <f>1611023-165918</f>
        <v>1445105</v>
      </c>
      <c r="AF201" s="35"/>
      <c r="AG201" s="35">
        <v>165918</v>
      </c>
      <c r="AH201" s="35"/>
      <c r="AI201" s="45">
        <f t="shared" si="38"/>
        <v>717503</v>
      </c>
      <c r="AJ201" s="45"/>
      <c r="AK201" s="35">
        <v>-37928</v>
      </c>
      <c r="AL201" s="35"/>
      <c r="AM201" s="35">
        <v>0</v>
      </c>
      <c r="AN201" s="35"/>
      <c r="AO201" s="35">
        <v>0</v>
      </c>
      <c r="AP201" s="35"/>
      <c r="AQ201" s="35">
        <v>157000</v>
      </c>
      <c r="AR201" s="35"/>
      <c r="AS201" s="45">
        <f t="shared" si="37"/>
        <v>836575</v>
      </c>
      <c r="AT201" s="45"/>
      <c r="AU201" s="35">
        <v>0</v>
      </c>
      <c r="AV201" s="35"/>
      <c r="AW201" s="35">
        <v>0</v>
      </c>
      <c r="AX201" s="35"/>
      <c r="AY201" s="35">
        <f t="shared" si="41"/>
        <v>1940272</v>
      </c>
      <c r="AZ201" s="35"/>
      <c r="BA201" s="35" t="s">
        <v>486</v>
      </c>
      <c r="BB201" s="55"/>
      <c r="BC201" s="35" t="s">
        <v>249</v>
      </c>
      <c r="BD201" s="35"/>
      <c r="BE201" s="35">
        <v>0</v>
      </c>
      <c r="BF201" s="35"/>
      <c r="BG201" s="35">
        <v>0</v>
      </c>
      <c r="BH201" s="35"/>
      <c r="BI201" s="35">
        <v>0</v>
      </c>
      <c r="BJ201" s="35"/>
      <c r="BK201" s="35">
        <f>4655898+5574+100000</f>
        <v>4761472</v>
      </c>
      <c r="BL201" s="35"/>
      <c r="BM201" s="35">
        <f t="shared" si="42"/>
        <v>4761472</v>
      </c>
      <c r="BN201" s="54"/>
    </row>
    <row r="202" spans="1:74" hidden="1">
      <c r="A202" s="35" t="s">
        <v>240</v>
      </c>
      <c r="C202" s="35" t="s">
        <v>13</v>
      </c>
      <c r="D202" s="35"/>
      <c r="E202" s="35">
        <f t="shared" si="39"/>
        <v>0</v>
      </c>
      <c r="F202" s="35"/>
      <c r="G202" s="35">
        <v>0</v>
      </c>
      <c r="H202" s="35"/>
      <c r="I202" s="35">
        <v>0</v>
      </c>
      <c r="J202" s="35"/>
      <c r="K202" s="35">
        <f t="shared" si="40"/>
        <v>0</v>
      </c>
      <c r="L202" s="35"/>
      <c r="M202" s="35">
        <v>0</v>
      </c>
      <c r="N202" s="35"/>
      <c r="O202" s="35">
        <v>0</v>
      </c>
      <c r="P202" s="35"/>
      <c r="Q202" s="35">
        <v>0</v>
      </c>
      <c r="R202" s="35"/>
      <c r="S202" s="35">
        <v>0</v>
      </c>
      <c r="T202" s="35"/>
      <c r="U202" s="35">
        <v>0</v>
      </c>
      <c r="V202" s="35"/>
      <c r="W202" s="35">
        <f t="shared" si="33"/>
        <v>0</v>
      </c>
      <c r="X202" s="35"/>
      <c r="Y202" s="35" t="s">
        <v>240</v>
      </c>
      <c r="Z202" s="55"/>
      <c r="AA202" s="35" t="s">
        <v>13</v>
      </c>
      <c r="AB202" s="35"/>
      <c r="AC202" s="35">
        <v>0</v>
      </c>
      <c r="AD202" s="35"/>
      <c r="AE202" s="35">
        <v>0</v>
      </c>
      <c r="AF202" s="35"/>
      <c r="AG202" s="35">
        <v>0</v>
      </c>
      <c r="AH202" s="35"/>
      <c r="AI202" s="45">
        <f t="shared" si="38"/>
        <v>0</v>
      </c>
      <c r="AJ202" s="45"/>
      <c r="AK202" s="35">
        <v>0</v>
      </c>
      <c r="AL202" s="35"/>
      <c r="AM202" s="35">
        <v>0</v>
      </c>
      <c r="AN202" s="35"/>
      <c r="AO202" s="35">
        <v>0</v>
      </c>
      <c r="AP202" s="35"/>
      <c r="AQ202" s="35">
        <v>0</v>
      </c>
      <c r="AR202" s="35"/>
      <c r="AS202" s="45">
        <f t="shared" si="37"/>
        <v>0</v>
      </c>
      <c r="AT202" s="45"/>
      <c r="AU202" s="35">
        <v>0</v>
      </c>
      <c r="AV202" s="35"/>
      <c r="AW202" s="35">
        <v>0</v>
      </c>
      <c r="AX202" s="35"/>
      <c r="AY202" s="35">
        <f t="shared" si="41"/>
        <v>0</v>
      </c>
      <c r="AZ202" s="35"/>
      <c r="BA202" s="35" t="s">
        <v>240</v>
      </c>
      <c r="BB202" s="55"/>
      <c r="BC202" s="35" t="s">
        <v>13</v>
      </c>
      <c r="BD202" s="35"/>
      <c r="BE202" s="35">
        <v>0</v>
      </c>
      <c r="BF202" s="35"/>
      <c r="BG202" s="35">
        <v>0</v>
      </c>
      <c r="BH202" s="35"/>
      <c r="BI202" s="35">
        <v>0</v>
      </c>
      <c r="BJ202" s="35"/>
      <c r="BK202" s="35">
        <v>0</v>
      </c>
      <c r="BL202" s="35"/>
      <c r="BM202" s="35">
        <f t="shared" si="42"/>
        <v>0</v>
      </c>
      <c r="BN202" s="54" t="s">
        <v>347</v>
      </c>
      <c r="BO202" s="35" t="s">
        <v>371</v>
      </c>
      <c r="BP202" s="35"/>
    </row>
    <row r="203" spans="1:74" hidden="1">
      <c r="A203" s="35" t="s">
        <v>241</v>
      </c>
      <c r="C203" s="35" t="s">
        <v>22</v>
      </c>
      <c r="D203" s="35"/>
      <c r="E203" s="35">
        <f t="shared" si="39"/>
        <v>0</v>
      </c>
      <c r="F203" s="35"/>
      <c r="G203" s="35">
        <v>0</v>
      </c>
      <c r="H203" s="35"/>
      <c r="I203" s="35">
        <v>0</v>
      </c>
      <c r="J203" s="35"/>
      <c r="K203" s="35">
        <f t="shared" si="40"/>
        <v>0</v>
      </c>
      <c r="L203" s="35"/>
      <c r="M203" s="35">
        <v>0</v>
      </c>
      <c r="N203" s="35"/>
      <c r="O203" s="35">
        <v>0</v>
      </c>
      <c r="P203" s="35"/>
      <c r="Q203" s="35">
        <v>0</v>
      </c>
      <c r="R203" s="35"/>
      <c r="S203" s="35">
        <v>0</v>
      </c>
      <c r="T203" s="35"/>
      <c r="U203" s="35">
        <v>0</v>
      </c>
      <c r="V203" s="35"/>
      <c r="W203" s="35">
        <f t="shared" ref="W203:W214" si="43">SUM(Q203:U203)</f>
        <v>0</v>
      </c>
      <c r="X203" s="35"/>
      <c r="Y203" s="35" t="s">
        <v>241</v>
      </c>
      <c r="Z203" s="55"/>
      <c r="AA203" s="35" t="s">
        <v>22</v>
      </c>
      <c r="AB203" s="35"/>
      <c r="AC203" s="35">
        <v>0</v>
      </c>
      <c r="AD203" s="35"/>
      <c r="AE203" s="35">
        <v>0</v>
      </c>
      <c r="AF203" s="35"/>
      <c r="AG203" s="35">
        <v>0</v>
      </c>
      <c r="AH203" s="35"/>
      <c r="AI203" s="45">
        <f t="shared" si="38"/>
        <v>0</v>
      </c>
      <c r="AJ203" s="45"/>
      <c r="AK203" s="35">
        <v>0</v>
      </c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37"/>
        <v>0</v>
      </c>
      <c r="AT203" s="45"/>
      <c r="AU203" s="35">
        <v>0</v>
      </c>
      <c r="AV203" s="35"/>
      <c r="AW203" s="35">
        <v>0</v>
      </c>
      <c r="AX203" s="35"/>
      <c r="AY203" s="35">
        <f t="shared" si="41"/>
        <v>0</v>
      </c>
      <c r="AZ203" s="35"/>
      <c r="BA203" s="35" t="s">
        <v>241</v>
      </c>
      <c r="BB203" s="55"/>
      <c r="BC203" s="35" t="s">
        <v>22</v>
      </c>
      <c r="BD203" s="35"/>
      <c r="BE203" s="35">
        <v>0</v>
      </c>
      <c r="BF203" s="35"/>
      <c r="BG203" s="35">
        <v>0</v>
      </c>
      <c r="BH203" s="35"/>
      <c r="BI203" s="35">
        <v>0</v>
      </c>
      <c r="BJ203" s="35"/>
      <c r="BK203" s="35">
        <v>0</v>
      </c>
      <c r="BL203" s="35"/>
      <c r="BM203" s="35">
        <f t="shared" si="42"/>
        <v>0</v>
      </c>
      <c r="BN203" s="54" t="s">
        <v>347</v>
      </c>
    </row>
    <row r="204" spans="1:74" hidden="1">
      <c r="A204" s="35" t="s">
        <v>242</v>
      </c>
      <c r="C204" s="35" t="s">
        <v>27</v>
      </c>
      <c r="D204" s="35"/>
      <c r="E204" s="35">
        <f t="shared" si="39"/>
        <v>0</v>
      </c>
      <c r="F204" s="35"/>
      <c r="G204" s="35">
        <v>0</v>
      </c>
      <c r="H204" s="35"/>
      <c r="I204" s="35">
        <v>0</v>
      </c>
      <c r="J204" s="35"/>
      <c r="K204" s="35">
        <f t="shared" si="40"/>
        <v>0</v>
      </c>
      <c r="L204" s="35"/>
      <c r="M204" s="35">
        <v>0</v>
      </c>
      <c r="N204" s="35"/>
      <c r="O204" s="35">
        <v>0</v>
      </c>
      <c r="P204" s="35"/>
      <c r="Q204" s="35">
        <v>0</v>
      </c>
      <c r="R204" s="35"/>
      <c r="S204" s="35">
        <v>0</v>
      </c>
      <c r="T204" s="35"/>
      <c r="U204" s="35">
        <v>0</v>
      </c>
      <c r="V204" s="35"/>
      <c r="W204" s="35">
        <f t="shared" si="43"/>
        <v>0</v>
      </c>
      <c r="X204" s="35"/>
      <c r="Y204" s="35" t="s">
        <v>242</v>
      </c>
      <c r="Z204" s="55"/>
      <c r="AA204" s="35" t="s">
        <v>27</v>
      </c>
      <c r="AB204" s="35"/>
      <c r="AC204" s="35">
        <v>0</v>
      </c>
      <c r="AD204" s="35"/>
      <c r="AE204" s="35">
        <v>0</v>
      </c>
      <c r="AF204" s="35"/>
      <c r="AG204" s="35">
        <v>0</v>
      </c>
      <c r="AH204" s="35"/>
      <c r="AI204" s="45">
        <f t="shared" si="38"/>
        <v>0</v>
      </c>
      <c r="AJ204" s="45"/>
      <c r="AK204" s="35">
        <v>0</v>
      </c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37"/>
        <v>0</v>
      </c>
      <c r="AT204" s="45"/>
      <c r="AU204" s="35">
        <v>0</v>
      </c>
      <c r="AV204" s="35"/>
      <c r="AW204" s="35">
        <v>0</v>
      </c>
      <c r="AX204" s="35"/>
      <c r="AY204" s="35">
        <f t="shared" si="41"/>
        <v>0</v>
      </c>
      <c r="AZ204" s="35"/>
      <c r="BA204" s="35" t="s">
        <v>242</v>
      </c>
      <c r="BB204" s="55"/>
      <c r="BC204" s="35" t="s">
        <v>27</v>
      </c>
      <c r="BD204" s="35"/>
      <c r="BE204" s="35">
        <v>0</v>
      </c>
      <c r="BF204" s="35"/>
      <c r="BG204" s="35">
        <v>0</v>
      </c>
      <c r="BH204" s="35"/>
      <c r="BI204" s="35">
        <v>0</v>
      </c>
      <c r="BJ204" s="35"/>
      <c r="BK204" s="35">
        <v>0</v>
      </c>
      <c r="BL204" s="35"/>
      <c r="BM204" s="35">
        <f t="shared" si="42"/>
        <v>0</v>
      </c>
      <c r="BN204" s="54" t="s">
        <v>347</v>
      </c>
    </row>
    <row r="205" spans="1:74" hidden="1">
      <c r="A205" s="35" t="s">
        <v>243</v>
      </c>
      <c r="C205" s="35" t="s">
        <v>163</v>
      </c>
      <c r="D205" s="35"/>
      <c r="E205" s="35">
        <f t="shared" si="39"/>
        <v>0</v>
      </c>
      <c r="F205" s="35"/>
      <c r="G205" s="35">
        <v>0</v>
      </c>
      <c r="H205" s="35"/>
      <c r="I205" s="35">
        <v>0</v>
      </c>
      <c r="J205" s="35"/>
      <c r="K205" s="35">
        <f t="shared" si="40"/>
        <v>0</v>
      </c>
      <c r="L205" s="35"/>
      <c r="M205" s="35">
        <v>0</v>
      </c>
      <c r="N205" s="35"/>
      <c r="O205" s="35">
        <v>0</v>
      </c>
      <c r="P205" s="35"/>
      <c r="Q205" s="35">
        <v>0</v>
      </c>
      <c r="R205" s="35"/>
      <c r="S205" s="35">
        <v>0</v>
      </c>
      <c r="T205" s="35"/>
      <c r="U205" s="35">
        <v>0</v>
      </c>
      <c r="V205" s="35"/>
      <c r="W205" s="35">
        <f t="shared" si="43"/>
        <v>0</v>
      </c>
      <c r="X205" s="35"/>
      <c r="Y205" s="35" t="s">
        <v>243</v>
      </c>
      <c r="Z205" s="55"/>
      <c r="AA205" s="35" t="s">
        <v>163</v>
      </c>
      <c r="AB205" s="35"/>
      <c r="AC205" s="35">
        <v>0</v>
      </c>
      <c r="AD205" s="35"/>
      <c r="AE205" s="35">
        <v>0</v>
      </c>
      <c r="AF205" s="35"/>
      <c r="AG205" s="35">
        <v>0</v>
      </c>
      <c r="AH205" s="35"/>
      <c r="AI205" s="45">
        <f t="shared" si="38"/>
        <v>0</v>
      </c>
      <c r="AJ205" s="45"/>
      <c r="AK205" s="35">
        <v>0</v>
      </c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37"/>
        <v>0</v>
      </c>
      <c r="AT205" s="45"/>
      <c r="AU205" s="35">
        <v>0</v>
      </c>
      <c r="AV205" s="35"/>
      <c r="AW205" s="35">
        <v>0</v>
      </c>
      <c r="AX205" s="35"/>
      <c r="AY205" s="35">
        <f t="shared" si="41"/>
        <v>0</v>
      </c>
      <c r="AZ205" s="35"/>
      <c r="BA205" s="35" t="s">
        <v>243</v>
      </c>
      <c r="BB205" s="55"/>
      <c r="BC205" s="35" t="s">
        <v>163</v>
      </c>
      <c r="BD205" s="35"/>
      <c r="BE205" s="35">
        <v>0</v>
      </c>
      <c r="BF205" s="35"/>
      <c r="BG205" s="35">
        <v>0</v>
      </c>
      <c r="BH205" s="35"/>
      <c r="BI205" s="35">
        <v>0</v>
      </c>
      <c r="BJ205" s="35"/>
      <c r="BK205" s="35">
        <v>0</v>
      </c>
      <c r="BL205" s="35"/>
      <c r="BM205" s="35">
        <f t="shared" si="42"/>
        <v>0</v>
      </c>
      <c r="BN205" s="89" t="s">
        <v>347</v>
      </c>
    </row>
    <row r="206" spans="1:74" hidden="1">
      <c r="A206" s="35" t="s">
        <v>244</v>
      </c>
      <c r="C206" s="35" t="s">
        <v>13</v>
      </c>
      <c r="D206" s="35"/>
      <c r="E206" s="35">
        <f t="shared" si="39"/>
        <v>0</v>
      </c>
      <c r="F206" s="35"/>
      <c r="G206" s="35">
        <v>0</v>
      </c>
      <c r="H206" s="35"/>
      <c r="I206" s="35">
        <v>0</v>
      </c>
      <c r="J206" s="35"/>
      <c r="K206" s="35">
        <f t="shared" si="40"/>
        <v>0</v>
      </c>
      <c r="L206" s="35"/>
      <c r="M206" s="35">
        <v>0</v>
      </c>
      <c r="N206" s="35"/>
      <c r="O206" s="35">
        <v>0</v>
      </c>
      <c r="P206" s="35"/>
      <c r="Q206" s="35">
        <v>0</v>
      </c>
      <c r="R206" s="35"/>
      <c r="S206" s="35">
        <v>0</v>
      </c>
      <c r="T206" s="35"/>
      <c r="U206" s="35">
        <v>0</v>
      </c>
      <c r="V206" s="35"/>
      <c r="W206" s="35">
        <f t="shared" si="43"/>
        <v>0</v>
      </c>
      <c r="X206" s="35"/>
      <c r="Y206" s="35" t="s">
        <v>244</v>
      </c>
      <c r="Z206" s="55"/>
      <c r="AA206" s="35" t="s">
        <v>13</v>
      </c>
      <c r="AB206" s="35"/>
      <c r="AC206" s="35">
        <v>0</v>
      </c>
      <c r="AD206" s="35"/>
      <c r="AE206" s="35">
        <v>0</v>
      </c>
      <c r="AF206" s="35"/>
      <c r="AG206" s="35">
        <v>0</v>
      </c>
      <c r="AH206" s="35"/>
      <c r="AI206" s="45">
        <f t="shared" si="38"/>
        <v>0</v>
      </c>
      <c r="AJ206" s="45"/>
      <c r="AK206" s="35">
        <v>0</v>
      </c>
      <c r="AL206" s="35"/>
      <c r="AM206" s="35">
        <v>0</v>
      </c>
      <c r="AN206" s="35"/>
      <c r="AO206" s="35">
        <v>0</v>
      </c>
      <c r="AP206" s="35"/>
      <c r="AQ206" s="35">
        <v>0</v>
      </c>
      <c r="AR206" s="35"/>
      <c r="AS206" s="45">
        <f t="shared" si="37"/>
        <v>0</v>
      </c>
      <c r="AT206" s="45"/>
      <c r="AU206" s="35">
        <v>0</v>
      </c>
      <c r="AV206" s="35"/>
      <c r="AW206" s="35">
        <v>0</v>
      </c>
      <c r="AX206" s="35"/>
      <c r="AY206" s="35">
        <f t="shared" si="41"/>
        <v>0</v>
      </c>
      <c r="AZ206" s="35"/>
      <c r="BA206" s="35" t="s">
        <v>244</v>
      </c>
      <c r="BB206" s="55"/>
      <c r="BC206" s="35" t="s">
        <v>13</v>
      </c>
      <c r="BD206" s="35"/>
      <c r="BE206" s="35">
        <v>0</v>
      </c>
      <c r="BF206" s="35"/>
      <c r="BG206" s="35">
        <v>0</v>
      </c>
      <c r="BH206" s="35"/>
      <c r="BI206" s="35">
        <v>0</v>
      </c>
      <c r="BJ206" s="35"/>
      <c r="BK206" s="35">
        <v>0</v>
      </c>
      <c r="BL206" s="35"/>
      <c r="BM206" s="35">
        <f t="shared" si="42"/>
        <v>0</v>
      </c>
      <c r="BN206" s="54" t="s">
        <v>347</v>
      </c>
    </row>
    <row r="207" spans="1:74" hidden="1">
      <c r="A207" s="35" t="s">
        <v>245</v>
      </c>
      <c r="C207" s="35" t="s">
        <v>110</v>
      </c>
      <c r="D207" s="35"/>
      <c r="E207" s="35">
        <f t="shared" si="39"/>
        <v>0</v>
      </c>
      <c r="F207" s="35"/>
      <c r="G207" s="35">
        <v>0</v>
      </c>
      <c r="H207" s="35"/>
      <c r="I207" s="35">
        <v>0</v>
      </c>
      <c r="J207" s="35"/>
      <c r="K207" s="35">
        <f t="shared" si="40"/>
        <v>0</v>
      </c>
      <c r="L207" s="35"/>
      <c r="M207" s="35">
        <v>0</v>
      </c>
      <c r="N207" s="35"/>
      <c r="O207" s="35">
        <v>0</v>
      </c>
      <c r="P207" s="35"/>
      <c r="Q207" s="35">
        <v>0</v>
      </c>
      <c r="R207" s="35"/>
      <c r="S207" s="35">
        <v>0</v>
      </c>
      <c r="T207" s="35"/>
      <c r="U207" s="35">
        <v>0</v>
      </c>
      <c r="V207" s="35"/>
      <c r="W207" s="35">
        <f t="shared" si="43"/>
        <v>0</v>
      </c>
      <c r="X207" s="35"/>
      <c r="Y207" s="35" t="s">
        <v>245</v>
      </c>
      <c r="Z207" s="55"/>
      <c r="AA207" s="35" t="s">
        <v>110</v>
      </c>
      <c r="AB207" s="35"/>
      <c r="AC207" s="35">
        <v>0</v>
      </c>
      <c r="AD207" s="35"/>
      <c r="AE207" s="35">
        <v>0</v>
      </c>
      <c r="AF207" s="35"/>
      <c r="AG207" s="35">
        <v>0</v>
      </c>
      <c r="AH207" s="35"/>
      <c r="AI207" s="45">
        <f t="shared" si="38"/>
        <v>0</v>
      </c>
      <c r="AJ207" s="45"/>
      <c r="AK207" s="35">
        <v>0</v>
      </c>
      <c r="AL207" s="35"/>
      <c r="AM207" s="35">
        <v>0</v>
      </c>
      <c r="AN207" s="35"/>
      <c r="AO207" s="35">
        <v>0</v>
      </c>
      <c r="AP207" s="35"/>
      <c r="AQ207" s="35">
        <v>0</v>
      </c>
      <c r="AR207" s="35"/>
      <c r="AS207" s="45">
        <f t="shared" si="37"/>
        <v>0</v>
      </c>
      <c r="AT207" s="45"/>
      <c r="AU207" s="35">
        <v>0</v>
      </c>
      <c r="AV207" s="35"/>
      <c r="AW207" s="35">
        <v>0</v>
      </c>
      <c r="AX207" s="35"/>
      <c r="AY207" s="35">
        <f t="shared" si="41"/>
        <v>0</v>
      </c>
      <c r="AZ207" s="35"/>
      <c r="BA207" s="35" t="s">
        <v>245</v>
      </c>
      <c r="BB207" s="55"/>
      <c r="BC207" s="35" t="s">
        <v>110</v>
      </c>
      <c r="BD207" s="35"/>
      <c r="BE207" s="35">
        <v>0</v>
      </c>
      <c r="BF207" s="35"/>
      <c r="BG207" s="35">
        <v>0</v>
      </c>
      <c r="BH207" s="35"/>
      <c r="BI207" s="35">
        <v>0</v>
      </c>
      <c r="BJ207" s="35"/>
      <c r="BK207" s="35">
        <v>0</v>
      </c>
      <c r="BL207" s="35"/>
      <c r="BM207" s="35">
        <f t="shared" si="42"/>
        <v>0</v>
      </c>
      <c r="BN207" s="54" t="s">
        <v>347</v>
      </c>
    </row>
    <row r="208" spans="1:74" hidden="1">
      <c r="A208" s="35" t="s">
        <v>246</v>
      </c>
      <c r="C208" s="35" t="s">
        <v>209</v>
      </c>
      <c r="D208" s="35"/>
      <c r="E208" s="35">
        <f t="shared" si="39"/>
        <v>95517</v>
      </c>
      <c r="F208" s="35"/>
      <c r="G208" s="35">
        <v>0</v>
      </c>
      <c r="H208" s="35"/>
      <c r="I208" s="35">
        <v>95517</v>
      </c>
      <c r="J208" s="35"/>
      <c r="K208" s="35">
        <f t="shared" si="40"/>
        <v>61055</v>
      </c>
      <c r="L208" s="35"/>
      <c r="M208" s="35">
        <v>0</v>
      </c>
      <c r="N208" s="35"/>
      <c r="O208" s="35">
        <v>61055</v>
      </c>
      <c r="P208" s="35"/>
      <c r="Q208" s="35">
        <v>0</v>
      </c>
      <c r="R208" s="35"/>
      <c r="S208" s="35">
        <v>0</v>
      </c>
      <c r="T208" s="35"/>
      <c r="U208" s="35">
        <v>34462</v>
      </c>
      <c r="V208" s="35"/>
      <c r="W208" s="35">
        <f t="shared" si="43"/>
        <v>34462</v>
      </c>
      <c r="X208" s="35"/>
      <c r="Y208" s="35" t="s">
        <v>246</v>
      </c>
      <c r="Z208" s="55"/>
      <c r="AA208" s="35" t="s">
        <v>209</v>
      </c>
      <c r="AB208" s="35"/>
      <c r="AC208" s="35">
        <v>763387</v>
      </c>
      <c r="AD208" s="35"/>
      <c r="AE208" s="35">
        <v>762941</v>
      </c>
      <c r="AF208" s="35"/>
      <c r="AG208" s="35">
        <v>0</v>
      </c>
      <c r="AH208" s="35"/>
      <c r="AI208" s="45">
        <f t="shared" si="38"/>
        <v>446</v>
      </c>
      <c r="AJ208" s="45"/>
      <c r="AK208" s="35">
        <v>0</v>
      </c>
      <c r="AL208" s="35"/>
      <c r="AM208" s="35">
        <v>0</v>
      </c>
      <c r="AN208" s="35"/>
      <c r="AO208" s="35">
        <v>0</v>
      </c>
      <c r="AP208" s="35"/>
      <c r="AQ208" s="35">
        <v>0</v>
      </c>
      <c r="AR208" s="35"/>
      <c r="AS208" s="45">
        <f t="shared" si="37"/>
        <v>446</v>
      </c>
      <c r="AT208" s="45"/>
      <c r="AU208" s="35">
        <v>0</v>
      </c>
      <c r="AV208" s="35"/>
      <c r="AW208" s="35">
        <v>0</v>
      </c>
      <c r="AX208" s="35"/>
      <c r="AY208" s="35">
        <f t="shared" si="41"/>
        <v>34462</v>
      </c>
      <c r="AZ208" s="35"/>
      <c r="BA208" s="35" t="s">
        <v>246</v>
      </c>
      <c r="BB208" s="55"/>
      <c r="BC208" s="35" t="s">
        <v>209</v>
      </c>
      <c r="BD208" s="35"/>
      <c r="BE208" s="35">
        <v>0</v>
      </c>
      <c r="BF208" s="35"/>
      <c r="BG208" s="35">
        <v>0</v>
      </c>
      <c r="BH208" s="35"/>
      <c r="BI208" s="35">
        <v>0</v>
      </c>
      <c r="BJ208" s="35"/>
      <c r="BK208" s="35">
        <v>0</v>
      </c>
      <c r="BL208" s="35"/>
      <c r="BM208" s="35">
        <v>0</v>
      </c>
      <c r="BN208" s="54" t="s">
        <v>347</v>
      </c>
      <c r="BO208" s="55" t="s">
        <v>315</v>
      </c>
    </row>
    <row r="209" spans="1:66" ht="12" hidden="1">
      <c r="A209" s="35" t="s">
        <v>247</v>
      </c>
      <c r="B209" s="55"/>
      <c r="C209" s="35" t="s">
        <v>163</v>
      </c>
      <c r="D209" s="35"/>
      <c r="E209" s="35">
        <f t="shared" si="39"/>
        <v>0</v>
      </c>
      <c r="F209" s="35"/>
      <c r="G209" s="35">
        <v>0</v>
      </c>
      <c r="H209" s="35"/>
      <c r="I209" s="35">
        <v>0</v>
      </c>
      <c r="J209" s="35"/>
      <c r="K209" s="35">
        <f t="shared" si="40"/>
        <v>0</v>
      </c>
      <c r="L209" s="35"/>
      <c r="M209" s="35">
        <v>0</v>
      </c>
      <c r="N209" s="35"/>
      <c r="O209" s="35">
        <v>0</v>
      </c>
      <c r="P209" s="35"/>
      <c r="Q209" s="35">
        <v>0</v>
      </c>
      <c r="R209" s="35"/>
      <c r="S209" s="35">
        <v>0</v>
      </c>
      <c r="T209" s="35"/>
      <c r="U209" s="35">
        <v>0</v>
      </c>
      <c r="V209" s="35"/>
      <c r="W209" s="35">
        <f t="shared" si="43"/>
        <v>0</v>
      </c>
      <c r="X209" s="35"/>
      <c r="Y209" s="35" t="s">
        <v>247</v>
      </c>
      <c r="Z209" s="55"/>
      <c r="AA209" s="35" t="s">
        <v>163</v>
      </c>
      <c r="AB209" s="35"/>
      <c r="AC209" s="35">
        <v>0</v>
      </c>
      <c r="AD209" s="35"/>
      <c r="AE209" s="35">
        <v>0</v>
      </c>
      <c r="AF209" s="35"/>
      <c r="AG209" s="35">
        <v>0</v>
      </c>
      <c r="AH209" s="35"/>
      <c r="AI209" s="45">
        <f t="shared" si="38"/>
        <v>0</v>
      </c>
      <c r="AJ209" s="45"/>
      <c r="AK209" s="35">
        <v>0</v>
      </c>
      <c r="AL209" s="35"/>
      <c r="AM209" s="35">
        <v>0</v>
      </c>
      <c r="AN209" s="35"/>
      <c r="AO209" s="35">
        <v>0</v>
      </c>
      <c r="AP209" s="35"/>
      <c r="AQ209" s="35">
        <v>0</v>
      </c>
      <c r="AR209" s="35"/>
      <c r="AS209" s="45">
        <f t="shared" si="37"/>
        <v>0</v>
      </c>
      <c r="AT209" s="45"/>
      <c r="AU209" s="35">
        <v>0</v>
      </c>
      <c r="AV209" s="35"/>
      <c r="AW209" s="35">
        <v>0</v>
      </c>
      <c r="AX209" s="35"/>
      <c r="AY209" s="35">
        <f t="shared" si="41"/>
        <v>0</v>
      </c>
      <c r="AZ209" s="35"/>
      <c r="BA209" s="35" t="s">
        <v>247</v>
      </c>
      <c r="BB209" s="55"/>
      <c r="BC209" s="35" t="s">
        <v>163</v>
      </c>
      <c r="BD209" s="35"/>
      <c r="BE209" s="35">
        <v>0</v>
      </c>
      <c r="BF209" s="35"/>
      <c r="BG209" s="35">
        <v>0</v>
      </c>
      <c r="BH209" s="35"/>
      <c r="BI209" s="35">
        <v>0</v>
      </c>
      <c r="BJ209" s="35"/>
      <c r="BK209" s="35">
        <v>0</v>
      </c>
      <c r="BL209" s="35"/>
      <c r="BM209" s="35">
        <f t="shared" si="42"/>
        <v>0</v>
      </c>
      <c r="BN209" s="54" t="s">
        <v>347</v>
      </c>
    </row>
    <row r="210" spans="1:66" ht="12">
      <c r="A210" s="35" t="s">
        <v>248</v>
      </c>
      <c r="B210" s="55"/>
      <c r="C210" s="35" t="s">
        <v>249</v>
      </c>
      <c r="D210" s="35"/>
      <c r="E210" s="35">
        <f t="shared" si="39"/>
        <v>169061</v>
      </c>
      <c r="F210" s="35"/>
      <c r="G210" s="35">
        <v>169933</v>
      </c>
      <c r="H210" s="35"/>
      <c r="I210" s="35">
        <v>338994</v>
      </c>
      <c r="J210" s="35"/>
      <c r="K210" s="35">
        <f t="shared" si="40"/>
        <v>12690</v>
      </c>
      <c r="L210" s="35"/>
      <c r="M210" s="35">
        <v>23863</v>
      </c>
      <c r="N210" s="35"/>
      <c r="O210" s="35">
        <v>36553</v>
      </c>
      <c r="P210" s="35"/>
      <c r="Q210" s="35">
        <v>169934</v>
      </c>
      <c r="R210" s="35"/>
      <c r="S210" s="35">
        <v>0</v>
      </c>
      <c r="T210" s="35"/>
      <c r="U210" s="35">
        <v>132507</v>
      </c>
      <c r="V210" s="35"/>
      <c r="W210" s="35">
        <f t="shared" si="43"/>
        <v>302441</v>
      </c>
      <c r="X210" s="35"/>
      <c r="Y210" s="35" t="s">
        <v>248</v>
      </c>
      <c r="Z210" s="55"/>
      <c r="AA210" s="35" t="s">
        <v>249</v>
      </c>
      <c r="AB210" s="35"/>
      <c r="AC210" s="35">
        <v>376887</v>
      </c>
      <c r="AD210" s="35"/>
      <c r="AE210" s="35">
        <f>482867-25405</f>
        <v>457462</v>
      </c>
      <c r="AF210" s="35"/>
      <c r="AG210" s="35">
        <v>25405</v>
      </c>
      <c r="AH210" s="35"/>
      <c r="AI210" s="45">
        <f t="shared" si="38"/>
        <v>-105980</v>
      </c>
      <c r="AJ210" s="45"/>
      <c r="AK210" s="35">
        <v>0</v>
      </c>
      <c r="AL210" s="35"/>
      <c r="AM210" s="35">
        <v>115000</v>
      </c>
      <c r="AN210" s="35"/>
      <c r="AO210" s="35">
        <v>0</v>
      </c>
      <c r="AP210" s="35"/>
      <c r="AQ210" s="35">
        <v>0</v>
      </c>
      <c r="AR210" s="35"/>
      <c r="AS210" s="45">
        <f t="shared" si="37"/>
        <v>9020</v>
      </c>
      <c r="AT210" s="45"/>
      <c r="AU210" s="35">
        <v>0</v>
      </c>
      <c r="AV210" s="35"/>
      <c r="AW210" s="35">
        <v>0</v>
      </c>
      <c r="AX210" s="35"/>
      <c r="AY210" s="35">
        <f t="shared" si="41"/>
        <v>156371</v>
      </c>
      <c r="AZ210" s="35"/>
      <c r="BA210" s="35" t="s">
        <v>248</v>
      </c>
      <c r="BB210" s="55"/>
      <c r="BC210" s="35" t="s">
        <v>249</v>
      </c>
      <c r="BD210" s="35"/>
      <c r="BE210" s="35">
        <v>0</v>
      </c>
      <c r="BF210" s="35"/>
      <c r="BG210" s="35">
        <v>0</v>
      </c>
      <c r="BH210" s="35"/>
      <c r="BI210" s="35">
        <v>0</v>
      </c>
      <c r="BJ210" s="35"/>
      <c r="BK210" s="35">
        <f>23863+4129</f>
        <v>27992</v>
      </c>
      <c r="BL210" s="35"/>
      <c r="BM210" s="35">
        <f t="shared" si="42"/>
        <v>27992</v>
      </c>
      <c r="BN210" s="54"/>
    </row>
    <row r="211" spans="1:66">
      <c r="A211" s="35" t="s">
        <v>250</v>
      </c>
      <c r="C211" s="35" t="s">
        <v>103</v>
      </c>
      <c r="D211" s="35"/>
      <c r="E211" s="35">
        <f t="shared" si="39"/>
        <v>204359</v>
      </c>
      <c r="F211" s="35"/>
      <c r="G211" s="35">
        <v>27173</v>
      </c>
      <c r="H211" s="35"/>
      <c r="I211" s="35">
        <v>231532</v>
      </c>
      <c r="J211" s="35"/>
      <c r="K211" s="35">
        <f t="shared" si="40"/>
        <v>76852</v>
      </c>
      <c r="L211" s="35"/>
      <c r="M211" s="35">
        <v>18004</v>
      </c>
      <c r="N211" s="35"/>
      <c r="O211" s="35">
        <v>94856</v>
      </c>
      <c r="P211" s="35"/>
      <c r="Q211" s="35">
        <v>-558</v>
      </c>
      <c r="R211" s="35"/>
      <c r="S211" s="35">
        <v>0</v>
      </c>
      <c r="T211" s="35"/>
      <c r="U211" s="35">
        <v>137234</v>
      </c>
      <c r="V211" s="35"/>
      <c r="W211" s="35">
        <f t="shared" si="43"/>
        <v>136676</v>
      </c>
      <c r="X211" s="35"/>
      <c r="Y211" s="35" t="s">
        <v>250</v>
      </c>
      <c r="Z211" s="55"/>
      <c r="AA211" s="35" t="s">
        <v>103</v>
      </c>
      <c r="AB211" s="35"/>
      <c r="AC211" s="35">
        <v>902653</v>
      </c>
      <c r="AD211" s="35"/>
      <c r="AE211" s="35">
        <f>921521-2120</f>
        <v>919401</v>
      </c>
      <c r="AF211" s="35"/>
      <c r="AG211" s="35">
        <v>2120</v>
      </c>
      <c r="AH211" s="35"/>
      <c r="AI211" s="45">
        <f t="shared" si="38"/>
        <v>-18868</v>
      </c>
      <c r="AJ211" s="45"/>
      <c r="AK211" s="35">
        <v>0</v>
      </c>
      <c r="AL211" s="35"/>
      <c r="AM211" s="35">
        <v>0</v>
      </c>
      <c r="AN211" s="35"/>
      <c r="AO211" s="35">
        <v>0</v>
      </c>
      <c r="AP211" s="35"/>
      <c r="AQ211" s="35">
        <v>0</v>
      </c>
      <c r="AR211" s="35"/>
      <c r="AS211" s="45">
        <f t="shared" si="37"/>
        <v>-18868</v>
      </c>
      <c r="AT211" s="45"/>
      <c r="AU211" s="35">
        <v>0</v>
      </c>
      <c r="AV211" s="35"/>
      <c r="AW211" s="35">
        <v>0</v>
      </c>
      <c r="AX211" s="35"/>
      <c r="AY211" s="35">
        <f t="shared" si="41"/>
        <v>127507</v>
      </c>
      <c r="AZ211" s="35"/>
      <c r="BA211" s="35" t="s">
        <v>250</v>
      </c>
      <c r="BB211" s="55"/>
      <c r="BC211" s="35" t="s">
        <v>103</v>
      </c>
      <c r="BD211" s="35"/>
      <c r="BE211" s="35">
        <v>0</v>
      </c>
      <c r="BF211" s="35"/>
      <c r="BG211" s="35">
        <v>0</v>
      </c>
      <c r="BH211" s="35"/>
      <c r="BI211" s="35">
        <v>0</v>
      </c>
      <c r="BJ211" s="35"/>
      <c r="BK211" s="35">
        <f>18004+8358</f>
        <v>26362</v>
      </c>
      <c r="BL211" s="35"/>
      <c r="BM211" s="35">
        <f t="shared" si="42"/>
        <v>26362</v>
      </c>
      <c r="BN211" s="54" t="s">
        <v>347</v>
      </c>
    </row>
    <row r="212" spans="1:66" s="140" customFormat="1" hidden="1">
      <c r="A212" s="126" t="s">
        <v>251</v>
      </c>
      <c r="B212" s="124"/>
      <c r="C212" s="126" t="s">
        <v>66</v>
      </c>
      <c r="D212" s="126"/>
      <c r="E212" s="126">
        <f t="shared" si="39"/>
        <v>0</v>
      </c>
      <c r="F212" s="126"/>
      <c r="G212" s="126">
        <v>0</v>
      </c>
      <c r="H212" s="126"/>
      <c r="I212" s="126">
        <v>0</v>
      </c>
      <c r="J212" s="126"/>
      <c r="K212" s="126">
        <f t="shared" si="40"/>
        <v>0</v>
      </c>
      <c r="L212" s="126"/>
      <c r="M212" s="126">
        <v>0</v>
      </c>
      <c r="N212" s="126"/>
      <c r="O212" s="126">
        <v>0</v>
      </c>
      <c r="P212" s="126"/>
      <c r="Q212" s="126">
        <v>0</v>
      </c>
      <c r="R212" s="126"/>
      <c r="S212" s="126">
        <v>0</v>
      </c>
      <c r="T212" s="126"/>
      <c r="U212" s="126">
        <v>0</v>
      </c>
      <c r="V212" s="126"/>
      <c r="W212" s="126">
        <f t="shared" si="43"/>
        <v>0</v>
      </c>
      <c r="X212" s="126"/>
      <c r="Y212" s="126" t="s">
        <v>251</v>
      </c>
      <c r="AA212" s="126" t="s">
        <v>66</v>
      </c>
      <c r="AB212" s="126"/>
      <c r="AC212" s="126">
        <v>0</v>
      </c>
      <c r="AD212" s="126"/>
      <c r="AE212" s="126">
        <v>0</v>
      </c>
      <c r="AF212" s="126"/>
      <c r="AG212" s="126">
        <v>0</v>
      </c>
      <c r="AH212" s="126"/>
      <c r="AI212" s="127">
        <f t="shared" si="38"/>
        <v>0</v>
      </c>
      <c r="AJ212" s="127"/>
      <c r="AK212" s="126">
        <v>0</v>
      </c>
      <c r="AL212" s="126"/>
      <c r="AM212" s="126">
        <v>0</v>
      </c>
      <c r="AN212" s="126"/>
      <c r="AO212" s="126">
        <v>0</v>
      </c>
      <c r="AP212" s="126"/>
      <c r="AQ212" s="126">
        <v>0</v>
      </c>
      <c r="AR212" s="126"/>
      <c r="AS212" s="127">
        <f t="shared" si="37"/>
        <v>0</v>
      </c>
      <c r="AT212" s="127"/>
      <c r="AU212" s="126">
        <v>0</v>
      </c>
      <c r="AV212" s="126"/>
      <c r="AW212" s="126">
        <v>0</v>
      </c>
      <c r="AX212" s="126"/>
      <c r="AY212" s="126">
        <f t="shared" si="41"/>
        <v>0</v>
      </c>
      <c r="AZ212" s="126"/>
      <c r="BA212" s="126" t="s">
        <v>251</v>
      </c>
      <c r="BC212" s="126" t="s">
        <v>66</v>
      </c>
      <c r="BD212" s="126"/>
      <c r="BE212" s="126">
        <v>0</v>
      </c>
      <c r="BF212" s="126"/>
      <c r="BG212" s="126">
        <v>0</v>
      </c>
      <c r="BH212" s="126"/>
      <c r="BI212" s="126">
        <v>0</v>
      </c>
      <c r="BJ212" s="126"/>
      <c r="BK212" s="126">
        <v>0</v>
      </c>
      <c r="BL212" s="126"/>
      <c r="BM212" s="126">
        <f t="shared" si="42"/>
        <v>0</v>
      </c>
      <c r="BN212" s="139" t="s">
        <v>347</v>
      </c>
    </row>
    <row r="213" spans="1:66" hidden="1">
      <c r="A213" s="35" t="s">
        <v>252</v>
      </c>
      <c r="C213" s="35" t="s">
        <v>209</v>
      </c>
      <c r="D213" s="35"/>
      <c r="E213" s="35">
        <f t="shared" si="39"/>
        <v>0</v>
      </c>
      <c r="F213" s="35"/>
      <c r="G213" s="35">
        <v>0</v>
      </c>
      <c r="H213" s="35"/>
      <c r="I213" s="35">
        <v>0</v>
      </c>
      <c r="J213" s="35"/>
      <c r="K213" s="35">
        <f t="shared" si="40"/>
        <v>0</v>
      </c>
      <c r="L213" s="35"/>
      <c r="M213" s="35">
        <v>0</v>
      </c>
      <c r="N213" s="35"/>
      <c r="O213" s="35">
        <v>0</v>
      </c>
      <c r="P213" s="35"/>
      <c r="Q213" s="35">
        <v>0</v>
      </c>
      <c r="R213" s="35"/>
      <c r="S213" s="35">
        <v>0</v>
      </c>
      <c r="T213" s="35"/>
      <c r="U213" s="35">
        <v>0</v>
      </c>
      <c r="V213" s="35"/>
      <c r="W213" s="35">
        <f t="shared" si="43"/>
        <v>0</v>
      </c>
      <c r="X213" s="35"/>
      <c r="Y213" s="35" t="s">
        <v>252</v>
      </c>
      <c r="Z213" s="55"/>
      <c r="AA213" s="35" t="s">
        <v>209</v>
      </c>
      <c r="AB213" s="35"/>
      <c r="AC213" s="35">
        <v>0</v>
      </c>
      <c r="AD213" s="35"/>
      <c r="AE213" s="35">
        <v>0</v>
      </c>
      <c r="AF213" s="35"/>
      <c r="AG213" s="35">
        <v>0</v>
      </c>
      <c r="AH213" s="35"/>
      <c r="AI213" s="45">
        <f t="shared" si="38"/>
        <v>0</v>
      </c>
      <c r="AJ213" s="45"/>
      <c r="AK213" s="35">
        <v>0</v>
      </c>
      <c r="AL213" s="35"/>
      <c r="AM213" s="35">
        <v>0</v>
      </c>
      <c r="AN213" s="35"/>
      <c r="AO213" s="35">
        <v>0</v>
      </c>
      <c r="AP213" s="35"/>
      <c r="AQ213" s="35">
        <v>0</v>
      </c>
      <c r="AR213" s="35"/>
      <c r="AS213" s="45">
        <f t="shared" si="37"/>
        <v>0</v>
      </c>
      <c r="AT213" s="45"/>
      <c r="AU213" s="35">
        <v>0</v>
      </c>
      <c r="AV213" s="35"/>
      <c r="AW213" s="35">
        <v>0</v>
      </c>
      <c r="AX213" s="35"/>
      <c r="AY213" s="35">
        <f t="shared" si="41"/>
        <v>0</v>
      </c>
      <c r="AZ213" s="35"/>
      <c r="BA213" s="35" t="s">
        <v>252</v>
      </c>
      <c r="BB213" s="55"/>
      <c r="BC213" s="35" t="s">
        <v>209</v>
      </c>
      <c r="BD213" s="35"/>
      <c r="BE213" s="35">
        <v>0</v>
      </c>
      <c r="BF213" s="35"/>
      <c r="BG213" s="35">
        <v>0</v>
      </c>
      <c r="BH213" s="35"/>
      <c r="BI213" s="35">
        <v>0</v>
      </c>
      <c r="BJ213" s="35"/>
      <c r="BK213" s="35">
        <v>0</v>
      </c>
      <c r="BL213" s="35"/>
      <c r="BM213" s="35">
        <f t="shared" si="42"/>
        <v>0</v>
      </c>
      <c r="BN213" s="54" t="s">
        <v>347</v>
      </c>
    </row>
    <row r="214" spans="1:66" hidden="1">
      <c r="A214" s="35" t="s">
        <v>253</v>
      </c>
      <c r="C214" s="35" t="s">
        <v>13</v>
      </c>
      <c r="D214" s="35"/>
      <c r="E214" s="35">
        <f t="shared" si="39"/>
        <v>0</v>
      </c>
      <c r="F214" s="35"/>
      <c r="G214" s="35">
        <v>0</v>
      </c>
      <c r="H214" s="35"/>
      <c r="I214" s="35">
        <v>0</v>
      </c>
      <c r="J214" s="35"/>
      <c r="K214" s="35">
        <f t="shared" si="40"/>
        <v>0</v>
      </c>
      <c r="L214" s="35"/>
      <c r="M214" s="35">
        <v>0</v>
      </c>
      <c r="N214" s="35"/>
      <c r="O214" s="35">
        <v>0</v>
      </c>
      <c r="P214" s="35"/>
      <c r="Q214" s="35">
        <v>0</v>
      </c>
      <c r="R214" s="35"/>
      <c r="S214" s="35">
        <v>0</v>
      </c>
      <c r="T214" s="35"/>
      <c r="U214" s="35">
        <v>0</v>
      </c>
      <c r="V214" s="35"/>
      <c r="W214" s="35">
        <f t="shared" si="43"/>
        <v>0</v>
      </c>
      <c r="X214" s="35"/>
      <c r="Y214" s="35" t="s">
        <v>253</v>
      </c>
      <c r="Z214" s="55"/>
      <c r="AA214" s="35" t="s">
        <v>13</v>
      </c>
      <c r="AB214" s="35"/>
      <c r="AC214" s="35">
        <v>0</v>
      </c>
      <c r="AD214" s="35"/>
      <c r="AE214" s="35">
        <v>0</v>
      </c>
      <c r="AF214" s="35"/>
      <c r="AG214" s="35">
        <v>0</v>
      </c>
      <c r="AH214" s="35"/>
      <c r="AI214" s="45">
        <f t="shared" si="38"/>
        <v>0</v>
      </c>
      <c r="AJ214" s="45"/>
      <c r="AK214" s="35">
        <v>0</v>
      </c>
      <c r="AL214" s="35"/>
      <c r="AM214" s="35">
        <v>0</v>
      </c>
      <c r="AN214" s="35"/>
      <c r="AO214" s="35">
        <v>0</v>
      </c>
      <c r="AP214" s="35"/>
      <c r="AQ214" s="35">
        <v>0</v>
      </c>
      <c r="AR214" s="35"/>
      <c r="AS214" s="45">
        <f t="shared" si="37"/>
        <v>0</v>
      </c>
      <c r="AT214" s="45"/>
      <c r="AU214" s="35">
        <v>0</v>
      </c>
      <c r="AV214" s="35"/>
      <c r="AW214" s="35">
        <v>0</v>
      </c>
      <c r="AX214" s="35"/>
      <c r="AY214" s="35">
        <f t="shared" si="41"/>
        <v>0</v>
      </c>
      <c r="AZ214" s="35"/>
      <c r="BA214" s="35" t="s">
        <v>253</v>
      </c>
      <c r="BB214" s="55"/>
      <c r="BC214" s="35" t="s">
        <v>13</v>
      </c>
      <c r="BD214" s="35"/>
      <c r="BE214" s="35">
        <v>0</v>
      </c>
      <c r="BF214" s="35"/>
      <c r="BG214" s="35">
        <v>0</v>
      </c>
      <c r="BH214" s="35"/>
      <c r="BI214" s="35">
        <v>0</v>
      </c>
      <c r="BJ214" s="35"/>
      <c r="BK214" s="35">
        <v>0</v>
      </c>
      <c r="BL214" s="35"/>
      <c r="BM214" s="35">
        <f t="shared" si="42"/>
        <v>0</v>
      </c>
      <c r="BN214" s="54" t="s">
        <v>347</v>
      </c>
    </row>
    <row r="215" spans="1:66" hidden="1">
      <c r="A215" s="35" t="s">
        <v>254</v>
      </c>
      <c r="C215" s="35" t="s">
        <v>89</v>
      </c>
      <c r="D215" s="35"/>
      <c r="E215" s="35">
        <f t="shared" si="39"/>
        <v>0</v>
      </c>
      <c r="F215" s="35"/>
      <c r="G215" s="35">
        <v>0</v>
      </c>
      <c r="H215" s="35"/>
      <c r="I215" s="35">
        <v>0</v>
      </c>
      <c r="J215" s="35"/>
      <c r="K215" s="35">
        <f t="shared" si="40"/>
        <v>0</v>
      </c>
      <c r="L215" s="35"/>
      <c r="M215" s="35">
        <v>0</v>
      </c>
      <c r="N215" s="35"/>
      <c r="O215" s="35">
        <v>0</v>
      </c>
      <c r="P215" s="35"/>
      <c r="Q215" s="35">
        <v>0</v>
      </c>
      <c r="R215" s="35"/>
      <c r="S215" s="35">
        <v>0</v>
      </c>
      <c r="T215" s="35"/>
      <c r="U215" s="35">
        <v>0</v>
      </c>
      <c r="V215" s="35"/>
      <c r="W215" s="35">
        <v>0</v>
      </c>
      <c r="X215" s="35"/>
      <c r="Y215" s="35" t="s">
        <v>254</v>
      </c>
      <c r="Z215" s="55"/>
      <c r="AA215" s="35" t="s">
        <v>89</v>
      </c>
      <c r="AB215" s="35"/>
      <c r="AC215" s="35">
        <v>0</v>
      </c>
      <c r="AD215" s="35"/>
      <c r="AE215" s="35">
        <v>0</v>
      </c>
      <c r="AF215" s="35"/>
      <c r="AG215" s="35">
        <v>0</v>
      </c>
      <c r="AH215" s="35"/>
      <c r="AI215" s="45">
        <f t="shared" si="38"/>
        <v>0</v>
      </c>
      <c r="AJ215" s="45"/>
      <c r="AK215" s="35">
        <v>0</v>
      </c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37"/>
        <v>0</v>
      </c>
      <c r="AT215" s="45"/>
      <c r="AU215" s="35">
        <v>0</v>
      </c>
      <c r="AV215" s="35"/>
      <c r="AW215" s="35">
        <v>0</v>
      </c>
      <c r="AX215" s="35"/>
      <c r="AY215" s="35">
        <f t="shared" si="41"/>
        <v>0</v>
      </c>
      <c r="AZ215" s="35"/>
      <c r="BA215" s="35" t="s">
        <v>254</v>
      </c>
      <c r="BB215" s="55"/>
      <c r="BC215" s="35" t="s">
        <v>89</v>
      </c>
      <c r="BD215" s="35"/>
      <c r="BE215" s="35">
        <v>0</v>
      </c>
      <c r="BF215" s="35"/>
      <c r="BG215" s="35">
        <v>0</v>
      </c>
      <c r="BH215" s="35"/>
      <c r="BI215" s="35">
        <v>0</v>
      </c>
      <c r="BJ215" s="35"/>
      <c r="BK215" s="35">
        <v>0</v>
      </c>
      <c r="BL215" s="35"/>
      <c r="BM215" s="35">
        <f t="shared" si="42"/>
        <v>0</v>
      </c>
      <c r="BN215" s="54" t="s">
        <v>347</v>
      </c>
    </row>
    <row r="216" spans="1:66" hidden="1">
      <c r="A216" s="35" t="s">
        <v>159</v>
      </c>
      <c r="C216" s="35" t="s">
        <v>66</v>
      </c>
      <c r="D216" s="35"/>
      <c r="E216" s="35">
        <f t="shared" si="39"/>
        <v>0</v>
      </c>
      <c r="F216" s="35"/>
      <c r="G216" s="35">
        <v>0</v>
      </c>
      <c r="H216" s="35"/>
      <c r="I216" s="35">
        <v>0</v>
      </c>
      <c r="J216" s="35"/>
      <c r="K216" s="35">
        <f t="shared" si="40"/>
        <v>0</v>
      </c>
      <c r="L216" s="35"/>
      <c r="M216" s="35">
        <v>0</v>
      </c>
      <c r="N216" s="35"/>
      <c r="O216" s="35">
        <v>0</v>
      </c>
      <c r="P216" s="35"/>
      <c r="Q216" s="35">
        <v>0</v>
      </c>
      <c r="R216" s="35"/>
      <c r="S216" s="35">
        <v>0</v>
      </c>
      <c r="T216" s="35"/>
      <c r="U216" s="35">
        <v>0</v>
      </c>
      <c r="V216" s="35"/>
      <c r="W216" s="35">
        <f t="shared" ref="W216:W228" si="44">SUM(Q216:U216)</f>
        <v>0</v>
      </c>
      <c r="X216" s="35"/>
      <c r="Y216" s="35" t="s">
        <v>159</v>
      </c>
      <c r="Z216" s="55"/>
      <c r="AA216" s="35" t="s">
        <v>66</v>
      </c>
      <c r="AB216" s="35"/>
      <c r="AC216" s="35">
        <v>0</v>
      </c>
      <c r="AD216" s="35"/>
      <c r="AE216" s="35">
        <v>0</v>
      </c>
      <c r="AF216" s="35"/>
      <c r="AG216" s="35">
        <v>0</v>
      </c>
      <c r="AH216" s="35"/>
      <c r="AI216" s="45">
        <f t="shared" si="38"/>
        <v>0</v>
      </c>
      <c r="AJ216" s="45"/>
      <c r="AK216" s="35">
        <v>0</v>
      </c>
      <c r="AL216" s="35"/>
      <c r="AM216" s="35">
        <v>0</v>
      </c>
      <c r="AN216" s="35"/>
      <c r="AO216" s="35">
        <v>0</v>
      </c>
      <c r="AP216" s="35"/>
      <c r="AQ216" s="35">
        <v>0</v>
      </c>
      <c r="AR216" s="35"/>
      <c r="AS216" s="45">
        <f t="shared" si="37"/>
        <v>0</v>
      </c>
      <c r="AT216" s="45"/>
      <c r="AU216" s="35">
        <v>0</v>
      </c>
      <c r="AV216" s="35"/>
      <c r="AW216" s="35">
        <v>0</v>
      </c>
      <c r="AX216" s="35"/>
      <c r="AY216" s="35">
        <f t="shared" si="41"/>
        <v>0</v>
      </c>
      <c r="AZ216" s="35"/>
      <c r="BA216" s="35" t="s">
        <v>159</v>
      </c>
      <c r="BB216" s="55"/>
      <c r="BC216" s="35" t="s">
        <v>66</v>
      </c>
      <c r="BD216" s="35"/>
      <c r="BE216" s="35">
        <v>0</v>
      </c>
      <c r="BF216" s="35"/>
      <c r="BG216" s="35">
        <v>0</v>
      </c>
      <c r="BH216" s="35"/>
      <c r="BI216" s="35">
        <v>0</v>
      </c>
      <c r="BJ216" s="35"/>
      <c r="BK216" s="35">
        <v>0</v>
      </c>
      <c r="BL216" s="35"/>
      <c r="BM216" s="35">
        <f t="shared" si="42"/>
        <v>0</v>
      </c>
      <c r="BN216" s="54" t="s">
        <v>347</v>
      </c>
    </row>
    <row r="217" spans="1:66" hidden="1">
      <c r="A217" s="35" t="s">
        <v>255</v>
      </c>
      <c r="C217" s="35" t="s">
        <v>27</v>
      </c>
      <c r="D217" s="35"/>
      <c r="E217" s="35">
        <f t="shared" si="39"/>
        <v>0</v>
      </c>
      <c r="F217" s="35"/>
      <c r="G217" s="35">
        <v>0</v>
      </c>
      <c r="H217" s="35"/>
      <c r="I217" s="35">
        <v>0</v>
      </c>
      <c r="J217" s="35"/>
      <c r="K217" s="35">
        <f t="shared" si="40"/>
        <v>0</v>
      </c>
      <c r="L217" s="35"/>
      <c r="M217" s="35">
        <v>0</v>
      </c>
      <c r="N217" s="35"/>
      <c r="O217" s="35">
        <v>0</v>
      </c>
      <c r="P217" s="35"/>
      <c r="Q217" s="35">
        <v>0</v>
      </c>
      <c r="R217" s="35"/>
      <c r="S217" s="35">
        <v>0</v>
      </c>
      <c r="T217" s="35"/>
      <c r="U217" s="35">
        <v>0</v>
      </c>
      <c r="V217" s="35"/>
      <c r="W217" s="35">
        <f t="shared" si="44"/>
        <v>0</v>
      </c>
      <c r="X217" s="35"/>
      <c r="Y217" s="35" t="s">
        <v>255</v>
      </c>
      <c r="Z217" s="55"/>
      <c r="AA217" s="35" t="s">
        <v>27</v>
      </c>
      <c r="AB217" s="35"/>
      <c r="AC217" s="35">
        <v>0</v>
      </c>
      <c r="AD217" s="35"/>
      <c r="AE217" s="35">
        <v>0</v>
      </c>
      <c r="AF217" s="35"/>
      <c r="AG217" s="35">
        <v>0</v>
      </c>
      <c r="AH217" s="35"/>
      <c r="AI217" s="45">
        <f t="shared" si="38"/>
        <v>0</v>
      </c>
      <c r="AJ217" s="45"/>
      <c r="AK217" s="35">
        <v>0</v>
      </c>
      <c r="AL217" s="35"/>
      <c r="AM217" s="35">
        <v>0</v>
      </c>
      <c r="AN217" s="35"/>
      <c r="AO217" s="35">
        <v>0</v>
      </c>
      <c r="AP217" s="35"/>
      <c r="AQ217" s="35">
        <v>0</v>
      </c>
      <c r="AR217" s="35"/>
      <c r="AS217" s="45">
        <f t="shared" si="37"/>
        <v>0</v>
      </c>
      <c r="AT217" s="45"/>
      <c r="AU217" s="35">
        <v>0</v>
      </c>
      <c r="AV217" s="35"/>
      <c r="AW217" s="35">
        <v>0</v>
      </c>
      <c r="AX217" s="35"/>
      <c r="AY217" s="35">
        <f t="shared" si="41"/>
        <v>0</v>
      </c>
      <c r="AZ217" s="35"/>
      <c r="BA217" s="35" t="s">
        <v>255</v>
      </c>
      <c r="BB217" s="55"/>
      <c r="BC217" s="35" t="s">
        <v>27</v>
      </c>
      <c r="BD217" s="35"/>
      <c r="BE217" s="35">
        <v>0</v>
      </c>
      <c r="BF217" s="35"/>
      <c r="BG217" s="35">
        <v>0</v>
      </c>
      <c r="BH217" s="35"/>
      <c r="BI217" s="35">
        <v>0</v>
      </c>
      <c r="BJ217" s="35"/>
      <c r="BK217" s="35">
        <v>0</v>
      </c>
      <c r="BL217" s="35"/>
      <c r="BM217" s="35">
        <f t="shared" si="42"/>
        <v>0</v>
      </c>
      <c r="BN217" s="54" t="s">
        <v>347</v>
      </c>
    </row>
    <row r="218" spans="1:66">
      <c r="A218" s="35" t="s">
        <v>256</v>
      </c>
      <c r="C218" s="35" t="s">
        <v>43</v>
      </c>
      <c r="D218" s="35"/>
      <c r="E218" s="35">
        <f t="shared" si="39"/>
        <v>255184</v>
      </c>
      <c r="F218" s="35"/>
      <c r="G218" s="35">
        <v>0</v>
      </c>
      <c r="H218" s="35"/>
      <c r="I218" s="35">
        <v>255184</v>
      </c>
      <c r="J218" s="35"/>
      <c r="K218" s="35">
        <f t="shared" si="40"/>
        <v>168723</v>
      </c>
      <c r="L218" s="35"/>
      <c r="M218" s="35">
        <v>0</v>
      </c>
      <c r="N218" s="35"/>
      <c r="O218" s="35">
        <v>168723</v>
      </c>
      <c r="P218" s="35"/>
      <c r="Q218" s="35">
        <v>0</v>
      </c>
      <c r="R218" s="35"/>
      <c r="S218" s="35">
        <v>0</v>
      </c>
      <c r="T218" s="35"/>
      <c r="U218" s="35">
        <v>86461</v>
      </c>
      <c r="V218" s="35"/>
      <c r="W218" s="35">
        <f t="shared" si="44"/>
        <v>86461</v>
      </c>
      <c r="X218" s="35"/>
      <c r="Y218" s="35" t="s">
        <v>256</v>
      </c>
      <c r="Z218" s="55"/>
      <c r="AA218" s="35" t="s">
        <v>43</v>
      </c>
      <c r="AB218" s="35"/>
      <c r="AC218" s="35">
        <v>1685471</v>
      </c>
      <c r="AD218" s="35"/>
      <c r="AE218" s="35">
        <v>2009141</v>
      </c>
      <c r="AF218" s="35"/>
      <c r="AG218" s="35">
        <v>0</v>
      </c>
      <c r="AH218" s="35"/>
      <c r="AI218" s="45">
        <f t="shared" si="38"/>
        <v>-323670</v>
      </c>
      <c r="AJ218" s="45"/>
      <c r="AK218" s="35">
        <v>3938</v>
      </c>
      <c r="AL218" s="35"/>
      <c r="AM218" s="35">
        <v>450000</v>
      </c>
      <c r="AN218" s="35"/>
      <c r="AO218" s="35">
        <v>0</v>
      </c>
      <c r="AP218" s="35"/>
      <c r="AQ218" s="35">
        <v>0</v>
      </c>
      <c r="AR218" s="35"/>
      <c r="AS218" s="45">
        <f t="shared" si="37"/>
        <v>130268</v>
      </c>
      <c r="AT218" s="45"/>
      <c r="AU218" s="35">
        <v>0</v>
      </c>
      <c r="AV218" s="35"/>
      <c r="AW218" s="35">
        <v>0</v>
      </c>
      <c r="AX218" s="35"/>
      <c r="AY218" s="35">
        <f t="shared" si="41"/>
        <v>86461</v>
      </c>
      <c r="AZ218" s="35"/>
      <c r="BA218" s="35" t="s">
        <v>256</v>
      </c>
      <c r="BB218" s="55"/>
      <c r="BC218" s="35" t="s">
        <v>43</v>
      </c>
      <c r="BD218" s="35"/>
      <c r="BE218" s="35">
        <v>0</v>
      </c>
      <c r="BF218" s="35"/>
      <c r="BG218" s="35">
        <v>0</v>
      </c>
      <c r="BH218" s="35"/>
      <c r="BI218" s="35">
        <v>0</v>
      </c>
      <c r="BJ218" s="35"/>
      <c r="BK218" s="35">
        <v>0</v>
      </c>
      <c r="BL218" s="35"/>
      <c r="BM218" s="35">
        <f t="shared" si="42"/>
        <v>0</v>
      </c>
      <c r="BN218" s="54" t="s">
        <v>347</v>
      </c>
    </row>
    <row r="219" spans="1:66">
      <c r="A219" s="35" t="s">
        <v>257</v>
      </c>
      <c r="C219" s="35" t="s">
        <v>258</v>
      </c>
      <c r="D219" s="35"/>
      <c r="E219" s="35">
        <f t="shared" si="39"/>
        <v>373071</v>
      </c>
      <c r="F219" s="35"/>
      <c r="G219" s="35">
        <v>16134</v>
      </c>
      <c r="H219" s="35"/>
      <c r="I219" s="35">
        <v>389205</v>
      </c>
      <c r="J219" s="35"/>
      <c r="K219" s="35">
        <f t="shared" si="40"/>
        <v>53263</v>
      </c>
      <c r="L219" s="35"/>
      <c r="M219" s="35">
        <v>7762</v>
      </c>
      <c r="N219" s="35"/>
      <c r="O219" s="35">
        <v>61025</v>
      </c>
      <c r="P219" s="35"/>
      <c r="Q219" s="35">
        <v>16134</v>
      </c>
      <c r="R219" s="35"/>
      <c r="S219" s="35">
        <v>0</v>
      </c>
      <c r="T219" s="35"/>
      <c r="U219" s="35">
        <v>312046</v>
      </c>
      <c r="V219" s="35"/>
      <c r="W219" s="35">
        <f t="shared" si="44"/>
        <v>328180</v>
      </c>
      <c r="X219" s="35"/>
      <c r="Y219" s="35" t="s">
        <v>257</v>
      </c>
      <c r="Z219" s="55"/>
      <c r="AA219" s="35" t="s">
        <v>258</v>
      </c>
      <c r="AB219" s="35"/>
      <c r="AC219" s="35">
        <v>822059</v>
      </c>
      <c r="AD219" s="35"/>
      <c r="AE219" s="35">
        <f>740465-9985</f>
        <v>730480</v>
      </c>
      <c r="AF219" s="35"/>
      <c r="AG219" s="35">
        <v>9985</v>
      </c>
      <c r="AH219" s="35"/>
      <c r="AI219" s="45">
        <f t="shared" si="38"/>
        <v>81594</v>
      </c>
      <c r="AJ219" s="45"/>
      <c r="AK219" s="35">
        <v>0</v>
      </c>
      <c r="AL219" s="35"/>
      <c r="AM219" s="35">
        <v>0</v>
      </c>
      <c r="AN219" s="35"/>
      <c r="AO219" s="35">
        <v>0</v>
      </c>
      <c r="AP219" s="35"/>
      <c r="AQ219" s="35">
        <v>0</v>
      </c>
      <c r="AR219" s="35"/>
      <c r="AS219" s="45">
        <f t="shared" si="37"/>
        <v>81594</v>
      </c>
      <c r="AT219" s="45"/>
      <c r="AU219" s="35">
        <v>0</v>
      </c>
      <c r="AV219" s="35"/>
      <c r="AW219" s="35">
        <v>0</v>
      </c>
      <c r="AX219" s="35"/>
      <c r="AY219" s="35">
        <f t="shared" si="41"/>
        <v>319808</v>
      </c>
      <c r="AZ219" s="35"/>
      <c r="BA219" s="35" t="s">
        <v>257</v>
      </c>
      <c r="BB219" s="55"/>
      <c r="BC219" s="35" t="s">
        <v>258</v>
      </c>
      <c r="BD219" s="35"/>
      <c r="BE219" s="35">
        <v>0</v>
      </c>
      <c r="BF219" s="35"/>
      <c r="BG219" s="35">
        <v>0</v>
      </c>
      <c r="BH219" s="35"/>
      <c r="BI219" s="35">
        <v>0</v>
      </c>
      <c r="BJ219" s="35"/>
      <c r="BK219" s="35">
        <f>7762+12609</f>
        <v>20371</v>
      </c>
      <c r="BL219" s="35"/>
      <c r="BM219" s="35">
        <f t="shared" si="42"/>
        <v>20371</v>
      </c>
      <c r="BN219" s="54" t="s">
        <v>347</v>
      </c>
    </row>
    <row r="220" spans="1:66" hidden="1">
      <c r="A220" s="35" t="s">
        <v>259</v>
      </c>
      <c r="C220" s="35" t="s">
        <v>369</v>
      </c>
      <c r="D220" s="35"/>
      <c r="E220" s="35">
        <f t="shared" si="39"/>
        <v>0</v>
      </c>
      <c r="F220" s="35"/>
      <c r="G220" s="35">
        <v>0</v>
      </c>
      <c r="H220" s="35"/>
      <c r="I220" s="35">
        <v>0</v>
      </c>
      <c r="J220" s="35"/>
      <c r="K220" s="35">
        <f t="shared" si="40"/>
        <v>0</v>
      </c>
      <c r="L220" s="35"/>
      <c r="M220" s="35">
        <v>0</v>
      </c>
      <c r="N220" s="35"/>
      <c r="O220" s="35">
        <v>0</v>
      </c>
      <c r="P220" s="35"/>
      <c r="Q220" s="35">
        <v>0</v>
      </c>
      <c r="R220" s="35"/>
      <c r="S220" s="35">
        <v>0</v>
      </c>
      <c r="T220" s="35"/>
      <c r="U220" s="35">
        <v>0</v>
      </c>
      <c r="V220" s="35"/>
      <c r="W220" s="35">
        <f t="shared" si="44"/>
        <v>0</v>
      </c>
      <c r="X220" s="35"/>
      <c r="Y220" s="35" t="s">
        <v>259</v>
      </c>
      <c r="Z220" s="55"/>
      <c r="AA220" s="35" t="s">
        <v>369</v>
      </c>
      <c r="AB220" s="35"/>
      <c r="AC220" s="35">
        <v>0</v>
      </c>
      <c r="AD220" s="35"/>
      <c r="AE220" s="35">
        <v>0</v>
      </c>
      <c r="AF220" s="35"/>
      <c r="AG220" s="35">
        <v>0</v>
      </c>
      <c r="AH220" s="35"/>
      <c r="AI220" s="45">
        <f t="shared" si="38"/>
        <v>0</v>
      </c>
      <c r="AJ220" s="45"/>
      <c r="AK220" s="35">
        <v>0</v>
      </c>
      <c r="AL220" s="35"/>
      <c r="AM220" s="35">
        <v>0</v>
      </c>
      <c r="AN220" s="35"/>
      <c r="AO220" s="35">
        <v>0</v>
      </c>
      <c r="AP220" s="35"/>
      <c r="AQ220" s="35">
        <v>0</v>
      </c>
      <c r="AR220" s="35"/>
      <c r="AS220" s="45">
        <f t="shared" si="37"/>
        <v>0</v>
      </c>
      <c r="AT220" s="45"/>
      <c r="AU220" s="35">
        <v>0</v>
      </c>
      <c r="AV220" s="35"/>
      <c r="AW220" s="35">
        <v>0</v>
      </c>
      <c r="AX220" s="35"/>
      <c r="AY220" s="35">
        <f t="shared" si="41"/>
        <v>0</v>
      </c>
      <c r="AZ220" s="35"/>
      <c r="BA220" s="35" t="s">
        <v>259</v>
      </c>
      <c r="BB220" s="55"/>
      <c r="BC220" s="35" t="s">
        <v>369</v>
      </c>
      <c r="BD220" s="35"/>
      <c r="BE220" s="35">
        <v>0</v>
      </c>
      <c r="BF220" s="35"/>
      <c r="BG220" s="35">
        <v>0</v>
      </c>
      <c r="BH220" s="35"/>
      <c r="BI220" s="35">
        <v>0</v>
      </c>
      <c r="BJ220" s="35"/>
      <c r="BK220" s="35">
        <v>0</v>
      </c>
      <c r="BL220" s="35"/>
      <c r="BM220" s="35">
        <f t="shared" si="42"/>
        <v>0</v>
      </c>
      <c r="BN220" s="54" t="s">
        <v>347</v>
      </c>
    </row>
    <row r="221" spans="1:66" hidden="1">
      <c r="A221" s="35" t="s">
        <v>261</v>
      </c>
      <c r="C221" s="35" t="s">
        <v>66</v>
      </c>
      <c r="D221" s="35"/>
      <c r="E221" s="35">
        <f t="shared" si="39"/>
        <v>0</v>
      </c>
      <c r="F221" s="35"/>
      <c r="G221" s="35">
        <v>0</v>
      </c>
      <c r="H221" s="35"/>
      <c r="I221" s="35">
        <v>0</v>
      </c>
      <c r="J221" s="35"/>
      <c r="K221" s="35">
        <f t="shared" si="40"/>
        <v>0</v>
      </c>
      <c r="L221" s="35"/>
      <c r="M221" s="35">
        <v>0</v>
      </c>
      <c r="N221" s="35"/>
      <c r="O221" s="35">
        <v>0</v>
      </c>
      <c r="P221" s="35"/>
      <c r="Q221" s="35">
        <v>0</v>
      </c>
      <c r="R221" s="35"/>
      <c r="S221" s="35">
        <v>0</v>
      </c>
      <c r="T221" s="35"/>
      <c r="U221" s="35">
        <v>0</v>
      </c>
      <c r="V221" s="35"/>
      <c r="W221" s="35">
        <f t="shared" si="44"/>
        <v>0</v>
      </c>
      <c r="X221" s="35"/>
      <c r="Y221" s="35" t="s">
        <v>261</v>
      </c>
      <c r="Z221" s="55"/>
      <c r="AA221" s="35" t="s">
        <v>66</v>
      </c>
      <c r="AB221" s="35"/>
      <c r="AC221" s="35">
        <v>0</v>
      </c>
      <c r="AD221" s="35"/>
      <c r="AE221" s="35">
        <v>0</v>
      </c>
      <c r="AF221" s="35"/>
      <c r="AG221" s="35">
        <v>0</v>
      </c>
      <c r="AH221" s="35"/>
      <c r="AI221" s="45">
        <f t="shared" si="38"/>
        <v>0</v>
      </c>
      <c r="AJ221" s="45"/>
      <c r="AK221" s="35">
        <v>0</v>
      </c>
      <c r="AL221" s="35"/>
      <c r="AM221" s="35">
        <v>0</v>
      </c>
      <c r="AN221" s="35"/>
      <c r="AO221" s="35">
        <v>0</v>
      </c>
      <c r="AP221" s="35"/>
      <c r="AQ221" s="35">
        <v>0</v>
      </c>
      <c r="AR221" s="35"/>
      <c r="AS221" s="45">
        <f t="shared" si="37"/>
        <v>0</v>
      </c>
      <c r="AT221" s="45"/>
      <c r="AU221" s="35">
        <v>0</v>
      </c>
      <c r="AV221" s="35"/>
      <c r="AW221" s="35">
        <v>0</v>
      </c>
      <c r="AX221" s="35"/>
      <c r="AY221" s="35">
        <f t="shared" si="41"/>
        <v>0</v>
      </c>
      <c r="AZ221" s="35"/>
      <c r="BA221" s="35" t="s">
        <v>261</v>
      </c>
      <c r="BB221" s="55"/>
      <c r="BC221" s="35" t="s">
        <v>66</v>
      </c>
      <c r="BD221" s="35"/>
      <c r="BE221" s="35">
        <v>0</v>
      </c>
      <c r="BF221" s="35"/>
      <c r="BG221" s="35">
        <v>0</v>
      </c>
      <c r="BH221" s="35"/>
      <c r="BI221" s="35">
        <v>0</v>
      </c>
      <c r="BJ221" s="35"/>
      <c r="BK221" s="35">
        <v>0</v>
      </c>
      <c r="BL221" s="35"/>
      <c r="BM221" s="35">
        <f t="shared" si="42"/>
        <v>0</v>
      </c>
      <c r="BN221" s="54" t="s">
        <v>347</v>
      </c>
    </row>
    <row r="222" spans="1:66" hidden="1">
      <c r="A222" s="35" t="s">
        <v>262</v>
      </c>
      <c r="C222" s="35" t="s">
        <v>132</v>
      </c>
      <c r="D222" s="35"/>
      <c r="E222" s="35">
        <f t="shared" si="39"/>
        <v>0</v>
      </c>
      <c r="F222" s="35"/>
      <c r="G222" s="35">
        <v>0</v>
      </c>
      <c r="H222" s="35"/>
      <c r="I222" s="35">
        <v>0</v>
      </c>
      <c r="J222" s="35"/>
      <c r="K222" s="35">
        <f t="shared" si="40"/>
        <v>0</v>
      </c>
      <c r="L222" s="35"/>
      <c r="M222" s="35">
        <v>0</v>
      </c>
      <c r="N222" s="35"/>
      <c r="O222" s="35">
        <v>0</v>
      </c>
      <c r="P222" s="35"/>
      <c r="Q222" s="35">
        <v>0</v>
      </c>
      <c r="R222" s="35"/>
      <c r="S222" s="35">
        <v>0</v>
      </c>
      <c r="T222" s="35"/>
      <c r="U222" s="35">
        <v>0</v>
      </c>
      <c r="V222" s="35"/>
      <c r="W222" s="35">
        <f t="shared" si="44"/>
        <v>0</v>
      </c>
      <c r="X222" s="35"/>
      <c r="Y222" s="35" t="s">
        <v>262</v>
      </c>
      <c r="Z222" s="55"/>
      <c r="AA222" s="35" t="s">
        <v>132</v>
      </c>
      <c r="AB222" s="35"/>
      <c r="AC222" s="35">
        <v>0</v>
      </c>
      <c r="AD222" s="35"/>
      <c r="AE222" s="35">
        <v>0</v>
      </c>
      <c r="AF222" s="35"/>
      <c r="AG222" s="35">
        <v>0</v>
      </c>
      <c r="AH222" s="35"/>
      <c r="AI222" s="45">
        <f t="shared" si="38"/>
        <v>0</v>
      </c>
      <c r="AJ222" s="45"/>
      <c r="AK222" s="35">
        <v>0</v>
      </c>
      <c r="AL222" s="35"/>
      <c r="AM222" s="35">
        <v>0</v>
      </c>
      <c r="AN222" s="35"/>
      <c r="AO222" s="35">
        <v>0</v>
      </c>
      <c r="AP222" s="35"/>
      <c r="AQ222" s="35">
        <v>0</v>
      </c>
      <c r="AR222" s="35"/>
      <c r="AS222" s="45">
        <f t="shared" si="37"/>
        <v>0</v>
      </c>
      <c r="AT222" s="45"/>
      <c r="AU222" s="35">
        <v>0</v>
      </c>
      <c r="AV222" s="35"/>
      <c r="AW222" s="35">
        <v>0</v>
      </c>
      <c r="AX222" s="35"/>
      <c r="AY222" s="35">
        <f t="shared" si="41"/>
        <v>0</v>
      </c>
      <c r="AZ222" s="35"/>
      <c r="BA222" s="35" t="s">
        <v>262</v>
      </c>
      <c r="BB222" s="55"/>
      <c r="BC222" s="35" t="s">
        <v>132</v>
      </c>
      <c r="BD222" s="35"/>
      <c r="BE222" s="35">
        <v>0</v>
      </c>
      <c r="BF222" s="35"/>
      <c r="BG222" s="35">
        <v>0</v>
      </c>
      <c r="BH222" s="35"/>
      <c r="BI222" s="35">
        <v>0</v>
      </c>
      <c r="BJ222" s="35"/>
      <c r="BK222" s="35">
        <v>0</v>
      </c>
      <c r="BL222" s="35"/>
      <c r="BM222" s="35">
        <f t="shared" si="42"/>
        <v>0</v>
      </c>
      <c r="BN222" s="54" t="s">
        <v>347</v>
      </c>
    </row>
    <row r="223" spans="1:66" hidden="1">
      <c r="A223" s="35" t="s">
        <v>263</v>
      </c>
      <c r="C223" s="35" t="s">
        <v>53</v>
      </c>
      <c r="D223" s="35"/>
      <c r="E223" s="35">
        <f t="shared" si="39"/>
        <v>0</v>
      </c>
      <c r="F223" s="35"/>
      <c r="G223" s="35">
        <v>0</v>
      </c>
      <c r="H223" s="35"/>
      <c r="I223" s="35">
        <v>0</v>
      </c>
      <c r="J223" s="35"/>
      <c r="K223" s="35">
        <f t="shared" si="40"/>
        <v>0</v>
      </c>
      <c r="L223" s="35"/>
      <c r="M223" s="35">
        <v>0</v>
      </c>
      <c r="N223" s="35"/>
      <c r="O223" s="35">
        <v>0</v>
      </c>
      <c r="P223" s="35"/>
      <c r="Q223" s="35">
        <v>0</v>
      </c>
      <c r="R223" s="35"/>
      <c r="S223" s="35">
        <v>0</v>
      </c>
      <c r="T223" s="35"/>
      <c r="U223" s="35">
        <v>0</v>
      </c>
      <c r="V223" s="35"/>
      <c r="W223" s="35">
        <f t="shared" si="44"/>
        <v>0</v>
      </c>
      <c r="X223" s="35"/>
      <c r="Y223" s="35" t="s">
        <v>263</v>
      </c>
      <c r="Z223" s="55"/>
      <c r="AA223" s="35" t="s">
        <v>53</v>
      </c>
      <c r="AB223" s="35"/>
      <c r="AC223" s="35">
        <v>0</v>
      </c>
      <c r="AD223" s="35"/>
      <c r="AE223" s="35">
        <v>0</v>
      </c>
      <c r="AF223" s="35"/>
      <c r="AG223" s="35">
        <v>0</v>
      </c>
      <c r="AH223" s="35"/>
      <c r="AI223" s="45">
        <f t="shared" si="38"/>
        <v>0</v>
      </c>
      <c r="AJ223" s="45"/>
      <c r="AK223" s="35">
        <v>0</v>
      </c>
      <c r="AL223" s="35"/>
      <c r="AM223" s="35">
        <v>0</v>
      </c>
      <c r="AN223" s="35"/>
      <c r="AO223" s="35">
        <v>0</v>
      </c>
      <c r="AP223" s="35"/>
      <c r="AQ223" s="35">
        <v>0</v>
      </c>
      <c r="AR223" s="35"/>
      <c r="AS223" s="45">
        <f t="shared" si="37"/>
        <v>0</v>
      </c>
      <c r="AT223" s="45"/>
      <c r="AU223" s="35">
        <v>0</v>
      </c>
      <c r="AV223" s="35"/>
      <c r="AW223" s="35">
        <v>0</v>
      </c>
      <c r="AX223" s="35"/>
      <c r="AY223" s="35">
        <f t="shared" si="41"/>
        <v>0</v>
      </c>
      <c r="AZ223" s="35"/>
      <c r="BA223" s="35" t="s">
        <v>263</v>
      </c>
      <c r="BB223" s="55"/>
      <c r="BC223" s="35" t="s">
        <v>53</v>
      </c>
      <c r="BD223" s="35"/>
      <c r="BE223" s="35">
        <v>0</v>
      </c>
      <c r="BF223" s="35"/>
      <c r="BG223" s="35">
        <v>0</v>
      </c>
      <c r="BH223" s="35"/>
      <c r="BI223" s="35">
        <v>0</v>
      </c>
      <c r="BJ223" s="35"/>
      <c r="BK223" s="35">
        <v>0</v>
      </c>
      <c r="BL223" s="35"/>
      <c r="BM223" s="35">
        <f t="shared" si="42"/>
        <v>0</v>
      </c>
      <c r="BN223" s="54" t="s">
        <v>347</v>
      </c>
    </row>
    <row r="224" spans="1:66">
      <c r="A224" s="55" t="s">
        <v>263</v>
      </c>
      <c r="C224" s="55" t="s">
        <v>53</v>
      </c>
      <c r="E224" s="35">
        <f t="shared" si="39"/>
        <v>874208</v>
      </c>
      <c r="F224" s="35"/>
      <c r="G224" s="35">
        <v>635642</v>
      </c>
      <c r="H224" s="35"/>
      <c r="I224" s="35">
        <v>1509850</v>
      </c>
      <c r="J224" s="35"/>
      <c r="K224" s="35">
        <f t="shared" si="40"/>
        <v>326998</v>
      </c>
      <c r="L224" s="35"/>
      <c r="M224" s="35">
        <v>107323</v>
      </c>
      <c r="N224" s="35"/>
      <c r="O224" s="35">
        <v>434321</v>
      </c>
      <c r="P224" s="35"/>
      <c r="Q224" s="35">
        <v>635642</v>
      </c>
      <c r="R224" s="35"/>
      <c r="S224" s="35">
        <v>0</v>
      </c>
      <c r="T224" s="35"/>
      <c r="U224" s="35">
        <v>439887</v>
      </c>
      <c r="V224" s="35"/>
      <c r="W224" s="35">
        <f t="shared" si="44"/>
        <v>1075529</v>
      </c>
      <c r="Y224" s="55" t="s">
        <v>263</v>
      </c>
      <c r="Z224" s="55"/>
      <c r="AA224" s="55" t="s">
        <v>53</v>
      </c>
      <c r="AC224" s="35">
        <v>2082153</v>
      </c>
      <c r="AD224" s="35"/>
      <c r="AE224" s="35">
        <f>2073929-141713</f>
        <v>1932216</v>
      </c>
      <c r="AF224" s="35"/>
      <c r="AG224" s="35">
        <v>141713</v>
      </c>
      <c r="AH224" s="35"/>
      <c r="AI224" s="45">
        <f t="shared" si="38"/>
        <v>8224</v>
      </c>
      <c r="AJ224" s="45"/>
      <c r="AK224" s="35">
        <v>1239</v>
      </c>
      <c r="AL224" s="35"/>
      <c r="AM224" s="35">
        <v>0</v>
      </c>
      <c r="AN224" s="35"/>
      <c r="AO224" s="35">
        <v>0</v>
      </c>
      <c r="AP224" s="35"/>
      <c r="AQ224" s="35">
        <v>0</v>
      </c>
      <c r="AR224" s="35"/>
      <c r="AS224" s="45">
        <f t="shared" si="37"/>
        <v>9463</v>
      </c>
      <c r="AT224" s="45"/>
      <c r="AU224" s="35">
        <v>0</v>
      </c>
      <c r="AV224" s="35"/>
      <c r="AW224" s="35">
        <v>0</v>
      </c>
      <c r="AX224" s="35"/>
      <c r="AY224" s="35">
        <f t="shared" si="41"/>
        <v>547210</v>
      </c>
      <c r="AZ224" s="53"/>
      <c r="BA224" s="55" t="s">
        <v>263</v>
      </c>
      <c r="BB224" s="55"/>
      <c r="BC224" s="55" t="s">
        <v>53</v>
      </c>
      <c r="BE224" s="35">
        <v>0</v>
      </c>
      <c r="BF224" s="35"/>
      <c r="BG224" s="35">
        <v>0</v>
      </c>
      <c r="BH224" s="35"/>
      <c r="BI224" s="35">
        <v>0</v>
      </c>
      <c r="BJ224" s="35"/>
      <c r="BK224" s="35">
        <f>107323+20637</f>
        <v>127960</v>
      </c>
      <c r="BL224" s="35"/>
      <c r="BM224" s="35">
        <v>0</v>
      </c>
      <c r="BN224" s="35"/>
    </row>
    <row r="225" spans="1:67" ht="12">
      <c r="A225" s="35" t="s">
        <v>264</v>
      </c>
      <c r="B225" s="55"/>
      <c r="C225" s="35" t="s">
        <v>239</v>
      </c>
      <c r="D225" s="35"/>
      <c r="E225" s="35">
        <f t="shared" si="39"/>
        <v>383039</v>
      </c>
      <c r="F225" s="35"/>
      <c r="G225" s="35">
        <v>927063</v>
      </c>
      <c r="H225" s="35"/>
      <c r="I225" s="35">
        <v>1310102</v>
      </c>
      <c r="J225" s="35"/>
      <c r="K225" s="35">
        <f t="shared" si="40"/>
        <v>206397</v>
      </c>
      <c r="L225" s="35"/>
      <c r="M225" s="35">
        <v>1608082</v>
      </c>
      <c r="N225" s="35"/>
      <c r="O225" s="35">
        <v>1814479</v>
      </c>
      <c r="P225" s="35"/>
      <c r="Q225" s="35">
        <v>760886</v>
      </c>
      <c r="R225" s="35"/>
      <c r="S225" s="35">
        <v>0</v>
      </c>
      <c r="T225" s="35"/>
      <c r="U225" s="35">
        <v>-1265263</v>
      </c>
      <c r="V225" s="35"/>
      <c r="W225" s="35">
        <f t="shared" si="44"/>
        <v>-504377</v>
      </c>
      <c r="X225" s="35"/>
      <c r="Y225" s="35" t="s">
        <v>264</v>
      </c>
      <c r="Z225" s="55"/>
      <c r="AA225" s="35" t="s">
        <v>239</v>
      </c>
      <c r="AB225" s="35"/>
      <c r="AC225" s="35">
        <v>1072990</v>
      </c>
      <c r="AD225" s="35"/>
      <c r="AE225" s="35">
        <f>1072058-40426</f>
        <v>1031632</v>
      </c>
      <c r="AF225" s="35"/>
      <c r="AG225" s="35">
        <v>40426</v>
      </c>
      <c r="AH225" s="35"/>
      <c r="AI225" s="45">
        <f t="shared" si="38"/>
        <v>932</v>
      </c>
      <c r="AJ225" s="45"/>
      <c r="AK225" s="35">
        <v>-8206</v>
      </c>
      <c r="AL225" s="35"/>
      <c r="AM225" s="35">
        <v>0</v>
      </c>
      <c r="AN225" s="35"/>
      <c r="AO225" s="35">
        <v>33131</v>
      </c>
      <c r="AP225" s="35"/>
      <c r="AQ225" s="35">
        <v>0</v>
      </c>
      <c r="AR225" s="35"/>
      <c r="AS225" s="45">
        <f t="shared" si="37"/>
        <v>-40405</v>
      </c>
      <c r="AT225" s="45"/>
      <c r="AU225" s="35">
        <v>0</v>
      </c>
      <c r="AV225" s="35"/>
      <c r="AW225" s="35">
        <v>0</v>
      </c>
      <c r="AX225" s="35"/>
      <c r="AY225" s="35">
        <f t="shared" si="41"/>
        <v>176642</v>
      </c>
      <c r="AZ225" s="35"/>
      <c r="BA225" s="35" t="s">
        <v>264</v>
      </c>
      <c r="BB225" s="55"/>
      <c r="BC225" s="35" t="s">
        <v>239</v>
      </c>
      <c r="BD225" s="35"/>
      <c r="BE225" s="35">
        <v>0</v>
      </c>
      <c r="BF225" s="35"/>
      <c r="BG225" s="35">
        <v>0</v>
      </c>
      <c r="BH225" s="35"/>
      <c r="BI225" s="35">
        <f>90175+52702</f>
        <v>142877</v>
      </c>
      <c r="BJ225" s="35"/>
      <c r="BK225" s="35">
        <f>33879+1484028+12438+71599</f>
        <v>1601944</v>
      </c>
      <c r="BL225" s="35"/>
      <c r="BM225" s="35">
        <f t="shared" si="42"/>
        <v>1744821</v>
      </c>
      <c r="BN225" s="54" t="s">
        <v>347</v>
      </c>
    </row>
    <row r="226" spans="1:67">
      <c r="A226" s="35" t="s">
        <v>111</v>
      </c>
      <c r="C226" s="44" t="s">
        <v>80</v>
      </c>
      <c r="D226" s="44"/>
      <c r="E226" s="35">
        <f t="shared" si="39"/>
        <v>681820</v>
      </c>
      <c r="F226" s="35"/>
      <c r="G226" s="35">
        <v>362481</v>
      </c>
      <c r="H226" s="35"/>
      <c r="I226" s="35">
        <v>1044301</v>
      </c>
      <c r="J226" s="35"/>
      <c r="K226" s="35">
        <f t="shared" si="40"/>
        <v>119038</v>
      </c>
      <c r="L226" s="35"/>
      <c r="M226" s="35">
        <v>86999</v>
      </c>
      <c r="N226" s="35"/>
      <c r="O226" s="35">
        <v>206037</v>
      </c>
      <c r="P226" s="35"/>
      <c r="Q226" s="35">
        <v>362481</v>
      </c>
      <c r="R226" s="35"/>
      <c r="S226" s="35">
        <v>0</v>
      </c>
      <c r="T226" s="35"/>
      <c r="U226" s="35">
        <v>475783</v>
      </c>
      <c r="V226" s="35"/>
      <c r="W226" s="35">
        <f t="shared" si="44"/>
        <v>838264</v>
      </c>
      <c r="X226" s="35"/>
      <c r="Y226" s="35" t="s">
        <v>111</v>
      </c>
      <c r="Z226" s="55"/>
      <c r="AA226" s="44" t="s">
        <v>80</v>
      </c>
      <c r="AB226" s="44"/>
      <c r="AC226" s="35">
        <v>3193861</v>
      </c>
      <c r="AD226" s="35"/>
      <c r="AE226" s="35">
        <f>3171946-144221</f>
        <v>3027725</v>
      </c>
      <c r="AF226" s="35"/>
      <c r="AG226" s="35">
        <v>144221</v>
      </c>
      <c r="AH226" s="35"/>
      <c r="AI226" s="45">
        <f t="shared" si="38"/>
        <v>21915</v>
      </c>
      <c r="AJ226" s="45"/>
      <c r="AK226" s="35">
        <v>0</v>
      </c>
      <c r="AL226" s="35"/>
      <c r="AM226" s="35">
        <v>0</v>
      </c>
      <c r="AN226" s="35"/>
      <c r="AO226" s="35">
        <v>0</v>
      </c>
      <c r="AP226" s="35"/>
      <c r="AQ226" s="35">
        <v>0</v>
      </c>
      <c r="AR226" s="35"/>
      <c r="AS226" s="45">
        <f t="shared" si="37"/>
        <v>21915</v>
      </c>
      <c r="AT226" s="45"/>
      <c r="AU226" s="35">
        <v>0</v>
      </c>
      <c r="AV226" s="35"/>
      <c r="AW226" s="35">
        <v>0</v>
      </c>
      <c r="AX226" s="35"/>
      <c r="AY226" s="35">
        <f t="shared" si="41"/>
        <v>562782</v>
      </c>
      <c r="AZ226" s="35"/>
      <c r="BA226" s="35" t="s">
        <v>111</v>
      </c>
      <c r="BB226" s="55"/>
      <c r="BC226" s="44" t="s">
        <v>80</v>
      </c>
      <c r="BD226" s="44"/>
      <c r="BE226" s="35">
        <v>0</v>
      </c>
      <c r="BF226" s="35"/>
      <c r="BG226" s="35">
        <v>0</v>
      </c>
      <c r="BH226" s="35"/>
      <c r="BI226" s="35">
        <v>0</v>
      </c>
      <c r="BJ226" s="35"/>
      <c r="BK226" s="35">
        <f>86999+49506</f>
        <v>136505</v>
      </c>
      <c r="BL226" s="35"/>
      <c r="BM226" s="35">
        <f t="shared" si="42"/>
        <v>136505</v>
      </c>
      <c r="BN226" s="54" t="s">
        <v>347</v>
      </c>
    </row>
    <row r="227" spans="1:67" hidden="1">
      <c r="A227" s="35" t="s">
        <v>265</v>
      </c>
      <c r="C227" s="44" t="s">
        <v>27</v>
      </c>
      <c r="D227" s="44"/>
      <c r="E227" s="35">
        <f t="shared" si="39"/>
        <v>0</v>
      </c>
      <c r="F227" s="35"/>
      <c r="G227" s="35">
        <v>0</v>
      </c>
      <c r="H227" s="35"/>
      <c r="I227" s="35">
        <v>0</v>
      </c>
      <c r="J227" s="35"/>
      <c r="K227" s="35">
        <f t="shared" si="40"/>
        <v>0</v>
      </c>
      <c r="L227" s="35"/>
      <c r="M227" s="35">
        <v>0</v>
      </c>
      <c r="N227" s="35"/>
      <c r="O227" s="35">
        <v>0</v>
      </c>
      <c r="P227" s="35"/>
      <c r="Q227" s="35">
        <v>0</v>
      </c>
      <c r="R227" s="35"/>
      <c r="S227" s="35">
        <v>0</v>
      </c>
      <c r="T227" s="35"/>
      <c r="U227" s="35">
        <v>0</v>
      </c>
      <c r="V227" s="35"/>
      <c r="W227" s="35">
        <f t="shared" si="44"/>
        <v>0</v>
      </c>
      <c r="X227" s="35"/>
      <c r="Y227" s="35" t="s">
        <v>265</v>
      </c>
      <c r="Z227" s="55"/>
      <c r="AA227" s="44" t="s">
        <v>27</v>
      </c>
      <c r="AB227" s="44"/>
      <c r="AC227" s="35">
        <v>0</v>
      </c>
      <c r="AD227" s="35"/>
      <c r="AE227" s="35">
        <v>0</v>
      </c>
      <c r="AF227" s="35"/>
      <c r="AG227" s="35">
        <v>0</v>
      </c>
      <c r="AH227" s="35"/>
      <c r="AI227" s="45">
        <f t="shared" si="38"/>
        <v>0</v>
      </c>
      <c r="AJ227" s="45"/>
      <c r="AK227" s="35">
        <v>0</v>
      </c>
      <c r="AL227" s="35"/>
      <c r="AM227" s="35">
        <v>0</v>
      </c>
      <c r="AN227" s="35"/>
      <c r="AO227" s="35">
        <v>0</v>
      </c>
      <c r="AP227" s="35"/>
      <c r="AQ227" s="35">
        <v>0</v>
      </c>
      <c r="AR227" s="35"/>
      <c r="AS227" s="45">
        <f t="shared" si="37"/>
        <v>0</v>
      </c>
      <c r="AT227" s="45"/>
      <c r="AU227" s="35">
        <v>0</v>
      </c>
      <c r="AV227" s="35"/>
      <c r="AW227" s="35">
        <v>0</v>
      </c>
      <c r="AX227" s="35"/>
      <c r="AY227" s="35">
        <f t="shared" si="41"/>
        <v>0</v>
      </c>
      <c r="AZ227" s="35"/>
      <c r="BA227" s="35" t="s">
        <v>265</v>
      </c>
      <c r="BB227" s="55"/>
      <c r="BC227" s="44" t="s">
        <v>27</v>
      </c>
      <c r="BD227" s="44"/>
      <c r="BE227" s="35">
        <v>0</v>
      </c>
      <c r="BF227" s="35"/>
      <c r="BG227" s="35">
        <v>0</v>
      </c>
      <c r="BH227" s="35"/>
      <c r="BI227" s="35">
        <v>0</v>
      </c>
      <c r="BJ227" s="35"/>
      <c r="BK227" s="35">
        <v>0</v>
      </c>
      <c r="BL227" s="35"/>
      <c r="BM227" s="35">
        <f t="shared" si="42"/>
        <v>0</v>
      </c>
      <c r="BN227" s="54" t="s">
        <v>347</v>
      </c>
    </row>
    <row r="228" spans="1:67" hidden="1">
      <c r="A228" s="35" t="s">
        <v>40</v>
      </c>
      <c r="C228" s="47" t="s">
        <v>451</v>
      </c>
      <c r="D228" s="35"/>
      <c r="E228" s="35">
        <f t="shared" si="39"/>
        <v>0</v>
      </c>
      <c r="F228" s="35"/>
      <c r="G228" s="35">
        <v>0</v>
      </c>
      <c r="H228" s="35"/>
      <c r="I228" s="35">
        <v>0</v>
      </c>
      <c r="J228" s="35"/>
      <c r="K228" s="35">
        <f t="shared" si="40"/>
        <v>0</v>
      </c>
      <c r="L228" s="35"/>
      <c r="M228" s="35">
        <v>0</v>
      </c>
      <c r="N228" s="35"/>
      <c r="O228" s="35">
        <v>0</v>
      </c>
      <c r="P228" s="35"/>
      <c r="Q228" s="35">
        <v>0</v>
      </c>
      <c r="R228" s="35"/>
      <c r="S228" s="35">
        <v>0</v>
      </c>
      <c r="T228" s="35"/>
      <c r="U228" s="35">
        <v>0</v>
      </c>
      <c r="V228" s="35"/>
      <c r="W228" s="35">
        <f t="shared" si="44"/>
        <v>0</v>
      </c>
      <c r="X228" s="35"/>
      <c r="Y228" s="35" t="s">
        <v>40</v>
      </c>
      <c r="Z228" s="55"/>
      <c r="AA228" s="47" t="s">
        <v>451</v>
      </c>
      <c r="AB228" s="35"/>
      <c r="AC228" s="35">
        <v>0</v>
      </c>
      <c r="AD228" s="35"/>
      <c r="AE228" s="35">
        <v>0</v>
      </c>
      <c r="AF228" s="35"/>
      <c r="AG228" s="35">
        <v>0</v>
      </c>
      <c r="AH228" s="35"/>
      <c r="AI228" s="45">
        <f t="shared" si="38"/>
        <v>0</v>
      </c>
      <c r="AJ228" s="45"/>
      <c r="AK228" s="35">
        <v>0</v>
      </c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37"/>
        <v>0</v>
      </c>
      <c r="AT228" s="45"/>
      <c r="AU228" s="35">
        <v>0</v>
      </c>
      <c r="AV228" s="35"/>
      <c r="AW228" s="35">
        <v>0</v>
      </c>
      <c r="AX228" s="35"/>
      <c r="AY228" s="35">
        <f t="shared" si="41"/>
        <v>0</v>
      </c>
      <c r="AZ228" s="35"/>
      <c r="BA228" s="35" t="s">
        <v>40</v>
      </c>
      <c r="BB228" s="55"/>
      <c r="BC228" s="47" t="s">
        <v>451</v>
      </c>
      <c r="BD228" s="35"/>
      <c r="BE228" s="35">
        <v>0</v>
      </c>
      <c r="BF228" s="35"/>
      <c r="BG228" s="35">
        <v>0</v>
      </c>
      <c r="BH228" s="35"/>
      <c r="BI228" s="35">
        <v>0</v>
      </c>
      <c r="BJ228" s="35"/>
      <c r="BK228" s="35">
        <v>0</v>
      </c>
      <c r="BL228" s="35"/>
      <c r="BM228" s="35">
        <f t="shared" si="42"/>
        <v>0</v>
      </c>
      <c r="BN228" s="54" t="s">
        <v>347</v>
      </c>
    </row>
    <row r="229" spans="1:67" hidden="1">
      <c r="A229" s="35" t="s">
        <v>266</v>
      </c>
      <c r="C229" s="35" t="s">
        <v>267</v>
      </c>
      <c r="D229" s="35"/>
      <c r="E229" s="35">
        <f t="shared" si="39"/>
        <v>0</v>
      </c>
      <c r="F229" s="35"/>
      <c r="G229" s="35">
        <v>0</v>
      </c>
      <c r="H229" s="35"/>
      <c r="I229" s="35">
        <v>0</v>
      </c>
      <c r="J229" s="35"/>
      <c r="K229" s="35">
        <f t="shared" si="40"/>
        <v>0</v>
      </c>
      <c r="L229" s="35"/>
      <c r="M229" s="35">
        <v>0</v>
      </c>
      <c r="N229" s="35"/>
      <c r="O229" s="35">
        <v>0</v>
      </c>
      <c r="P229" s="35"/>
      <c r="Q229" s="35">
        <v>0</v>
      </c>
      <c r="R229" s="35"/>
      <c r="S229" s="35">
        <v>0</v>
      </c>
      <c r="T229" s="35"/>
      <c r="U229" s="35">
        <v>0</v>
      </c>
      <c r="V229" s="35"/>
      <c r="W229" s="35">
        <v>0</v>
      </c>
      <c r="X229" s="35"/>
      <c r="Y229" s="35" t="s">
        <v>266</v>
      </c>
      <c r="Z229" s="55"/>
      <c r="AA229" s="35" t="s">
        <v>267</v>
      </c>
      <c r="AB229" s="35"/>
      <c r="AC229" s="35">
        <v>0</v>
      </c>
      <c r="AD229" s="35"/>
      <c r="AE229" s="35">
        <v>0</v>
      </c>
      <c r="AF229" s="35"/>
      <c r="AG229" s="35">
        <v>0</v>
      </c>
      <c r="AH229" s="35"/>
      <c r="AI229" s="45">
        <f t="shared" si="38"/>
        <v>0</v>
      </c>
      <c r="AJ229" s="45"/>
      <c r="AK229" s="35">
        <v>0</v>
      </c>
      <c r="AL229" s="35"/>
      <c r="AM229" s="35">
        <v>0</v>
      </c>
      <c r="AN229" s="35"/>
      <c r="AO229" s="35">
        <v>0</v>
      </c>
      <c r="AP229" s="35"/>
      <c r="AQ229" s="35">
        <v>0</v>
      </c>
      <c r="AR229" s="35"/>
      <c r="AS229" s="45">
        <f t="shared" si="37"/>
        <v>0</v>
      </c>
      <c r="AT229" s="45"/>
      <c r="AU229" s="35">
        <v>0</v>
      </c>
      <c r="AV229" s="35"/>
      <c r="AW229" s="35">
        <v>0</v>
      </c>
      <c r="AX229" s="35"/>
      <c r="AY229" s="35">
        <f t="shared" si="41"/>
        <v>0</v>
      </c>
      <c r="AZ229" s="35"/>
      <c r="BA229" s="35" t="s">
        <v>266</v>
      </c>
      <c r="BB229" s="55"/>
      <c r="BC229" s="35" t="s">
        <v>267</v>
      </c>
      <c r="BD229" s="35"/>
      <c r="BE229" s="35">
        <v>0</v>
      </c>
      <c r="BF229" s="35"/>
      <c r="BG229" s="35">
        <v>0</v>
      </c>
      <c r="BH229" s="35"/>
      <c r="BI229" s="35">
        <v>0</v>
      </c>
      <c r="BJ229" s="35"/>
      <c r="BK229" s="35">
        <v>0</v>
      </c>
      <c r="BL229" s="35"/>
      <c r="BM229" s="35">
        <f t="shared" si="42"/>
        <v>0</v>
      </c>
      <c r="BN229" s="54" t="s">
        <v>347</v>
      </c>
    </row>
    <row r="230" spans="1:67" hidden="1">
      <c r="A230" s="35" t="s">
        <v>268</v>
      </c>
      <c r="C230" s="35" t="s">
        <v>269</v>
      </c>
      <c r="D230" s="35"/>
      <c r="E230" s="35">
        <f t="shared" si="39"/>
        <v>0</v>
      </c>
      <c r="F230" s="35"/>
      <c r="G230" s="35">
        <v>0</v>
      </c>
      <c r="H230" s="35"/>
      <c r="I230" s="35">
        <v>0</v>
      </c>
      <c r="J230" s="35"/>
      <c r="K230" s="35">
        <f t="shared" si="40"/>
        <v>0</v>
      </c>
      <c r="L230" s="35"/>
      <c r="M230" s="35">
        <v>0</v>
      </c>
      <c r="N230" s="35"/>
      <c r="O230" s="35">
        <v>0</v>
      </c>
      <c r="P230" s="35"/>
      <c r="Q230" s="35">
        <v>0</v>
      </c>
      <c r="R230" s="35"/>
      <c r="S230" s="35">
        <v>0</v>
      </c>
      <c r="T230" s="35"/>
      <c r="U230" s="35">
        <v>0</v>
      </c>
      <c r="V230" s="35"/>
      <c r="W230" s="35">
        <f t="shared" ref="W230:W245" si="45">SUM(Q230:U230)</f>
        <v>0</v>
      </c>
      <c r="X230" s="35"/>
      <c r="Y230" s="35" t="s">
        <v>268</v>
      </c>
      <c r="Z230" s="55"/>
      <c r="AA230" s="35" t="s">
        <v>269</v>
      </c>
      <c r="AB230" s="35"/>
      <c r="AC230" s="35">
        <v>0</v>
      </c>
      <c r="AD230" s="35"/>
      <c r="AE230" s="35">
        <v>0</v>
      </c>
      <c r="AF230" s="35"/>
      <c r="AG230" s="35">
        <v>0</v>
      </c>
      <c r="AH230" s="35"/>
      <c r="AI230" s="45">
        <f t="shared" si="38"/>
        <v>0</v>
      </c>
      <c r="AJ230" s="45"/>
      <c r="AK230" s="35">
        <v>0</v>
      </c>
      <c r="AL230" s="35"/>
      <c r="AM230" s="35">
        <v>0</v>
      </c>
      <c r="AN230" s="35"/>
      <c r="AO230" s="35">
        <v>0</v>
      </c>
      <c r="AP230" s="35"/>
      <c r="AQ230" s="35">
        <v>0</v>
      </c>
      <c r="AR230" s="35"/>
      <c r="AS230" s="45">
        <f t="shared" si="37"/>
        <v>0</v>
      </c>
      <c r="AT230" s="45"/>
      <c r="AU230" s="35">
        <v>0</v>
      </c>
      <c r="AV230" s="35"/>
      <c r="AW230" s="35">
        <v>0</v>
      </c>
      <c r="AX230" s="35"/>
      <c r="AY230" s="35">
        <f t="shared" si="41"/>
        <v>0</v>
      </c>
      <c r="AZ230" s="35"/>
      <c r="BA230" s="35" t="s">
        <v>268</v>
      </c>
      <c r="BB230" s="55"/>
      <c r="BC230" s="35" t="s">
        <v>269</v>
      </c>
      <c r="BD230" s="35"/>
      <c r="BE230" s="35">
        <v>0</v>
      </c>
      <c r="BF230" s="35"/>
      <c r="BG230" s="35">
        <v>0</v>
      </c>
      <c r="BH230" s="35"/>
      <c r="BI230" s="35">
        <v>0</v>
      </c>
      <c r="BJ230" s="35"/>
      <c r="BK230" s="35">
        <v>0</v>
      </c>
      <c r="BL230" s="35"/>
      <c r="BM230" s="35">
        <f t="shared" si="42"/>
        <v>0</v>
      </c>
      <c r="BN230" s="54" t="s">
        <v>347</v>
      </c>
    </row>
    <row r="231" spans="1:67">
      <c r="A231" s="35" t="s">
        <v>270</v>
      </c>
      <c r="C231" s="35" t="s">
        <v>136</v>
      </c>
      <c r="D231" s="35"/>
      <c r="E231" s="35">
        <f t="shared" si="39"/>
        <v>19546</v>
      </c>
      <c r="F231" s="35"/>
      <c r="G231" s="35">
        <v>0</v>
      </c>
      <c r="H231" s="35"/>
      <c r="I231" s="35">
        <v>19546</v>
      </c>
      <c r="J231" s="35"/>
      <c r="K231" s="35">
        <f t="shared" si="40"/>
        <v>264315</v>
      </c>
      <c r="L231" s="35"/>
      <c r="M231" s="35">
        <v>20984</v>
      </c>
      <c r="N231" s="35"/>
      <c r="O231" s="35">
        <v>285299</v>
      </c>
      <c r="P231" s="35"/>
      <c r="Q231" s="35">
        <v>-15231</v>
      </c>
      <c r="R231" s="35"/>
      <c r="S231" s="35">
        <v>0</v>
      </c>
      <c r="T231" s="35"/>
      <c r="U231" s="35">
        <v>-250522</v>
      </c>
      <c r="V231" s="35"/>
      <c r="W231" s="35">
        <f t="shared" si="45"/>
        <v>-265753</v>
      </c>
      <c r="X231" s="35"/>
      <c r="Y231" s="35" t="s">
        <v>270</v>
      </c>
      <c r="Z231" s="55"/>
      <c r="AA231" s="35" t="s">
        <v>136</v>
      </c>
      <c r="AB231" s="35"/>
      <c r="AC231" s="35">
        <v>364341</v>
      </c>
      <c r="AD231" s="35"/>
      <c r="AE231" s="35">
        <f>417140-10100</f>
        <v>407040</v>
      </c>
      <c r="AF231" s="35"/>
      <c r="AG231" s="35">
        <v>10100</v>
      </c>
      <c r="AH231" s="35"/>
      <c r="AI231" s="45">
        <f t="shared" si="38"/>
        <v>-52799</v>
      </c>
      <c r="AJ231" s="45"/>
      <c r="AK231" s="35">
        <v>-727</v>
      </c>
      <c r="AL231" s="35"/>
      <c r="AM231" s="35">
        <v>0</v>
      </c>
      <c r="AN231" s="35"/>
      <c r="AO231" s="35">
        <v>0</v>
      </c>
      <c r="AP231" s="35"/>
      <c r="AQ231" s="35">
        <v>0</v>
      </c>
      <c r="AR231" s="35"/>
      <c r="AS231" s="45">
        <f t="shared" ref="AS231:AS245" si="46">+AI231+AK231+AM231-AO231+AQ231</f>
        <v>-53526</v>
      </c>
      <c r="AT231" s="45"/>
      <c r="AU231" s="35">
        <v>0</v>
      </c>
      <c r="AV231" s="35"/>
      <c r="AW231" s="35">
        <v>0</v>
      </c>
      <c r="AX231" s="35"/>
      <c r="AY231" s="35">
        <f t="shared" si="41"/>
        <v>-244769</v>
      </c>
      <c r="AZ231" s="35"/>
      <c r="BA231" s="35" t="s">
        <v>270</v>
      </c>
      <c r="BB231" s="55"/>
      <c r="BC231" s="35" t="s">
        <v>136</v>
      </c>
      <c r="BD231" s="35"/>
      <c r="BE231" s="35">
        <v>0</v>
      </c>
      <c r="BF231" s="35"/>
      <c r="BG231" s="35">
        <v>0</v>
      </c>
      <c r="BH231" s="35"/>
      <c r="BI231" s="35">
        <v>0</v>
      </c>
      <c r="BJ231" s="35"/>
      <c r="BK231" s="35">
        <f>20984+22077</f>
        <v>43061</v>
      </c>
      <c r="BL231" s="35"/>
      <c r="BM231" s="35">
        <f t="shared" si="42"/>
        <v>43061</v>
      </c>
      <c r="BN231" s="54" t="s">
        <v>347</v>
      </c>
    </row>
    <row r="232" spans="1:67">
      <c r="A232" s="35" t="s">
        <v>271</v>
      </c>
      <c r="C232" s="35" t="s">
        <v>66</v>
      </c>
      <c r="D232" s="35"/>
      <c r="E232" s="35">
        <f t="shared" si="39"/>
        <v>279822</v>
      </c>
      <c r="F232" s="35"/>
      <c r="G232" s="35">
        <v>130937</v>
      </c>
      <c r="H232" s="35"/>
      <c r="I232" s="35">
        <v>410759</v>
      </c>
      <c r="J232" s="35"/>
      <c r="K232" s="35">
        <f t="shared" si="40"/>
        <v>18371</v>
      </c>
      <c r="L232" s="35"/>
      <c r="M232" s="35">
        <v>17191</v>
      </c>
      <c r="N232" s="35"/>
      <c r="O232" s="35">
        <v>35562</v>
      </c>
      <c r="P232" s="35"/>
      <c r="Q232" s="35">
        <v>130937</v>
      </c>
      <c r="R232" s="35"/>
      <c r="S232" s="35">
        <v>0</v>
      </c>
      <c r="T232" s="35"/>
      <c r="U232" s="35">
        <v>244260</v>
      </c>
      <c r="V232" s="35"/>
      <c r="W232" s="35">
        <f t="shared" si="45"/>
        <v>375197</v>
      </c>
      <c r="X232" s="35"/>
      <c r="Y232" s="35" t="s">
        <v>271</v>
      </c>
      <c r="Z232" s="55"/>
      <c r="AA232" s="35" t="s">
        <v>66</v>
      </c>
      <c r="AB232" s="35"/>
      <c r="AC232" s="35">
        <v>717180</v>
      </c>
      <c r="AD232" s="35"/>
      <c r="AE232" s="35">
        <f>702453-41897</f>
        <v>660556</v>
      </c>
      <c r="AF232" s="35"/>
      <c r="AG232" s="35">
        <v>41897</v>
      </c>
      <c r="AH232" s="35"/>
      <c r="AI232" s="45">
        <f t="shared" si="38"/>
        <v>14727</v>
      </c>
      <c r="AJ232" s="45"/>
      <c r="AK232" s="35">
        <v>1913</v>
      </c>
      <c r="AL232" s="35"/>
      <c r="AM232" s="35">
        <v>0</v>
      </c>
      <c r="AN232" s="35"/>
      <c r="AO232" s="35">
        <v>0</v>
      </c>
      <c r="AP232" s="35"/>
      <c r="AQ232" s="35">
        <v>0</v>
      </c>
      <c r="AR232" s="35"/>
      <c r="AS232" s="45">
        <f t="shared" si="46"/>
        <v>16640</v>
      </c>
      <c r="AT232" s="45"/>
      <c r="AU232" s="35">
        <v>0</v>
      </c>
      <c r="AV232" s="35"/>
      <c r="AW232" s="35">
        <v>0</v>
      </c>
      <c r="AX232" s="35"/>
      <c r="AY232" s="35">
        <f t="shared" si="41"/>
        <v>261451</v>
      </c>
      <c r="AZ232" s="35"/>
      <c r="BA232" s="35" t="s">
        <v>271</v>
      </c>
      <c r="BB232" s="55"/>
      <c r="BC232" s="35" t="s">
        <v>66</v>
      </c>
      <c r="BD232" s="35"/>
      <c r="BE232" s="35">
        <v>0</v>
      </c>
      <c r="BF232" s="35"/>
      <c r="BG232" s="35">
        <v>0</v>
      </c>
      <c r="BH232" s="35"/>
      <c r="BI232" s="35">
        <v>0</v>
      </c>
      <c r="BJ232" s="35"/>
      <c r="BK232" s="35">
        <f>17191+2109</f>
        <v>19300</v>
      </c>
      <c r="BL232" s="35"/>
      <c r="BM232" s="35">
        <f t="shared" si="42"/>
        <v>19300</v>
      </c>
      <c r="BN232" s="54" t="s">
        <v>347</v>
      </c>
    </row>
    <row r="233" spans="1:67" hidden="1">
      <c r="A233" s="35" t="s">
        <v>272</v>
      </c>
      <c r="C233" s="35" t="s">
        <v>43</v>
      </c>
      <c r="D233" s="35"/>
      <c r="E233" s="35">
        <f t="shared" si="39"/>
        <v>0</v>
      </c>
      <c r="F233" s="35"/>
      <c r="G233" s="35">
        <v>0</v>
      </c>
      <c r="H233" s="35"/>
      <c r="I233" s="35">
        <v>0</v>
      </c>
      <c r="J233" s="35"/>
      <c r="K233" s="35">
        <f t="shared" si="40"/>
        <v>0</v>
      </c>
      <c r="L233" s="35"/>
      <c r="M233" s="35">
        <v>0</v>
      </c>
      <c r="N233" s="35"/>
      <c r="O233" s="35">
        <v>0</v>
      </c>
      <c r="P233" s="35"/>
      <c r="Q233" s="35">
        <v>0</v>
      </c>
      <c r="R233" s="35"/>
      <c r="S233" s="35">
        <v>0</v>
      </c>
      <c r="T233" s="35"/>
      <c r="U233" s="35">
        <v>0</v>
      </c>
      <c r="V233" s="35"/>
      <c r="W233" s="35">
        <f t="shared" si="45"/>
        <v>0</v>
      </c>
      <c r="X233" s="35"/>
      <c r="Y233" s="35" t="s">
        <v>272</v>
      </c>
      <c r="Z233" s="55"/>
      <c r="AA233" s="35" t="s">
        <v>43</v>
      </c>
      <c r="AB233" s="35"/>
      <c r="AC233" s="35">
        <v>0</v>
      </c>
      <c r="AD233" s="35"/>
      <c r="AE233" s="35">
        <v>0</v>
      </c>
      <c r="AF233" s="35"/>
      <c r="AG233" s="35">
        <v>0</v>
      </c>
      <c r="AH233" s="35"/>
      <c r="AI233" s="45">
        <f t="shared" si="38"/>
        <v>0</v>
      </c>
      <c r="AJ233" s="45"/>
      <c r="AK233" s="35">
        <v>0</v>
      </c>
      <c r="AL233" s="35"/>
      <c r="AM233" s="35">
        <v>0</v>
      </c>
      <c r="AN233" s="35"/>
      <c r="AO233" s="35">
        <v>0</v>
      </c>
      <c r="AP233" s="35"/>
      <c r="AQ233" s="35">
        <v>0</v>
      </c>
      <c r="AR233" s="35"/>
      <c r="AS233" s="45">
        <f t="shared" si="46"/>
        <v>0</v>
      </c>
      <c r="AT233" s="45"/>
      <c r="AU233" s="35">
        <v>0</v>
      </c>
      <c r="AV233" s="35"/>
      <c r="AW233" s="35">
        <v>0</v>
      </c>
      <c r="AX233" s="35"/>
      <c r="AY233" s="35">
        <f t="shared" si="41"/>
        <v>0</v>
      </c>
      <c r="AZ233" s="35"/>
      <c r="BA233" s="35" t="s">
        <v>272</v>
      </c>
      <c r="BB233" s="55"/>
      <c r="BC233" s="35" t="s">
        <v>43</v>
      </c>
      <c r="BD233" s="35"/>
      <c r="BE233" s="35">
        <v>0</v>
      </c>
      <c r="BF233" s="35"/>
      <c r="BG233" s="35">
        <v>0</v>
      </c>
      <c r="BH233" s="35"/>
      <c r="BI233" s="35">
        <v>0</v>
      </c>
      <c r="BJ233" s="35"/>
      <c r="BK233" s="35">
        <v>0</v>
      </c>
      <c r="BL233" s="35"/>
      <c r="BM233" s="35">
        <f t="shared" si="42"/>
        <v>0</v>
      </c>
      <c r="BN233" s="54" t="s">
        <v>347</v>
      </c>
    </row>
    <row r="234" spans="1:67" hidden="1">
      <c r="A234" s="35" t="s">
        <v>273</v>
      </c>
      <c r="C234" s="35" t="s">
        <v>27</v>
      </c>
      <c r="D234" s="35"/>
      <c r="E234" s="35">
        <f t="shared" si="39"/>
        <v>0</v>
      </c>
      <c r="F234" s="35"/>
      <c r="G234" s="35">
        <v>0</v>
      </c>
      <c r="H234" s="35"/>
      <c r="I234" s="35">
        <v>0</v>
      </c>
      <c r="J234" s="35"/>
      <c r="K234" s="35">
        <f t="shared" si="40"/>
        <v>0</v>
      </c>
      <c r="L234" s="35"/>
      <c r="M234" s="35">
        <v>0</v>
      </c>
      <c r="N234" s="35"/>
      <c r="O234" s="35">
        <v>0</v>
      </c>
      <c r="P234" s="35"/>
      <c r="Q234" s="35">
        <v>0</v>
      </c>
      <c r="R234" s="35"/>
      <c r="S234" s="35">
        <v>0</v>
      </c>
      <c r="T234" s="35"/>
      <c r="U234" s="35">
        <v>0</v>
      </c>
      <c r="V234" s="35"/>
      <c r="W234" s="35">
        <f t="shared" si="45"/>
        <v>0</v>
      </c>
      <c r="X234" s="35"/>
      <c r="Y234" s="35" t="s">
        <v>273</v>
      </c>
      <c r="Z234" s="55"/>
      <c r="AA234" s="35" t="s">
        <v>27</v>
      </c>
      <c r="AB234" s="35"/>
      <c r="AC234" s="35">
        <v>0</v>
      </c>
      <c r="AD234" s="35"/>
      <c r="AE234" s="35">
        <v>0</v>
      </c>
      <c r="AF234" s="35"/>
      <c r="AG234" s="35">
        <v>0</v>
      </c>
      <c r="AH234" s="35"/>
      <c r="AI234" s="45">
        <f t="shared" si="38"/>
        <v>0</v>
      </c>
      <c r="AJ234" s="45"/>
      <c r="AK234" s="35">
        <v>0</v>
      </c>
      <c r="AL234" s="35"/>
      <c r="AM234" s="35">
        <v>0</v>
      </c>
      <c r="AN234" s="35"/>
      <c r="AO234" s="35">
        <v>0</v>
      </c>
      <c r="AP234" s="35"/>
      <c r="AQ234" s="35">
        <v>0</v>
      </c>
      <c r="AR234" s="35"/>
      <c r="AS234" s="45">
        <f t="shared" si="46"/>
        <v>0</v>
      </c>
      <c r="AT234" s="45"/>
      <c r="AU234" s="35">
        <v>0</v>
      </c>
      <c r="AV234" s="35"/>
      <c r="AW234" s="35">
        <v>0</v>
      </c>
      <c r="AX234" s="35"/>
      <c r="AY234" s="35">
        <f t="shared" si="41"/>
        <v>0</v>
      </c>
      <c r="AZ234" s="35"/>
      <c r="BA234" s="35" t="s">
        <v>273</v>
      </c>
      <c r="BB234" s="55"/>
      <c r="BC234" s="35" t="s">
        <v>27</v>
      </c>
      <c r="BD234" s="35"/>
      <c r="BE234" s="35">
        <v>0</v>
      </c>
      <c r="BF234" s="35"/>
      <c r="BG234" s="35">
        <v>0</v>
      </c>
      <c r="BH234" s="35"/>
      <c r="BI234" s="35">
        <v>0</v>
      </c>
      <c r="BJ234" s="35"/>
      <c r="BK234" s="35">
        <v>0</v>
      </c>
      <c r="BL234" s="35"/>
      <c r="BM234" s="35">
        <f t="shared" si="42"/>
        <v>0</v>
      </c>
      <c r="BN234" s="54" t="s">
        <v>347</v>
      </c>
    </row>
    <row r="235" spans="1:67" hidden="1">
      <c r="A235" s="35" t="s">
        <v>274</v>
      </c>
      <c r="C235" s="35" t="s">
        <v>43</v>
      </c>
      <c r="D235" s="35"/>
      <c r="E235" s="35">
        <f t="shared" si="39"/>
        <v>0</v>
      </c>
      <c r="F235" s="35"/>
      <c r="G235" s="35">
        <v>0</v>
      </c>
      <c r="H235" s="35"/>
      <c r="I235" s="35">
        <v>0</v>
      </c>
      <c r="J235" s="35"/>
      <c r="K235" s="35">
        <f t="shared" si="40"/>
        <v>0</v>
      </c>
      <c r="L235" s="35"/>
      <c r="M235" s="35">
        <v>0</v>
      </c>
      <c r="N235" s="35"/>
      <c r="O235" s="35">
        <v>0</v>
      </c>
      <c r="P235" s="35"/>
      <c r="Q235" s="35">
        <v>0</v>
      </c>
      <c r="R235" s="35"/>
      <c r="S235" s="35">
        <v>0</v>
      </c>
      <c r="T235" s="35"/>
      <c r="U235" s="35">
        <v>0</v>
      </c>
      <c r="V235" s="35"/>
      <c r="W235" s="35">
        <f t="shared" si="45"/>
        <v>0</v>
      </c>
      <c r="X235" s="35"/>
      <c r="Y235" s="35" t="s">
        <v>274</v>
      </c>
      <c r="Z235" s="55"/>
      <c r="AA235" s="35" t="s">
        <v>43</v>
      </c>
      <c r="AB235" s="35"/>
      <c r="AC235" s="35">
        <v>0</v>
      </c>
      <c r="AD235" s="35"/>
      <c r="AE235" s="35">
        <v>0</v>
      </c>
      <c r="AF235" s="35"/>
      <c r="AG235" s="35">
        <v>0</v>
      </c>
      <c r="AH235" s="35"/>
      <c r="AI235" s="45">
        <f t="shared" si="38"/>
        <v>0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si="46"/>
        <v>0</v>
      </c>
      <c r="AT235" s="45"/>
      <c r="AU235" s="35">
        <v>0</v>
      </c>
      <c r="AV235" s="35"/>
      <c r="AW235" s="35">
        <v>0</v>
      </c>
      <c r="AX235" s="35"/>
      <c r="AY235" s="35">
        <f t="shared" si="41"/>
        <v>0</v>
      </c>
      <c r="AZ235" s="35"/>
      <c r="BA235" s="35" t="s">
        <v>274</v>
      </c>
      <c r="BB235" s="55"/>
      <c r="BC235" s="35" t="s">
        <v>43</v>
      </c>
      <c r="BD235" s="35"/>
      <c r="BE235" s="35">
        <v>0</v>
      </c>
      <c r="BF235" s="35"/>
      <c r="BG235" s="35">
        <v>0</v>
      </c>
      <c r="BH235" s="35"/>
      <c r="BI235" s="35">
        <v>0</v>
      </c>
      <c r="BJ235" s="35"/>
      <c r="BK235" s="35">
        <v>0</v>
      </c>
      <c r="BL235" s="35"/>
      <c r="BM235" s="35">
        <f t="shared" si="42"/>
        <v>0</v>
      </c>
      <c r="BN235" s="54" t="s">
        <v>347</v>
      </c>
    </row>
    <row r="236" spans="1:67" hidden="1">
      <c r="A236" s="35" t="s">
        <v>275</v>
      </c>
      <c r="C236" s="35" t="s">
        <v>92</v>
      </c>
      <c r="D236" s="35"/>
      <c r="E236" s="35">
        <f t="shared" si="39"/>
        <v>0</v>
      </c>
      <c r="F236" s="35"/>
      <c r="G236" s="35">
        <v>0</v>
      </c>
      <c r="H236" s="35"/>
      <c r="I236" s="35">
        <v>0</v>
      </c>
      <c r="J236" s="35"/>
      <c r="K236" s="35">
        <f t="shared" si="40"/>
        <v>0</v>
      </c>
      <c r="L236" s="35"/>
      <c r="M236" s="35">
        <v>0</v>
      </c>
      <c r="N236" s="35"/>
      <c r="O236" s="35">
        <v>0</v>
      </c>
      <c r="P236" s="35"/>
      <c r="Q236" s="35">
        <v>0</v>
      </c>
      <c r="R236" s="35"/>
      <c r="S236" s="35">
        <v>0</v>
      </c>
      <c r="T236" s="35"/>
      <c r="U236" s="35">
        <v>0</v>
      </c>
      <c r="V236" s="35"/>
      <c r="W236" s="35">
        <f t="shared" si="45"/>
        <v>0</v>
      </c>
      <c r="X236" s="35"/>
      <c r="Y236" s="35" t="s">
        <v>275</v>
      </c>
      <c r="Z236" s="55"/>
      <c r="AA236" s="35" t="s">
        <v>92</v>
      </c>
      <c r="AB236" s="35"/>
      <c r="AC236" s="35">
        <v>0</v>
      </c>
      <c r="AD236" s="35"/>
      <c r="AE236" s="35">
        <v>0</v>
      </c>
      <c r="AF236" s="35"/>
      <c r="AG236" s="35">
        <v>0</v>
      </c>
      <c r="AH236" s="35"/>
      <c r="AI236" s="45">
        <f t="shared" si="38"/>
        <v>0</v>
      </c>
      <c r="AJ236" s="45"/>
      <c r="AK236" s="35">
        <v>0</v>
      </c>
      <c r="AL236" s="35"/>
      <c r="AM236" s="35">
        <v>0</v>
      </c>
      <c r="AN236" s="35"/>
      <c r="AO236" s="35">
        <v>0</v>
      </c>
      <c r="AP236" s="35"/>
      <c r="AQ236" s="35">
        <v>0</v>
      </c>
      <c r="AR236" s="35"/>
      <c r="AS236" s="45">
        <f t="shared" si="46"/>
        <v>0</v>
      </c>
      <c r="AT236" s="45"/>
      <c r="AU236" s="35">
        <v>0</v>
      </c>
      <c r="AV236" s="35"/>
      <c r="AW236" s="35">
        <v>0</v>
      </c>
      <c r="AX236" s="35"/>
      <c r="AY236" s="35">
        <f t="shared" si="41"/>
        <v>0</v>
      </c>
      <c r="AZ236" s="35"/>
      <c r="BA236" s="35" t="s">
        <v>275</v>
      </c>
      <c r="BB236" s="55"/>
      <c r="BC236" s="35" t="s">
        <v>92</v>
      </c>
      <c r="BD236" s="35"/>
      <c r="BE236" s="35">
        <v>0</v>
      </c>
      <c r="BF236" s="35"/>
      <c r="BG236" s="35">
        <v>0</v>
      </c>
      <c r="BH236" s="35"/>
      <c r="BI236" s="35">
        <v>0</v>
      </c>
      <c r="BJ236" s="35"/>
      <c r="BK236" s="35">
        <v>0</v>
      </c>
      <c r="BL236" s="35"/>
      <c r="BM236" s="35">
        <f t="shared" si="42"/>
        <v>0</v>
      </c>
      <c r="BN236" s="54" t="s">
        <v>347</v>
      </c>
    </row>
    <row r="237" spans="1:67" hidden="1">
      <c r="A237" s="35" t="s">
        <v>276</v>
      </c>
      <c r="C237" s="35" t="s">
        <v>38</v>
      </c>
      <c r="D237" s="35"/>
      <c r="E237" s="35">
        <f t="shared" si="39"/>
        <v>0</v>
      </c>
      <c r="F237" s="35"/>
      <c r="G237" s="35">
        <v>0</v>
      </c>
      <c r="H237" s="35"/>
      <c r="I237" s="35">
        <v>0</v>
      </c>
      <c r="J237" s="35"/>
      <c r="K237" s="35">
        <f t="shared" si="40"/>
        <v>0</v>
      </c>
      <c r="L237" s="35"/>
      <c r="M237" s="35">
        <v>0</v>
      </c>
      <c r="N237" s="35"/>
      <c r="O237" s="35">
        <v>0</v>
      </c>
      <c r="P237" s="35"/>
      <c r="Q237" s="35">
        <v>0</v>
      </c>
      <c r="R237" s="35"/>
      <c r="S237" s="35">
        <v>0</v>
      </c>
      <c r="T237" s="35"/>
      <c r="U237" s="35">
        <v>0</v>
      </c>
      <c r="V237" s="35"/>
      <c r="W237" s="35">
        <f t="shared" si="45"/>
        <v>0</v>
      </c>
      <c r="X237" s="35"/>
      <c r="Y237" s="35" t="s">
        <v>276</v>
      </c>
      <c r="Z237" s="55"/>
      <c r="AA237" s="35" t="s">
        <v>38</v>
      </c>
      <c r="AB237" s="35"/>
      <c r="AC237" s="35">
        <v>0</v>
      </c>
      <c r="AD237" s="35"/>
      <c r="AE237" s="35">
        <v>0</v>
      </c>
      <c r="AF237" s="35"/>
      <c r="AG237" s="35">
        <v>0</v>
      </c>
      <c r="AH237" s="35"/>
      <c r="AI237" s="45">
        <f t="shared" si="38"/>
        <v>0</v>
      </c>
      <c r="AJ237" s="45"/>
      <c r="AK237" s="35">
        <v>0</v>
      </c>
      <c r="AL237" s="35"/>
      <c r="AM237" s="35">
        <v>0</v>
      </c>
      <c r="AN237" s="35"/>
      <c r="AO237" s="35">
        <v>0</v>
      </c>
      <c r="AP237" s="35"/>
      <c r="AQ237" s="35">
        <v>0</v>
      </c>
      <c r="AR237" s="35"/>
      <c r="AS237" s="45">
        <f t="shared" si="46"/>
        <v>0</v>
      </c>
      <c r="AT237" s="45"/>
      <c r="AU237" s="35">
        <v>0</v>
      </c>
      <c r="AV237" s="35"/>
      <c r="AW237" s="35">
        <v>0</v>
      </c>
      <c r="AX237" s="35"/>
      <c r="AY237" s="35">
        <f t="shared" si="41"/>
        <v>0</v>
      </c>
      <c r="AZ237" s="35"/>
      <c r="BA237" s="35" t="s">
        <v>276</v>
      </c>
      <c r="BB237" s="55"/>
      <c r="BC237" s="35" t="s">
        <v>38</v>
      </c>
      <c r="BD237" s="35"/>
      <c r="BE237" s="35">
        <v>0</v>
      </c>
      <c r="BF237" s="35"/>
      <c r="BG237" s="35">
        <v>0</v>
      </c>
      <c r="BH237" s="35"/>
      <c r="BI237" s="35">
        <v>0</v>
      </c>
      <c r="BJ237" s="35"/>
      <c r="BK237" s="35">
        <v>0</v>
      </c>
      <c r="BL237" s="35"/>
      <c r="BM237" s="35">
        <f t="shared" si="42"/>
        <v>0</v>
      </c>
      <c r="BN237" s="54" t="s">
        <v>347</v>
      </c>
      <c r="BO237" s="35" t="s">
        <v>366</v>
      </c>
    </row>
    <row r="238" spans="1:67" hidden="1">
      <c r="A238" s="35" t="s">
        <v>277</v>
      </c>
      <c r="C238" s="35" t="s">
        <v>92</v>
      </c>
      <c r="D238" s="35"/>
      <c r="E238" s="35">
        <f t="shared" si="39"/>
        <v>0</v>
      </c>
      <c r="F238" s="35"/>
      <c r="G238" s="35">
        <v>0</v>
      </c>
      <c r="H238" s="35"/>
      <c r="I238" s="35">
        <v>0</v>
      </c>
      <c r="J238" s="35"/>
      <c r="K238" s="35">
        <f t="shared" si="40"/>
        <v>0</v>
      </c>
      <c r="L238" s="35"/>
      <c r="M238" s="35">
        <v>0</v>
      </c>
      <c r="N238" s="35"/>
      <c r="O238" s="35">
        <v>0</v>
      </c>
      <c r="P238" s="35"/>
      <c r="Q238" s="35">
        <v>0</v>
      </c>
      <c r="R238" s="35"/>
      <c r="S238" s="35">
        <v>0</v>
      </c>
      <c r="T238" s="35"/>
      <c r="U238" s="35">
        <v>0</v>
      </c>
      <c r="V238" s="35"/>
      <c r="W238" s="35">
        <f t="shared" si="45"/>
        <v>0</v>
      </c>
      <c r="X238" s="35"/>
      <c r="Y238" s="35" t="s">
        <v>277</v>
      </c>
      <c r="Z238" s="55"/>
      <c r="AA238" s="35" t="s">
        <v>92</v>
      </c>
      <c r="AB238" s="35"/>
      <c r="AC238" s="35">
        <v>0</v>
      </c>
      <c r="AD238" s="35"/>
      <c r="AE238" s="35">
        <v>0</v>
      </c>
      <c r="AF238" s="35"/>
      <c r="AG238" s="35">
        <v>0</v>
      </c>
      <c r="AH238" s="35"/>
      <c r="AI238" s="45">
        <f t="shared" si="38"/>
        <v>0</v>
      </c>
      <c r="AJ238" s="45"/>
      <c r="AK238" s="35">
        <v>0</v>
      </c>
      <c r="AL238" s="35"/>
      <c r="AM238" s="35">
        <v>0</v>
      </c>
      <c r="AN238" s="35"/>
      <c r="AO238" s="35">
        <v>0</v>
      </c>
      <c r="AP238" s="35"/>
      <c r="AQ238" s="35">
        <v>0</v>
      </c>
      <c r="AR238" s="35"/>
      <c r="AS238" s="45">
        <f t="shared" si="46"/>
        <v>0</v>
      </c>
      <c r="AT238" s="45"/>
      <c r="AU238" s="35">
        <v>0</v>
      </c>
      <c r="AV238" s="35"/>
      <c r="AW238" s="35">
        <v>0</v>
      </c>
      <c r="AX238" s="35"/>
      <c r="AY238" s="35">
        <f t="shared" si="41"/>
        <v>0</v>
      </c>
      <c r="AZ238" s="35"/>
      <c r="BA238" s="35" t="s">
        <v>277</v>
      </c>
      <c r="BB238" s="55"/>
      <c r="BC238" s="35" t="s">
        <v>92</v>
      </c>
      <c r="BD238" s="35"/>
      <c r="BE238" s="35">
        <v>0</v>
      </c>
      <c r="BF238" s="35"/>
      <c r="BG238" s="35">
        <v>0</v>
      </c>
      <c r="BH238" s="35"/>
      <c r="BI238" s="35">
        <v>0</v>
      </c>
      <c r="BJ238" s="35"/>
      <c r="BK238" s="35">
        <v>0</v>
      </c>
      <c r="BL238" s="35"/>
      <c r="BM238" s="35">
        <f t="shared" si="42"/>
        <v>0</v>
      </c>
      <c r="BN238" s="54" t="s">
        <v>347</v>
      </c>
    </row>
    <row r="239" spans="1:67" hidden="1">
      <c r="A239" s="35" t="s">
        <v>278</v>
      </c>
      <c r="C239" s="35" t="s">
        <v>92</v>
      </c>
      <c r="D239" s="35"/>
      <c r="E239" s="35">
        <f t="shared" si="39"/>
        <v>0</v>
      </c>
      <c r="F239" s="35"/>
      <c r="G239" s="35">
        <v>0</v>
      </c>
      <c r="H239" s="35"/>
      <c r="I239" s="35">
        <v>0</v>
      </c>
      <c r="J239" s="35"/>
      <c r="K239" s="35">
        <f t="shared" si="40"/>
        <v>0</v>
      </c>
      <c r="L239" s="35"/>
      <c r="M239" s="35">
        <v>0</v>
      </c>
      <c r="N239" s="35"/>
      <c r="O239" s="35">
        <v>0</v>
      </c>
      <c r="P239" s="35"/>
      <c r="Q239" s="35">
        <v>0</v>
      </c>
      <c r="R239" s="35"/>
      <c r="S239" s="35">
        <v>0</v>
      </c>
      <c r="T239" s="35"/>
      <c r="U239" s="35">
        <v>0</v>
      </c>
      <c r="V239" s="35"/>
      <c r="W239" s="35">
        <f t="shared" si="45"/>
        <v>0</v>
      </c>
      <c r="X239" s="35"/>
      <c r="Y239" s="35" t="s">
        <v>278</v>
      </c>
      <c r="Z239" s="55"/>
      <c r="AA239" s="35" t="s">
        <v>92</v>
      </c>
      <c r="AB239" s="35"/>
      <c r="AC239" s="35">
        <v>0</v>
      </c>
      <c r="AD239" s="35"/>
      <c r="AE239" s="35">
        <v>0</v>
      </c>
      <c r="AF239" s="35"/>
      <c r="AG239" s="35">
        <v>0</v>
      </c>
      <c r="AH239" s="35"/>
      <c r="AI239" s="45">
        <f t="shared" si="38"/>
        <v>0</v>
      </c>
      <c r="AJ239" s="45"/>
      <c r="AK239" s="35">
        <v>0</v>
      </c>
      <c r="AL239" s="35"/>
      <c r="AM239" s="35">
        <v>0</v>
      </c>
      <c r="AN239" s="35"/>
      <c r="AO239" s="35">
        <v>0</v>
      </c>
      <c r="AP239" s="35"/>
      <c r="AQ239" s="35">
        <v>0</v>
      </c>
      <c r="AR239" s="35"/>
      <c r="AS239" s="45">
        <f t="shared" si="46"/>
        <v>0</v>
      </c>
      <c r="AT239" s="45"/>
      <c r="AU239" s="35">
        <v>0</v>
      </c>
      <c r="AV239" s="35"/>
      <c r="AW239" s="35">
        <v>0</v>
      </c>
      <c r="AX239" s="35"/>
      <c r="AY239" s="35">
        <f t="shared" si="41"/>
        <v>0</v>
      </c>
      <c r="AZ239" s="35"/>
      <c r="BA239" s="35" t="s">
        <v>278</v>
      </c>
      <c r="BB239" s="55"/>
      <c r="BC239" s="35" t="s">
        <v>92</v>
      </c>
      <c r="BD239" s="35"/>
      <c r="BE239" s="35">
        <v>0</v>
      </c>
      <c r="BF239" s="35"/>
      <c r="BG239" s="35">
        <v>0</v>
      </c>
      <c r="BH239" s="35"/>
      <c r="BI239" s="35">
        <v>0</v>
      </c>
      <c r="BJ239" s="35"/>
      <c r="BK239" s="35">
        <v>0</v>
      </c>
      <c r="BL239" s="35"/>
      <c r="BM239" s="35">
        <f t="shared" si="42"/>
        <v>0</v>
      </c>
      <c r="BN239" s="54" t="s">
        <v>347</v>
      </c>
    </row>
    <row r="240" spans="1:67" hidden="1">
      <c r="A240" s="35" t="s">
        <v>279</v>
      </c>
      <c r="C240" s="35" t="s">
        <v>92</v>
      </c>
      <c r="D240" s="35"/>
      <c r="E240" s="35">
        <f t="shared" si="39"/>
        <v>0</v>
      </c>
      <c r="F240" s="35"/>
      <c r="G240" s="35">
        <v>0</v>
      </c>
      <c r="H240" s="35"/>
      <c r="I240" s="35">
        <v>0</v>
      </c>
      <c r="J240" s="35"/>
      <c r="K240" s="35">
        <f t="shared" si="40"/>
        <v>0</v>
      </c>
      <c r="L240" s="35"/>
      <c r="M240" s="35">
        <v>0</v>
      </c>
      <c r="N240" s="35"/>
      <c r="O240" s="35">
        <v>0</v>
      </c>
      <c r="P240" s="35"/>
      <c r="Q240" s="35">
        <v>0</v>
      </c>
      <c r="R240" s="35"/>
      <c r="S240" s="35">
        <v>0</v>
      </c>
      <c r="T240" s="35"/>
      <c r="U240" s="35">
        <v>0</v>
      </c>
      <c r="V240" s="35"/>
      <c r="W240" s="35">
        <f t="shared" si="45"/>
        <v>0</v>
      </c>
      <c r="X240" s="35"/>
      <c r="Y240" s="35" t="s">
        <v>279</v>
      </c>
      <c r="Z240" s="55"/>
      <c r="AA240" s="35" t="s">
        <v>92</v>
      </c>
      <c r="AB240" s="35"/>
      <c r="AC240" s="35">
        <v>0</v>
      </c>
      <c r="AD240" s="35"/>
      <c r="AE240" s="35">
        <v>0</v>
      </c>
      <c r="AF240" s="35"/>
      <c r="AG240" s="35">
        <v>0</v>
      </c>
      <c r="AH240" s="35"/>
      <c r="AI240" s="45">
        <f t="shared" si="38"/>
        <v>0</v>
      </c>
      <c r="AJ240" s="45"/>
      <c r="AK240" s="35">
        <v>0</v>
      </c>
      <c r="AL240" s="35"/>
      <c r="AM240" s="35">
        <v>0</v>
      </c>
      <c r="AN240" s="35"/>
      <c r="AO240" s="35">
        <v>0</v>
      </c>
      <c r="AP240" s="35"/>
      <c r="AQ240" s="35">
        <v>0</v>
      </c>
      <c r="AR240" s="35"/>
      <c r="AS240" s="45">
        <f t="shared" si="46"/>
        <v>0</v>
      </c>
      <c r="AT240" s="45"/>
      <c r="AU240" s="35">
        <v>0</v>
      </c>
      <c r="AV240" s="35"/>
      <c r="AW240" s="35">
        <v>0</v>
      </c>
      <c r="AX240" s="35"/>
      <c r="AY240" s="35">
        <f t="shared" si="41"/>
        <v>0</v>
      </c>
      <c r="AZ240" s="35"/>
      <c r="BA240" s="35" t="s">
        <v>279</v>
      </c>
      <c r="BB240" s="55"/>
      <c r="BC240" s="35" t="s">
        <v>92</v>
      </c>
      <c r="BD240" s="35"/>
      <c r="BE240" s="35">
        <v>0</v>
      </c>
      <c r="BF240" s="35"/>
      <c r="BG240" s="35">
        <v>0</v>
      </c>
      <c r="BH240" s="35"/>
      <c r="BI240" s="35">
        <v>0</v>
      </c>
      <c r="BJ240" s="35"/>
      <c r="BK240" s="35">
        <v>0</v>
      </c>
      <c r="BL240" s="35"/>
      <c r="BM240" s="35">
        <f t="shared" si="42"/>
        <v>0</v>
      </c>
      <c r="BN240" s="54" t="s">
        <v>347</v>
      </c>
      <c r="BO240" s="55" t="s">
        <v>367</v>
      </c>
    </row>
    <row r="241" spans="1:67">
      <c r="A241" s="35" t="s">
        <v>280</v>
      </c>
      <c r="C241" s="35" t="s">
        <v>281</v>
      </c>
      <c r="D241" s="35"/>
      <c r="E241" s="35">
        <f t="shared" si="39"/>
        <v>817381</v>
      </c>
      <c r="F241" s="35"/>
      <c r="G241" s="35">
        <v>2412371</v>
      </c>
      <c r="H241" s="35"/>
      <c r="I241" s="35">
        <v>3229752</v>
      </c>
      <c r="J241" s="35"/>
      <c r="K241" s="35">
        <f t="shared" si="40"/>
        <v>756820</v>
      </c>
      <c r="L241" s="35"/>
      <c r="M241" s="35">
        <v>3735902</v>
      </c>
      <c r="N241" s="35"/>
      <c r="O241" s="35">
        <v>4492722</v>
      </c>
      <c r="P241" s="35"/>
      <c r="Q241" s="35">
        <v>2279371</v>
      </c>
      <c r="R241" s="35"/>
      <c r="S241" s="35">
        <v>181117</v>
      </c>
      <c r="T241" s="35"/>
      <c r="U241" s="35">
        <v>-3723458</v>
      </c>
      <c r="V241" s="35"/>
      <c r="W241" s="35">
        <f t="shared" si="45"/>
        <v>-1262970</v>
      </c>
      <c r="X241" s="35"/>
      <c r="Y241" s="35" t="s">
        <v>280</v>
      </c>
      <c r="Z241" s="55"/>
      <c r="AA241" s="35" t="s">
        <v>281</v>
      </c>
      <c r="AB241" s="35"/>
      <c r="AC241" s="35">
        <v>1886593</v>
      </c>
      <c r="AD241" s="35"/>
      <c r="AE241" s="35">
        <f>1974976-370168</f>
        <v>1604808</v>
      </c>
      <c r="AF241" s="35"/>
      <c r="AG241" s="35">
        <v>370168</v>
      </c>
      <c r="AH241" s="35"/>
      <c r="AI241" s="45">
        <f t="shared" si="38"/>
        <v>-88383</v>
      </c>
      <c r="AJ241" s="45"/>
      <c r="AK241" s="35">
        <v>18874</v>
      </c>
      <c r="AL241" s="35"/>
      <c r="AM241" s="35">
        <v>13650</v>
      </c>
      <c r="AN241" s="35"/>
      <c r="AO241" s="35">
        <v>0</v>
      </c>
      <c r="AP241" s="35"/>
      <c r="AQ241" s="35">
        <v>0</v>
      </c>
      <c r="AR241" s="35"/>
      <c r="AS241" s="45">
        <f t="shared" si="46"/>
        <v>-55859</v>
      </c>
      <c r="AT241" s="45"/>
      <c r="AU241" s="35">
        <v>0</v>
      </c>
      <c r="AV241" s="35"/>
      <c r="AW241" s="35">
        <v>0</v>
      </c>
      <c r="AX241" s="35"/>
      <c r="AY241" s="35">
        <f t="shared" si="41"/>
        <v>60561</v>
      </c>
      <c r="AZ241" s="35"/>
      <c r="BA241" s="35" t="s">
        <v>280</v>
      </c>
      <c r="BB241" s="55"/>
      <c r="BC241" s="35" t="s">
        <v>281</v>
      </c>
      <c r="BD241" s="35"/>
      <c r="BE241" s="35">
        <v>0</v>
      </c>
      <c r="BF241" s="35"/>
      <c r="BG241" s="35">
        <v>0</v>
      </c>
      <c r="BH241" s="35"/>
      <c r="BI241" s="35">
        <v>0</v>
      </c>
      <c r="BJ241" s="35"/>
      <c r="BK241" s="35">
        <f>3735902+42944+17761</f>
        <v>3796607</v>
      </c>
      <c r="BL241" s="35"/>
      <c r="BM241" s="35">
        <f t="shared" si="42"/>
        <v>3796607</v>
      </c>
      <c r="BN241" s="54" t="s">
        <v>347</v>
      </c>
      <c r="BO241" s="55" t="s">
        <v>367</v>
      </c>
    </row>
    <row r="242" spans="1:67" hidden="1">
      <c r="A242" s="35" t="s">
        <v>282</v>
      </c>
      <c r="C242" s="35" t="s">
        <v>199</v>
      </c>
      <c r="D242" s="35"/>
      <c r="E242" s="35">
        <f t="shared" si="39"/>
        <v>588253</v>
      </c>
      <c r="F242" s="35"/>
      <c r="G242" s="35">
        <v>0</v>
      </c>
      <c r="H242" s="35"/>
      <c r="I242" s="35">
        <v>588253</v>
      </c>
      <c r="J242" s="35"/>
      <c r="K242" s="35">
        <f t="shared" si="40"/>
        <v>112436</v>
      </c>
      <c r="L242" s="35"/>
      <c r="M242" s="35">
        <v>0</v>
      </c>
      <c r="N242" s="35"/>
      <c r="O242" s="35">
        <v>112436</v>
      </c>
      <c r="P242" s="35"/>
      <c r="Q242" s="35">
        <v>0</v>
      </c>
      <c r="R242" s="35"/>
      <c r="S242" s="35">
        <v>0</v>
      </c>
      <c r="T242" s="35"/>
      <c r="U242" s="35">
        <v>475817</v>
      </c>
      <c r="V242" s="35"/>
      <c r="W242" s="35">
        <f t="shared" si="45"/>
        <v>475817</v>
      </c>
      <c r="X242" s="35"/>
      <c r="Y242" s="35" t="s">
        <v>282</v>
      </c>
      <c r="Z242" s="55"/>
      <c r="AA242" s="35" t="s">
        <v>199</v>
      </c>
      <c r="AB242" s="35"/>
      <c r="AC242" s="35">
        <v>1460910</v>
      </c>
      <c r="AD242" s="35"/>
      <c r="AE242" s="35">
        <v>1427802</v>
      </c>
      <c r="AF242" s="35"/>
      <c r="AG242" s="35">
        <v>0</v>
      </c>
      <c r="AH242" s="35"/>
      <c r="AI242" s="45">
        <f t="shared" si="38"/>
        <v>33108</v>
      </c>
      <c r="AJ242" s="45"/>
      <c r="AK242" s="35">
        <v>37146</v>
      </c>
      <c r="AL242" s="35"/>
      <c r="AM242" s="35">
        <v>0</v>
      </c>
      <c r="AN242" s="35"/>
      <c r="AO242" s="35">
        <v>0</v>
      </c>
      <c r="AP242" s="35"/>
      <c r="AQ242" s="35">
        <v>0</v>
      </c>
      <c r="AR242" s="35"/>
      <c r="AS242" s="45">
        <f t="shared" si="46"/>
        <v>70254</v>
      </c>
      <c r="AT242" s="45"/>
      <c r="AU242" s="35">
        <v>0</v>
      </c>
      <c r="AV242" s="35"/>
      <c r="AW242" s="35">
        <v>0</v>
      </c>
      <c r="AX242" s="35"/>
      <c r="AY242" s="35">
        <f t="shared" si="41"/>
        <v>475817</v>
      </c>
      <c r="AZ242" s="35"/>
      <c r="BA242" s="35" t="s">
        <v>282</v>
      </c>
      <c r="BB242" s="55"/>
      <c r="BC242" s="35" t="s">
        <v>199</v>
      </c>
      <c r="BD242" s="35"/>
      <c r="BE242" s="35">
        <v>0</v>
      </c>
      <c r="BF242" s="35"/>
      <c r="BG242" s="35">
        <v>0</v>
      </c>
      <c r="BH242" s="35"/>
      <c r="BI242" s="35">
        <v>0</v>
      </c>
      <c r="BJ242" s="35"/>
      <c r="BK242" s="35">
        <v>0</v>
      </c>
      <c r="BL242" s="35"/>
      <c r="BM242" s="35">
        <f t="shared" si="42"/>
        <v>0</v>
      </c>
      <c r="BN242" s="54" t="s">
        <v>347</v>
      </c>
    </row>
    <row r="243" spans="1:67" hidden="1">
      <c r="A243" s="35" t="s">
        <v>283</v>
      </c>
      <c r="C243" s="35" t="s">
        <v>43</v>
      </c>
      <c r="D243" s="35"/>
      <c r="E243" s="35">
        <f t="shared" si="39"/>
        <v>0</v>
      </c>
      <c r="F243" s="35"/>
      <c r="G243" s="35">
        <v>0</v>
      </c>
      <c r="H243" s="35"/>
      <c r="I243" s="35">
        <v>0</v>
      </c>
      <c r="J243" s="35"/>
      <c r="K243" s="35">
        <f t="shared" si="40"/>
        <v>0</v>
      </c>
      <c r="L243" s="35"/>
      <c r="M243" s="35">
        <v>0</v>
      </c>
      <c r="N243" s="35"/>
      <c r="O243" s="35">
        <v>0</v>
      </c>
      <c r="P243" s="35"/>
      <c r="Q243" s="35">
        <v>0</v>
      </c>
      <c r="R243" s="35"/>
      <c r="S243" s="35">
        <v>0</v>
      </c>
      <c r="T243" s="35"/>
      <c r="U243" s="35">
        <v>0</v>
      </c>
      <c r="V243" s="35"/>
      <c r="W243" s="35">
        <f t="shared" si="45"/>
        <v>0</v>
      </c>
      <c r="X243" s="35"/>
      <c r="Y243" s="35" t="s">
        <v>283</v>
      </c>
      <c r="Z243" s="55"/>
      <c r="AA243" s="35" t="s">
        <v>43</v>
      </c>
      <c r="AB243" s="35"/>
      <c r="AC243" s="35">
        <v>0</v>
      </c>
      <c r="AD243" s="35"/>
      <c r="AE243" s="35">
        <v>0</v>
      </c>
      <c r="AF243" s="35"/>
      <c r="AG243" s="35">
        <v>0</v>
      </c>
      <c r="AH243" s="35"/>
      <c r="AI243" s="45">
        <f t="shared" si="38"/>
        <v>0</v>
      </c>
      <c r="AJ243" s="45"/>
      <c r="AK243" s="35">
        <v>0</v>
      </c>
      <c r="AL243" s="35"/>
      <c r="AM243" s="35">
        <v>0</v>
      </c>
      <c r="AN243" s="35"/>
      <c r="AO243" s="35">
        <v>0</v>
      </c>
      <c r="AP243" s="35"/>
      <c r="AQ243" s="35">
        <v>0</v>
      </c>
      <c r="AR243" s="35"/>
      <c r="AS243" s="45">
        <f t="shared" si="46"/>
        <v>0</v>
      </c>
      <c r="AT243" s="45"/>
      <c r="AU243" s="35">
        <v>0</v>
      </c>
      <c r="AV243" s="35"/>
      <c r="AW243" s="35">
        <v>0</v>
      </c>
      <c r="AX243" s="35"/>
      <c r="AY243" s="35">
        <f t="shared" si="41"/>
        <v>0</v>
      </c>
      <c r="AZ243" s="35"/>
      <c r="BA243" s="35" t="s">
        <v>283</v>
      </c>
      <c r="BB243" s="55"/>
      <c r="BC243" s="35" t="s">
        <v>43</v>
      </c>
      <c r="BD243" s="35"/>
      <c r="BE243" s="35">
        <v>0</v>
      </c>
      <c r="BF243" s="35"/>
      <c r="BG243" s="35">
        <v>0</v>
      </c>
      <c r="BH243" s="35"/>
      <c r="BI243" s="35">
        <v>0</v>
      </c>
      <c r="BJ243" s="35"/>
      <c r="BK243" s="35">
        <v>0</v>
      </c>
      <c r="BL243" s="35"/>
      <c r="BM243" s="35">
        <f t="shared" si="42"/>
        <v>0</v>
      </c>
      <c r="BN243" s="54" t="s">
        <v>347</v>
      </c>
      <c r="BO243" s="55" t="s">
        <v>367</v>
      </c>
    </row>
    <row r="244" spans="1:67" hidden="1">
      <c r="A244" s="35" t="s">
        <v>284</v>
      </c>
      <c r="C244" s="35" t="s">
        <v>45</v>
      </c>
      <c r="D244" s="35"/>
      <c r="E244" s="35">
        <f t="shared" si="39"/>
        <v>0</v>
      </c>
      <c r="F244" s="35"/>
      <c r="G244" s="35">
        <v>0</v>
      </c>
      <c r="H244" s="35"/>
      <c r="I244" s="35">
        <v>0</v>
      </c>
      <c r="J244" s="35"/>
      <c r="K244" s="35">
        <f t="shared" si="40"/>
        <v>0</v>
      </c>
      <c r="L244" s="35"/>
      <c r="M244" s="35">
        <v>0</v>
      </c>
      <c r="N244" s="35"/>
      <c r="O244" s="35">
        <v>0</v>
      </c>
      <c r="P244" s="35"/>
      <c r="Q244" s="35">
        <v>0</v>
      </c>
      <c r="R244" s="35"/>
      <c r="S244" s="35">
        <v>0</v>
      </c>
      <c r="T244" s="35"/>
      <c r="U244" s="35">
        <v>0</v>
      </c>
      <c r="V244" s="35"/>
      <c r="W244" s="35">
        <f t="shared" si="45"/>
        <v>0</v>
      </c>
      <c r="X244" s="35"/>
      <c r="Y244" s="35" t="s">
        <v>284</v>
      </c>
      <c r="Z244" s="55"/>
      <c r="AA244" s="35" t="s">
        <v>45</v>
      </c>
      <c r="AB244" s="35"/>
      <c r="AC244" s="35">
        <v>0</v>
      </c>
      <c r="AD244" s="35"/>
      <c r="AE244" s="35">
        <v>0</v>
      </c>
      <c r="AF244" s="35"/>
      <c r="AG244" s="35">
        <v>0</v>
      </c>
      <c r="AH244" s="35"/>
      <c r="AI244" s="45">
        <f t="shared" si="38"/>
        <v>0</v>
      </c>
      <c r="AJ244" s="45"/>
      <c r="AK244" s="35">
        <v>0</v>
      </c>
      <c r="AL244" s="35"/>
      <c r="AM244" s="35">
        <v>0</v>
      </c>
      <c r="AN244" s="35"/>
      <c r="AO244" s="35">
        <v>0</v>
      </c>
      <c r="AP244" s="35"/>
      <c r="AQ244" s="35">
        <v>0</v>
      </c>
      <c r="AR244" s="35"/>
      <c r="AS244" s="45">
        <f t="shared" si="46"/>
        <v>0</v>
      </c>
      <c r="AT244" s="45"/>
      <c r="AU244" s="35">
        <v>0</v>
      </c>
      <c r="AV244" s="35"/>
      <c r="AW244" s="35">
        <v>0</v>
      </c>
      <c r="AX244" s="35"/>
      <c r="AY244" s="35">
        <f t="shared" si="41"/>
        <v>0</v>
      </c>
      <c r="AZ244" s="35"/>
      <c r="BA244" s="35" t="s">
        <v>284</v>
      </c>
      <c r="BB244" s="55"/>
      <c r="BC244" s="35" t="s">
        <v>45</v>
      </c>
      <c r="BD244" s="35"/>
      <c r="BE244" s="35">
        <v>0</v>
      </c>
      <c r="BF244" s="35"/>
      <c r="BG244" s="35">
        <v>0</v>
      </c>
      <c r="BH244" s="35"/>
      <c r="BI244" s="35">
        <v>0</v>
      </c>
      <c r="BJ244" s="35"/>
      <c r="BK244" s="35">
        <v>0</v>
      </c>
      <c r="BL244" s="35"/>
      <c r="BM244" s="35">
        <f t="shared" si="42"/>
        <v>0</v>
      </c>
      <c r="BN244" s="54" t="s">
        <v>347</v>
      </c>
    </row>
    <row r="245" spans="1:67">
      <c r="A245" s="35" t="s">
        <v>285</v>
      </c>
      <c r="C245" s="35" t="s">
        <v>30</v>
      </c>
      <c r="D245" s="35"/>
      <c r="E245" s="35">
        <f t="shared" si="39"/>
        <v>1871029</v>
      </c>
      <c r="F245" s="35"/>
      <c r="G245" s="35">
        <v>89396</v>
      </c>
      <c r="H245" s="35"/>
      <c r="I245" s="35">
        <v>1960425</v>
      </c>
      <c r="J245" s="35"/>
      <c r="K245" s="35">
        <f t="shared" si="40"/>
        <v>266699</v>
      </c>
      <c r="L245" s="35"/>
      <c r="M245" s="35">
        <v>992280</v>
      </c>
      <c r="N245" s="35"/>
      <c r="O245" s="35">
        <v>1258979</v>
      </c>
      <c r="P245" s="35"/>
      <c r="Q245" s="35">
        <v>89396</v>
      </c>
      <c r="R245" s="35"/>
      <c r="S245" s="35">
        <v>0</v>
      </c>
      <c r="T245" s="35"/>
      <c r="U245" s="35">
        <v>612050</v>
      </c>
      <c r="V245" s="35"/>
      <c r="W245" s="35">
        <f t="shared" si="45"/>
        <v>701446</v>
      </c>
      <c r="X245" s="35"/>
      <c r="Y245" s="35" t="s">
        <v>285</v>
      </c>
      <c r="Z245" s="55"/>
      <c r="AA245" s="35" t="s">
        <v>30</v>
      </c>
      <c r="AB245" s="35"/>
      <c r="AC245" s="35">
        <v>1797773</v>
      </c>
      <c r="AD245" s="35"/>
      <c r="AE245" s="35">
        <f>1595659-25015</f>
        <v>1570644</v>
      </c>
      <c r="AF245" s="35"/>
      <c r="AG245" s="35">
        <v>25015</v>
      </c>
      <c r="AH245" s="35"/>
      <c r="AI245" s="45">
        <f t="shared" si="38"/>
        <v>202114</v>
      </c>
      <c r="AJ245" s="45"/>
      <c r="AK245" s="35">
        <v>120214</v>
      </c>
      <c r="AL245" s="35"/>
      <c r="AM245" s="35">
        <v>0</v>
      </c>
      <c r="AN245" s="35"/>
      <c r="AO245" s="35">
        <v>0</v>
      </c>
      <c r="AP245" s="35"/>
      <c r="AQ245" s="35">
        <v>0</v>
      </c>
      <c r="AR245" s="35"/>
      <c r="AS245" s="45">
        <f t="shared" si="46"/>
        <v>322328</v>
      </c>
      <c r="AT245" s="45"/>
      <c r="AU245" s="35">
        <v>0</v>
      </c>
      <c r="AV245" s="35"/>
      <c r="AW245" s="35">
        <v>0</v>
      </c>
      <c r="AX245" s="35"/>
      <c r="AY245" s="35">
        <f t="shared" si="41"/>
        <v>1604330</v>
      </c>
      <c r="AZ245" s="35"/>
      <c r="BA245" s="35" t="s">
        <v>285</v>
      </c>
      <c r="BB245" s="55"/>
      <c r="BC245" s="35" t="s">
        <v>30</v>
      </c>
      <c r="BD245" s="35"/>
      <c r="BE245" s="35">
        <v>0</v>
      </c>
      <c r="BF245" s="35"/>
      <c r="BG245" s="35">
        <v>0</v>
      </c>
      <c r="BH245" s="35"/>
      <c r="BI245" s="35">
        <v>0</v>
      </c>
      <c r="BJ245" s="35"/>
      <c r="BK245" s="35">
        <f>992280+40000+7317</f>
        <v>1039597</v>
      </c>
      <c r="BL245" s="35"/>
      <c r="BM245" s="35">
        <f t="shared" si="42"/>
        <v>1039597</v>
      </c>
      <c r="BN245" s="54" t="s">
        <v>347</v>
      </c>
    </row>
    <row r="246" spans="1:67"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5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B246" s="5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</row>
    <row r="247" spans="1:67"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5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B247" s="5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</row>
    <row r="248" spans="1:67"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5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B248" s="5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</row>
    <row r="249" spans="1:67"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5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B249" s="5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</row>
    <row r="250" spans="1:67"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5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B250" s="5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</row>
    <row r="251" spans="1:67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5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B265" s="5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</row>
    <row r="266" spans="5:66">
      <c r="Z266" s="55"/>
      <c r="BB266" s="55"/>
      <c r="BE266" s="45"/>
      <c r="BG266" s="45"/>
      <c r="BI266" s="45"/>
      <c r="BK266" s="45"/>
    </row>
    <row r="267" spans="5:66">
      <c r="Z267" s="55"/>
      <c r="BB267" s="55"/>
      <c r="BE267" s="45"/>
      <c r="BG267" s="45"/>
      <c r="BI267" s="45"/>
      <c r="BK267" s="45"/>
    </row>
    <row r="268" spans="5:66">
      <c r="Z268" s="55"/>
      <c r="BB268" s="55"/>
      <c r="BE268" s="45"/>
      <c r="BG268" s="45"/>
      <c r="BI268" s="45"/>
      <c r="BK268" s="45"/>
    </row>
    <row r="269" spans="5:66">
      <c r="Z269" s="55"/>
      <c r="BB269" s="55"/>
      <c r="BE269" s="45"/>
      <c r="BG269" s="45"/>
      <c r="BI269" s="45"/>
      <c r="BK269" s="45"/>
    </row>
    <row r="270" spans="5:66">
      <c r="Z270" s="55"/>
      <c r="BB270" s="55"/>
      <c r="BE270" s="45"/>
      <c r="BG270" s="45"/>
      <c r="BI270" s="45"/>
      <c r="BK270" s="45"/>
    </row>
    <row r="271" spans="5:66">
      <c r="Z271" s="55"/>
      <c r="BB271" s="55"/>
      <c r="BE271" s="45"/>
      <c r="BG271" s="45"/>
      <c r="BI271" s="45"/>
      <c r="BK271" s="45"/>
    </row>
    <row r="272" spans="5:66">
      <c r="Z272" s="55"/>
      <c r="BB272" s="55"/>
      <c r="BE272" s="45"/>
      <c r="BG272" s="45"/>
      <c r="BI272" s="45"/>
      <c r="BK272" s="45"/>
    </row>
    <row r="273" spans="26:63">
      <c r="Z273" s="55"/>
      <c r="BB273" s="55"/>
      <c r="BE273" s="45"/>
      <c r="BG273" s="45"/>
      <c r="BI273" s="45"/>
      <c r="BK273" s="45"/>
    </row>
    <row r="274" spans="26:63">
      <c r="Z274" s="55"/>
      <c r="BB274" s="55"/>
      <c r="BE274" s="45"/>
      <c r="BG274" s="45"/>
      <c r="BI274" s="45"/>
      <c r="BK274" s="45"/>
    </row>
    <row r="275" spans="26:63">
      <c r="Z275" s="55"/>
      <c r="BB275" s="55"/>
      <c r="BE275" s="45"/>
      <c r="BG275" s="45"/>
      <c r="BI275" s="45"/>
      <c r="BK275" s="45"/>
    </row>
    <row r="276" spans="26:63">
      <c r="Z276" s="55"/>
      <c r="BB276" s="55"/>
      <c r="BE276" s="45"/>
      <c r="BG276" s="45"/>
      <c r="BI276" s="45"/>
      <c r="BK276" s="45"/>
    </row>
    <row r="277" spans="26:63">
      <c r="Z277" s="55"/>
      <c r="BB277" s="55"/>
      <c r="BE277" s="45"/>
      <c r="BG277" s="45"/>
      <c r="BI277" s="45"/>
      <c r="BK277" s="45"/>
    </row>
    <row r="278" spans="26:63">
      <c r="Z278" s="55"/>
      <c r="BB278" s="55"/>
      <c r="BE278" s="45"/>
      <c r="BG278" s="45"/>
      <c r="BI278" s="45"/>
      <c r="BK278" s="45"/>
    </row>
    <row r="279" spans="26:63">
      <c r="Z279" s="55"/>
      <c r="BB279" s="55"/>
      <c r="BE279" s="45"/>
      <c r="BG279" s="45"/>
      <c r="BI279" s="45"/>
      <c r="BK279" s="45"/>
    </row>
    <row r="280" spans="26:63">
      <c r="Z280" s="55"/>
      <c r="BB280" s="55"/>
      <c r="BE280" s="45"/>
      <c r="BG280" s="45"/>
      <c r="BI280" s="45"/>
      <c r="BK280" s="45"/>
    </row>
    <row r="281" spans="26:63">
      <c r="Z281" s="55"/>
      <c r="BB281" s="55"/>
      <c r="BE281" s="45"/>
      <c r="BG281" s="45"/>
      <c r="BI281" s="45"/>
      <c r="BK281" s="45"/>
    </row>
    <row r="282" spans="26:63">
      <c r="Z282" s="55"/>
      <c r="BB282" s="55"/>
      <c r="BE282" s="45"/>
      <c r="BG282" s="45"/>
      <c r="BI282" s="45"/>
      <c r="BK282" s="45"/>
    </row>
    <row r="283" spans="26:63">
      <c r="Z283" s="55"/>
      <c r="BB283" s="55"/>
      <c r="BE283" s="45"/>
      <c r="BG283" s="45"/>
      <c r="BI283" s="45"/>
      <c r="BK283" s="45"/>
    </row>
    <row r="284" spans="26:63">
      <c r="Z284" s="55"/>
      <c r="BB284" s="55"/>
      <c r="BE284" s="45"/>
      <c r="BG284" s="45"/>
      <c r="BI284" s="45"/>
      <c r="BK284" s="45"/>
    </row>
    <row r="285" spans="26:63">
      <c r="Z285" s="55"/>
      <c r="BB285" s="55"/>
      <c r="BE285" s="45"/>
      <c r="BG285" s="45"/>
      <c r="BI285" s="45"/>
      <c r="BK285" s="45"/>
    </row>
    <row r="286" spans="26:63">
      <c r="Z286" s="55"/>
      <c r="BB286" s="55"/>
      <c r="BE286" s="45"/>
      <c r="BG286" s="45"/>
      <c r="BI286" s="45"/>
      <c r="BK286" s="45"/>
    </row>
    <row r="287" spans="26:63">
      <c r="Z287" s="55"/>
      <c r="BB287" s="55"/>
      <c r="BE287" s="45"/>
      <c r="BG287" s="45"/>
      <c r="BI287" s="45"/>
      <c r="BK287" s="45"/>
    </row>
    <row r="288" spans="26:63">
      <c r="Z288" s="55"/>
      <c r="BB288" s="55"/>
      <c r="BE288" s="45"/>
      <c r="BG288" s="45"/>
      <c r="BI288" s="45"/>
      <c r="BK288" s="45"/>
    </row>
    <row r="289" spans="26:63">
      <c r="Z289" s="55"/>
      <c r="BB289" s="55"/>
      <c r="BE289" s="45"/>
      <c r="BG289" s="45"/>
      <c r="BI289" s="45"/>
      <c r="BK289" s="45"/>
    </row>
    <row r="290" spans="26:63">
      <c r="Z290" s="55"/>
      <c r="BB290" s="55"/>
      <c r="BE290" s="45"/>
      <c r="BG290" s="45"/>
      <c r="BI290" s="45"/>
      <c r="BK290" s="45"/>
    </row>
    <row r="291" spans="26:63">
      <c r="Z291" s="55"/>
      <c r="BB291" s="55"/>
      <c r="BE291" s="45"/>
      <c r="BG291" s="45"/>
      <c r="BI291" s="45"/>
      <c r="BK291" s="45"/>
    </row>
    <row r="292" spans="26:63">
      <c r="Z292" s="55"/>
      <c r="BB292" s="55"/>
      <c r="BE292" s="45"/>
      <c r="BG292" s="45"/>
      <c r="BI292" s="45"/>
      <c r="BK292" s="45"/>
    </row>
    <row r="293" spans="26:63">
      <c r="Z293" s="55"/>
      <c r="BB293" s="55"/>
      <c r="BE293" s="45"/>
      <c r="BG293" s="45"/>
      <c r="BI293" s="45"/>
      <c r="BK293" s="45"/>
    </row>
    <row r="294" spans="26:63">
      <c r="Z294" s="55"/>
      <c r="BB294" s="55"/>
      <c r="BE294" s="45"/>
      <c r="BG294" s="45"/>
      <c r="BI294" s="45"/>
      <c r="BK294" s="45"/>
    </row>
    <row r="295" spans="26:63">
      <c r="Z295" s="55"/>
      <c r="BB295" s="55"/>
      <c r="BE295" s="45"/>
      <c r="BG295" s="45"/>
      <c r="BI295" s="45"/>
      <c r="BK295" s="45"/>
    </row>
    <row r="296" spans="26:63">
      <c r="Z296" s="55"/>
      <c r="BB296" s="55"/>
      <c r="BE296" s="45"/>
      <c r="BG296" s="45"/>
      <c r="BI296" s="45"/>
      <c r="BK296" s="45"/>
    </row>
    <row r="297" spans="26:63">
      <c r="Z297" s="55"/>
      <c r="BB297" s="55"/>
      <c r="BE297" s="45"/>
      <c r="BG297" s="45"/>
      <c r="BI297" s="45"/>
      <c r="BK297" s="45"/>
    </row>
    <row r="298" spans="26:63">
      <c r="Z298" s="55"/>
      <c r="BB298" s="55"/>
      <c r="BE298" s="45"/>
      <c r="BG298" s="45"/>
      <c r="BI298" s="45"/>
      <c r="BK298" s="45"/>
    </row>
    <row r="299" spans="26:63">
      <c r="Z299" s="55"/>
      <c r="BB299" s="55"/>
      <c r="BE299" s="45"/>
      <c r="BG299" s="45"/>
      <c r="BI299" s="45"/>
      <c r="BK299" s="45"/>
    </row>
    <row r="300" spans="26:63">
      <c r="Z300" s="55"/>
      <c r="BB300" s="55"/>
      <c r="BE300" s="45"/>
      <c r="BG300" s="45"/>
      <c r="BI300" s="45"/>
      <c r="BK300" s="45"/>
    </row>
    <row r="301" spans="26:63">
      <c r="Z301" s="55"/>
      <c r="BB301" s="55"/>
      <c r="BE301" s="45"/>
      <c r="BG301" s="45"/>
      <c r="BI301" s="45"/>
      <c r="BK301" s="45"/>
    </row>
    <row r="302" spans="26:63">
      <c r="Z302" s="55"/>
      <c r="BB302" s="55"/>
      <c r="BE302" s="45"/>
      <c r="BG302" s="45"/>
      <c r="BI302" s="45"/>
      <c r="BK302" s="45"/>
    </row>
    <row r="303" spans="26:63">
      <c r="Z303" s="55"/>
      <c r="BB303" s="55"/>
      <c r="BE303" s="45"/>
      <c r="BG303" s="45"/>
      <c r="BI303" s="45"/>
      <c r="BK303" s="45"/>
    </row>
    <row r="304" spans="26:63">
      <c r="Z304" s="55"/>
      <c r="BB304" s="55"/>
      <c r="BE304" s="45"/>
      <c r="BG304" s="45"/>
      <c r="BI304" s="45"/>
      <c r="BK304" s="45"/>
    </row>
    <row r="305" spans="26:63">
      <c r="Z305" s="55"/>
      <c r="BB305" s="55"/>
      <c r="BE305" s="45"/>
      <c r="BG305" s="45"/>
      <c r="BI305" s="45"/>
      <c r="BK305" s="45"/>
    </row>
    <row r="306" spans="26:63">
      <c r="Z306" s="55"/>
      <c r="BB306" s="55"/>
      <c r="BE306" s="45"/>
      <c r="BG306" s="45"/>
      <c r="BI306" s="45"/>
      <c r="BK306" s="45"/>
    </row>
    <row r="307" spans="26:63">
      <c r="Z307" s="55"/>
      <c r="BB307" s="55"/>
    </row>
    <row r="308" spans="26:63">
      <c r="Z308" s="55"/>
      <c r="BB308" s="55"/>
    </row>
    <row r="309" spans="26:63">
      <c r="Z309" s="55"/>
      <c r="BB309" s="55"/>
    </row>
    <row r="310" spans="26:63">
      <c r="Z310" s="55"/>
      <c r="BB310" s="55"/>
    </row>
  </sheetData>
  <mergeCells count="1">
    <mergeCell ref="Q6:U6"/>
  </mergeCells>
  <pageMargins left="0.7" right="0.7" top="0.75" bottom="0.75" header="0.3" footer="0.3"/>
  <pageSetup scale="90" firstPageNumber="114" orientation="portrait" useFirstPageNumber="1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F266"/>
  <sheetViews>
    <sheetView view="pageBreakPreview" zoomScale="60" zoomScaleNormal="10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A5" sqref="A5"/>
    </sheetView>
  </sheetViews>
  <sheetFormatPr defaultColWidth="9.140625" defaultRowHeight="12.75" customHeight="1"/>
  <cols>
    <col min="1" max="1" width="15.28515625" style="10" customWidth="1"/>
    <col min="2" max="2" width="1.7109375" style="10" customWidth="1"/>
    <col min="3" max="3" width="11" style="10" customWidth="1"/>
    <col min="4" max="4" width="1.7109375" style="10" customWidth="1"/>
    <col min="5" max="5" width="11.7109375" style="10" customWidth="1"/>
    <col min="6" max="6" width="1.7109375" style="10" customWidth="1"/>
    <col min="7" max="7" width="12.5703125" style="10" customWidth="1"/>
    <col min="8" max="8" width="1.7109375" style="10" customWidth="1"/>
    <col min="9" max="9" width="11.7109375" style="10" customWidth="1"/>
    <col min="10" max="10" width="2.7109375" style="10" customWidth="1"/>
    <col min="11" max="11" width="11.4257812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1.7109375" style="10" customWidth="1"/>
    <col min="20" max="20" width="1.7109375" style="10" customWidth="1"/>
    <col min="21" max="21" width="11.7109375" style="10" customWidth="1"/>
    <col min="22" max="22" width="1" style="10" customWidth="1"/>
    <col min="23" max="23" width="12.42578125" style="10" customWidth="1"/>
    <col min="24" max="24" width="1.7109375" style="10" customWidth="1"/>
    <col min="25" max="25" width="9" style="10" customWidth="1"/>
    <col min="26" max="26" width="1.7109375" style="10" customWidth="1"/>
    <col min="27" max="27" width="12.7109375" style="10" customWidth="1"/>
    <col min="28" max="28" width="2.7109375" style="10" customWidth="1"/>
    <col min="29" max="29" width="12.7109375" style="10" customWidth="1"/>
    <col min="30" max="30" width="9.5703125" style="10" bestFit="1" customWidth="1"/>
    <col min="31" max="31" width="11" style="10" bestFit="1" customWidth="1"/>
    <col min="32" max="16384" width="9.140625" style="10"/>
  </cols>
  <sheetData>
    <row r="1" spans="1:30" ht="12.75" customHeight="1">
      <c r="A1" s="9" t="s">
        <v>384</v>
      </c>
    </row>
    <row r="2" spans="1:30" ht="12.75" customHeight="1">
      <c r="A2" s="9" t="s">
        <v>500</v>
      </c>
    </row>
    <row r="3" spans="1:30" ht="12.75" customHeight="1">
      <c r="A3" s="9" t="s">
        <v>289</v>
      </c>
    </row>
    <row r="4" spans="1:30" ht="12.75" customHeight="1">
      <c r="A4" s="9"/>
    </row>
    <row r="5" spans="1:30" ht="12.75" customHeight="1">
      <c r="E5" s="13" t="s">
        <v>291</v>
      </c>
      <c r="F5" s="13"/>
      <c r="G5" s="13"/>
      <c r="H5" s="13"/>
      <c r="I5" s="13"/>
      <c r="K5" s="157" t="s">
        <v>470</v>
      </c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56"/>
      <c r="W5" s="15"/>
      <c r="X5" s="14"/>
      <c r="Y5" s="14"/>
      <c r="Z5" s="14"/>
      <c r="AA5" s="15" t="s">
        <v>425</v>
      </c>
      <c r="AC5" s="15" t="s">
        <v>426</v>
      </c>
    </row>
    <row r="6" spans="1:30" ht="12.75" customHeight="1">
      <c r="G6" s="12" t="s">
        <v>399</v>
      </c>
      <c r="V6" s="19"/>
      <c r="W6" s="18"/>
      <c r="AA6" s="15" t="s">
        <v>444</v>
      </c>
      <c r="AC6" s="15" t="s">
        <v>444</v>
      </c>
    </row>
    <row r="7" spans="1:30" ht="12.75" customHeight="1">
      <c r="A7" s="11"/>
      <c r="C7" s="11"/>
      <c r="D7" s="11"/>
      <c r="E7" s="12" t="s">
        <v>292</v>
      </c>
      <c r="F7" s="12"/>
      <c r="G7" s="12" t="s">
        <v>361</v>
      </c>
      <c r="H7" s="12"/>
      <c r="I7" s="12" t="s">
        <v>4</v>
      </c>
      <c r="K7" s="15" t="s">
        <v>293</v>
      </c>
      <c r="L7" s="15"/>
      <c r="M7" s="15" t="s">
        <v>303</v>
      </c>
      <c r="N7" s="15"/>
      <c r="O7" s="15" t="s">
        <v>304</v>
      </c>
      <c r="P7" s="15"/>
      <c r="Q7" s="15" t="s">
        <v>11</v>
      </c>
      <c r="R7" s="15"/>
      <c r="S7" s="12" t="s">
        <v>295</v>
      </c>
      <c r="T7" s="12"/>
      <c r="U7" s="12"/>
      <c r="V7" s="12"/>
      <c r="W7" s="12" t="s">
        <v>301</v>
      </c>
      <c r="X7" s="12"/>
      <c r="Y7" s="12" t="s">
        <v>328</v>
      </c>
      <c r="Z7" s="12"/>
      <c r="AA7" s="15" t="s">
        <v>445</v>
      </c>
      <c r="AB7" s="19"/>
      <c r="AC7" s="15" t="s">
        <v>445</v>
      </c>
    </row>
    <row r="8" spans="1:30" s="47" customFormat="1" ht="12.75" customHeight="1">
      <c r="A8" s="100" t="s">
        <v>8</v>
      </c>
      <c r="C8" s="100" t="s">
        <v>9</v>
      </c>
      <c r="D8" s="50"/>
      <c r="E8" s="16" t="s">
        <v>297</v>
      </c>
      <c r="F8" s="18"/>
      <c r="G8" s="16" t="s">
        <v>400</v>
      </c>
      <c r="H8" s="18"/>
      <c r="I8" s="16" t="s">
        <v>298</v>
      </c>
      <c r="K8" s="16" t="s">
        <v>423</v>
      </c>
      <c r="L8" s="18"/>
      <c r="M8" s="16" t="s">
        <v>299</v>
      </c>
      <c r="N8" s="18"/>
      <c r="O8" s="16" t="s">
        <v>299</v>
      </c>
      <c r="P8" s="18"/>
      <c r="Q8" s="16" t="s">
        <v>298</v>
      </c>
      <c r="R8" s="18"/>
      <c r="S8" s="16" t="s">
        <v>300</v>
      </c>
      <c r="T8" s="18"/>
      <c r="U8" s="16" t="s">
        <v>294</v>
      </c>
      <c r="V8" s="18"/>
      <c r="W8" s="16" t="s">
        <v>439</v>
      </c>
      <c r="X8" s="18"/>
      <c r="Y8" s="16" t="s">
        <v>443</v>
      </c>
      <c r="Z8" s="18"/>
      <c r="AA8" s="16" t="s">
        <v>446</v>
      </c>
      <c r="AB8" s="18"/>
      <c r="AC8" s="16" t="s">
        <v>446</v>
      </c>
    </row>
    <row r="9" spans="1:30" s="47" customFormat="1" ht="12.75" customHeight="1">
      <c r="A9" s="26"/>
      <c r="C9" s="26"/>
      <c r="D9" s="50"/>
      <c r="E9" s="18"/>
      <c r="F9" s="18"/>
      <c r="G9" s="18"/>
      <c r="H9" s="18"/>
      <c r="I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30" s="46" customFormat="1" ht="12.75" hidden="1" customHeight="1">
      <c r="A10" s="47" t="s">
        <v>12</v>
      </c>
      <c r="B10" s="47"/>
      <c r="C10" s="47" t="s">
        <v>13</v>
      </c>
      <c r="D10" s="47"/>
      <c r="E10" s="46">
        <v>0</v>
      </c>
      <c r="G10" s="46">
        <v>0</v>
      </c>
      <c r="I10" s="46">
        <v>0</v>
      </c>
      <c r="K10" s="46">
        <v>0</v>
      </c>
      <c r="M10" s="46">
        <v>0</v>
      </c>
      <c r="O10" s="46">
        <v>0</v>
      </c>
      <c r="Q10" s="46">
        <v>0</v>
      </c>
      <c r="S10" s="46">
        <v>0</v>
      </c>
      <c r="U10" s="46">
        <v>0</v>
      </c>
      <c r="W10" s="46">
        <v>0</v>
      </c>
      <c r="Y10" s="46">
        <v>0</v>
      </c>
      <c r="AA10" s="46">
        <f>SUM(K10:Y10)</f>
        <v>0</v>
      </c>
      <c r="AC10" s="46">
        <f t="shared" ref="AC10:AC78" si="0">SUM(E10:Y10)</f>
        <v>0</v>
      </c>
    </row>
    <row r="11" spans="1:30" s="44" customFormat="1" ht="12.75" customHeight="1">
      <c r="A11" s="44" t="s">
        <v>14</v>
      </c>
      <c r="C11" s="44" t="s">
        <v>15</v>
      </c>
      <c r="E11" s="46">
        <v>1183005</v>
      </c>
      <c r="F11" s="46"/>
      <c r="G11" s="46">
        <v>2241966</v>
      </c>
      <c r="H11" s="46"/>
      <c r="I11" s="46">
        <v>0</v>
      </c>
      <c r="J11" s="46"/>
      <c r="K11" s="46">
        <f>803757+76301+76301</f>
        <v>956359</v>
      </c>
      <c r="L11" s="46"/>
      <c r="M11" s="46">
        <f>7758136+432930+522190</f>
        <v>8713256</v>
      </c>
      <c r="N11" s="46"/>
      <c r="O11" s="46">
        <v>0</v>
      </c>
      <c r="P11" s="46"/>
      <c r="Q11" s="46">
        <v>4524885</v>
      </c>
      <c r="R11" s="46"/>
      <c r="S11" s="46">
        <v>10202</v>
      </c>
      <c r="T11" s="46"/>
      <c r="U11" s="46">
        <v>504111</v>
      </c>
      <c r="V11" s="46"/>
      <c r="W11" s="46">
        <v>0</v>
      </c>
      <c r="X11" s="46"/>
      <c r="Y11" s="46">
        <v>0</v>
      </c>
      <c r="Z11" s="46"/>
      <c r="AA11" s="46">
        <f t="shared" ref="AA11:AA68" si="1">SUM(K11:Y11)</f>
        <v>14708813</v>
      </c>
      <c r="AB11" s="46"/>
      <c r="AC11" s="46">
        <f t="shared" si="0"/>
        <v>18133784</v>
      </c>
    </row>
    <row r="12" spans="1:30" s="47" customFormat="1" ht="12.75" customHeight="1">
      <c r="A12" s="47" t="s">
        <v>16</v>
      </c>
      <c r="C12" s="47" t="s">
        <v>17</v>
      </c>
      <c r="E12" s="44">
        <v>536156</v>
      </c>
      <c r="F12" s="44"/>
      <c r="G12" s="44">
        <v>781528</v>
      </c>
      <c r="H12" s="44"/>
      <c r="I12" s="44">
        <v>16906</v>
      </c>
      <c r="J12" s="44"/>
      <c r="K12" s="44">
        <f>936250+208017+256654</f>
        <v>1400921</v>
      </c>
      <c r="L12" s="44"/>
      <c r="M12" s="44">
        <f>2968455+961087</f>
        <v>3929542</v>
      </c>
      <c r="N12" s="44"/>
      <c r="O12" s="44">
        <v>0</v>
      </c>
      <c r="P12" s="44"/>
      <c r="Q12" s="44">
        <v>694228</v>
      </c>
      <c r="R12" s="44"/>
      <c r="S12" s="44">
        <v>78161</v>
      </c>
      <c r="T12" s="44"/>
      <c r="U12" s="44">
        <f>192457+19522</f>
        <v>211979</v>
      </c>
      <c r="V12" s="44"/>
      <c r="W12" s="44">
        <v>0</v>
      </c>
      <c r="X12" s="44"/>
      <c r="Y12" s="44">
        <v>0</v>
      </c>
      <c r="Z12" s="44"/>
      <c r="AA12" s="44">
        <f t="shared" si="1"/>
        <v>6314831</v>
      </c>
      <c r="AB12" s="44"/>
      <c r="AC12" s="44">
        <f t="shared" si="0"/>
        <v>7649421</v>
      </c>
    </row>
    <row r="13" spans="1:30" s="46" customFormat="1" ht="12.75" customHeight="1">
      <c r="A13" s="47" t="s">
        <v>18</v>
      </c>
      <c r="B13" s="47"/>
      <c r="C13" s="47" t="s">
        <v>18</v>
      </c>
      <c r="D13" s="47"/>
      <c r="E13" s="44">
        <v>3650244</v>
      </c>
      <c r="F13" s="44"/>
      <c r="G13" s="44">
        <v>2361638</v>
      </c>
      <c r="H13" s="44"/>
      <c r="I13" s="44">
        <v>42698</v>
      </c>
      <c r="J13" s="44"/>
      <c r="K13" s="44">
        <f>523725+144646+181049+231687</f>
        <v>1081107</v>
      </c>
      <c r="L13" s="44"/>
      <c r="M13" s="44">
        <f>7141307+201855+584047</f>
        <v>7927209</v>
      </c>
      <c r="N13" s="44"/>
      <c r="O13" s="44">
        <v>0</v>
      </c>
      <c r="P13" s="44"/>
      <c r="Q13" s="44">
        <v>1424438</v>
      </c>
      <c r="R13" s="44"/>
      <c r="S13" s="44">
        <v>111566</v>
      </c>
      <c r="T13" s="44"/>
      <c r="U13" s="44">
        <f>30629+48486+290676</f>
        <v>369791</v>
      </c>
      <c r="V13" s="44"/>
      <c r="W13" s="44">
        <v>-171574</v>
      </c>
      <c r="X13" s="44"/>
      <c r="Y13" s="44">
        <v>0</v>
      </c>
      <c r="Z13" s="44"/>
      <c r="AA13" s="44">
        <f t="shared" si="1"/>
        <v>10742537</v>
      </c>
      <c r="AB13" s="44"/>
      <c r="AC13" s="44">
        <f t="shared" si="0"/>
        <v>16797117</v>
      </c>
    </row>
    <row r="14" spans="1:30" s="47" customFormat="1" ht="12.75" customHeight="1">
      <c r="A14" s="44" t="s">
        <v>19</v>
      </c>
      <c r="B14" s="46"/>
      <c r="C14" s="44" t="s">
        <v>19</v>
      </c>
      <c r="D14" s="44"/>
      <c r="E14" s="44">
        <v>3480909</v>
      </c>
      <c r="F14" s="44"/>
      <c r="G14" s="44">
        <v>1495747</v>
      </c>
      <c r="H14" s="44"/>
      <c r="I14" s="44">
        <v>129666</v>
      </c>
      <c r="J14" s="44"/>
      <c r="K14" s="44">
        <f>1154932+642014+493292</f>
        <v>2290238</v>
      </c>
      <c r="L14" s="44"/>
      <c r="M14" s="44">
        <f>4814382+548618</f>
        <v>5363000</v>
      </c>
      <c r="N14" s="44"/>
      <c r="O14" s="44">
        <f>242362</f>
        <v>242362</v>
      </c>
      <c r="P14" s="44"/>
      <c r="Q14" s="44">
        <v>1494131</v>
      </c>
      <c r="R14" s="44"/>
      <c r="S14" s="44">
        <v>5450</v>
      </c>
      <c r="T14" s="44"/>
      <c r="U14" s="44">
        <f>15415+7345</f>
        <v>22760</v>
      </c>
      <c r="V14" s="44"/>
      <c r="W14" s="44">
        <v>0</v>
      </c>
      <c r="X14" s="44"/>
      <c r="Y14" s="44">
        <v>0</v>
      </c>
      <c r="Z14" s="44"/>
      <c r="AA14" s="44">
        <f t="shared" si="1"/>
        <v>9417941</v>
      </c>
      <c r="AB14" s="44"/>
      <c r="AC14" s="44">
        <f t="shared" si="0"/>
        <v>14524263</v>
      </c>
    </row>
    <row r="15" spans="1:30" s="47" customFormat="1" ht="12.75" customHeight="1">
      <c r="A15" s="47" t="s">
        <v>20</v>
      </c>
      <c r="C15" s="47" t="s">
        <v>20</v>
      </c>
      <c r="E15" s="44">
        <v>4026470</v>
      </c>
      <c r="F15" s="44"/>
      <c r="G15" s="44">
        <v>1546184</v>
      </c>
      <c r="H15" s="44"/>
      <c r="I15" s="44">
        <v>4706517</v>
      </c>
      <c r="J15" s="44"/>
      <c r="K15" s="44">
        <v>1020106</v>
      </c>
      <c r="L15" s="44"/>
      <c r="M15" s="44">
        <f>8971680+630860+807521</f>
        <v>10410061</v>
      </c>
      <c r="N15" s="44"/>
      <c r="O15" s="44">
        <f>276384+453522</f>
        <v>729906</v>
      </c>
      <c r="P15" s="44"/>
      <c r="Q15" s="44">
        <v>1077317</v>
      </c>
      <c r="R15" s="44"/>
      <c r="S15" s="44">
        <v>97642</v>
      </c>
      <c r="T15" s="44"/>
      <c r="U15" s="44">
        <f>4480+408728</f>
        <v>413208</v>
      </c>
      <c r="V15" s="44"/>
      <c r="W15" s="44">
        <v>-50000</v>
      </c>
      <c r="X15" s="44"/>
      <c r="Y15" s="44">
        <v>0</v>
      </c>
      <c r="Z15" s="44"/>
      <c r="AA15" s="44">
        <f t="shared" si="1"/>
        <v>13698240</v>
      </c>
      <c r="AB15" s="44"/>
      <c r="AC15" s="44">
        <f t="shared" si="0"/>
        <v>23977411</v>
      </c>
    </row>
    <row r="16" spans="1:30" s="47" customFormat="1" ht="12.75" customHeight="1">
      <c r="A16" s="47" t="s">
        <v>21</v>
      </c>
      <c r="C16" s="47" t="s">
        <v>22</v>
      </c>
      <c r="E16" s="44">
        <v>729179</v>
      </c>
      <c r="F16" s="44"/>
      <c r="G16" s="44">
        <v>1146088</v>
      </c>
      <c r="H16" s="44"/>
      <c r="I16" s="44">
        <v>2901004</v>
      </c>
      <c r="J16" s="44"/>
      <c r="K16" s="44">
        <f>4223057+394924</f>
        <v>4617981</v>
      </c>
      <c r="L16" s="44"/>
      <c r="M16" s="44">
        <f>9204022+600000</f>
        <v>9804022</v>
      </c>
      <c r="N16" s="44"/>
      <c r="O16" s="44">
        <v>0</v>
      </c>
      <c r="P16" s="44"/>
      <c r="Q16" s="44">
        <v>712266</v>
      </c>
      <c r="R16" s="44"/>
      <c r="S16" s="44">
        <v>127086</v>
      </c>
      <c r="T16" s="44"/>
      <c r="U16" s="44">
        <v>29292</v>
      </c>
      <c r="V16" s="44"/>
      <c r="W16" s="44">
        <v>-44413</v>
      </c>
      <c r="X16" s="44"/>
      <c r="Y16" s="44">
        <v>0</v>
      </c>
      <c r="Z16" s="44"/>
      <c r="AA16" s="44">
        <f t="shared" si="1"/>
        <v>15246234</v>
      </c>
      <c r="AB16" s="44"/>
      <c r="AC16" s="44">
        <f t="shared" si="0"/>
        <v>20022505</v>
      </c>
      <c r="AD16" s="44"/>
    </row>
    <row r="17" spans="1:31" s="47" customFormat="1" ht="12.75" customHeight="1">
      <c r="A17" s="47" t="s">
        <v>23</v>
      </c>
      <c r="C17" s="47" t="s">
        <v>17</v>
      </c>
      <c r="E17" s="44">
        <v>1855038</v>
      </c>
      <c r="F17" s="44"/>
      <c r="G17" s="44">
        <v>1773562</v>
      </c>
      <c r="H17" s="44"/>
      <c r="I17" s="44">
        <v>0</v>
      </c>
      <c r="J17" s="44"/>
      <c r="K17" s="44">
        <f>1496579+1223635+613253+289808+78640+559583</f>
        <v>4261498</v>
      </c>
      <c r="L17" s="44"/>
      <c r="M17" s="44">
        <f>4692358+3386770+1179680</f>
        <v>9258808</v>
      </c>
      <c r="N17" s="44"/>
      <c r="O17" s="44">
        <v>1319031</v>
      </c>
      <c r="P17" s="44"/>
      <c r="Q17" s="44">
        <v>1837467</v>
      </c>
      <c r="R17" s="44"/>
      <c r="S17" s="44">
        <v>293374</v>
      </c>
      <c r="T17" s="44"/>
      <c r="U17" s="44">
        <v>607322</v>
      </c>
      <c r="V17" s="44"/>
      <c r="W17" s="44">
        <v>164191</v>
      </c>
      <c r="X17" s="44"/>
      <c r="Y17" s="44">
        <v>0</v>
      </c>
      <c r="Z17" s="44"/>
      <c r="AA17" s="44">
        <f t="shared" si="1"/>
        <v>17741691</v>
      </c>
      <c r="AB17" s="44"/>
      <c r="AC17" s="44">
        <f t="shared" si="0"/>
        <v>21370291</v>
      </c>
    </row>
    <row r="18" spans="1:31" s="47" customFormat="1" ht="12.75" hidden="1" customHeight="1">
      <c r="A18" s="47" t="s">
        <v>24</v>
      </c>
      <c r="C18" s="47" t="s">
        <v>17</v>
      </c>
      <c r="E18" s="44">
        <v>0</v>
      </c>
      <c r="F18" s="44"/>
      <c r="G18" s="44">
        <v>0</v>
      </c>
      <c r="H18" s="44"/>
      <c r="I18" s="44">
        <v>0</v>
      </c>
      <c r="J18" s="44"/>
      <c r="K18" s="44">
        <v>0</v>
      </c>
      <c r="L18" s="44"/>
      <c r="M18" s="44">
        <v>0</v>
      </c>
      <c r="N18" s="44"/>
      <c r="O18" s="44">
        <v>0</v>
      </c>
      <c r="P18" s="44"/>
      <c r="Q18" s="44">
        <v>0</v>
      </c>
      <c r="R18" s="44"/>
      <c r="S18" s="44">
        <v>0</v>
      </c>
      <c r="T18" s="44"/>
      <c r="U18" s="44">
        <v>0</v>
      </c>
      <c r="V18" s="44"/>
      <c r="W18" s="44">
        <v>0</v>
      </c>
      <c r="X18" s="44"/>
      <c r="Y18" s="44">
        <v>0</v>
      </c>
      <c r="Z18" s="44"/>
      <c r="AA18" s="44">
        <f t="shared" si="1"/>
        <v>0</v>
      </c>
      <c r="AB18" s="44"/>
      <c r="AC18" s="44">
        <f t="shared" si="0"/>
        <v>0</v>
      </c>
    </row>
    <row r="19" spans="1:31" s="47" customFormat="1" ht="12.75" customHeight="1">
      <c r="A19" s="47" t="s">
        <v>25</v>
      </c>
      <c r="C19" s="47" t="s">
        <v>13</v>
      </c>
      <c r="E19" s="44">
        <v>3153495</v>
      </c>
      <c r="F19" s="44"/>
      <c r="G19" s="44">
        <v>5092156</v>
      </c>
      <c r="H19" s="44"/>
      <c r="I19" s="44">
        <v>67564</v>
      </c>
      <c r="J19" s="44"/>
      <c r="K19" s="44">
        <f>1272525+259904+103960+103960</f>
        <v>1740349</v>
      </c>
      <c r="L19" s="44"/>
      <c r="M19" s="44">
        <v>11310138</v>
      </c>
      <c r="N19" s="44"/>
      <c r="O19" s="44">
        <v>0</v>
      </c>
      <c r="P19" s="44"/>
      <c r="Q19" s="44">
        <v>2571074</v>
      </c>
      <c r="R19" s="44"/>
      <c r="S19" s="44">
        <v>40544</v>
      </c>
      <c r="T19" s="44"/>
      <c r="U19" s="44">
        <v>350631</v>
      </c>
      <c r="V19" s="44"/>
      <c r="W19" s="44">
        <v>0</v>
      </c>
      <c r="X19" s="44"/>
      <c r="Y19" s="44">
        <v>0</v>
      </c>
      <c r="Z19" s="44"/>
      <c r="AA19" s="44">
        <f t="shared" si="1"/>
        <v>16012736</v>
      </c>
      <c r="AB19" s="44"/>
      <c r="AC19" s="44">
        <f t="shared" si="0"/>
        <v>24325951</v>
      </c>
    </row>
    <row r="20" spans="1:31" s="47" customFormat="1" ht="12.75" customHeight="1">
      <c r="A20" s="47" t="s">
        <v>26</v>
      </c>
      <c r="C20" s="47" t="s">
        <v>27</v>
      </c>
      <c r="E20" s="44">
        <v>1527096</v>
      </c>
      <c r="F20" s="44"/>
      <c r="G20" s="44">
        <v>835587</v>
      </c>
      <c r="H20" s="44"/>
      <c r="I20" s="44">
        <v>789313</v>
      </c>
      <c r="J20" s="44"/>
      <c r="K20" s="44">
        <f>3635222+732228+216350+129808+50375+1662979</f>
        <v>6426962</v>
      </c>
      <c r="L20" s="44"/>
      <c r="M20" s="44">
        <f>4845936+103105+206210</f>
        <v>5155251</v>
      </c>
      <c r="N20" s="44"/>
      <c r="O20" s="44">
        <v>0</v>
      </c>
      <c r="P20" s="44"/>
      <c r="Q20" s="44">
        <v>2179556</v>
      </c>
      <c r="R20" s="44"/>
      <c r="S20" s="44">
        <v>59354</v>
      </c>
      <c r="T20" s="44"/>
      <c r="U20" s="44">
        <f>35227+470000-1353266</f>
        <v>-848039</v>
      </c>
      <c r="V20" s="44"/>
      <c r="W20" s="44">
        <v>-174653</v>
      </c>
      <c r="X20" s="44"/>
      <c r="Y20" s="44">
        <v>95314</v>
      </c>
      <c r="Z20" s="44"/>
      <c r="AA20" s="44">
        <f t="shared" si="1"/>
        <v>12893745</v>
      </c>
      <c r="AB20" s="44"/>
      <c r="AC20" s="44">
        <f t="shared" si="0"/>
        <v>16045741</v>
      </c>
      <c r="AD20" s="44"/>
    </row>
    <row r="21" spans="1:31" s="47" customFormat="1" ht="12.75" customHeight="1">
      <c r="A21" s="47" t="s">
        <v>28</v>
      </c>
      <c r="C21" s="47" t="s">
        <v>27</v>
      </c>
      <c r="E21" s="44">
        <v>3487660</v>
      </c>
      <c r="F21" s="44"/>
      <c r="G21" s="44">
        <v>610933</v>
      </c>
      <c r="H21" s="44"/>
      <c r="I21" s="44">
        <v>0</v>
      </c>
      <c r="J21" s="44"/>
      <c r="K21" s="44">
        <f>2677944+198870</f>
        <v>2876814</v>
      </c>
      <c r="L21" s="44"/>
      <c r="M21" s="44">
        <v>17577324</v>
      </c>
      <c r="N21" s="44"/>
      <c r="O21" s="44">
        <f>1132370+2008052</f>
        <v>3140422</v>
      </c>
      <c r="P21" s="44"/>
      <c r="Q21" s="44">
        <v>672345</v>
      </c>
      <c r="R21" s="44"/>
      <c r="S21" s="44">
        <v>518573</v>
      </c>
      <c r="T21" s="44"/>
      <c r="U21" s="44">
        <v>229056</v>
      </c>
      <c r="V21" s="44"/>
      <c r="W21" s="44">
        <v>0</v>
      </c>
      <c r="X21" s="44"/>
      <c r="Y21" s="44">
        <v>0</v>
      </c>
      <c r="Z21" s="44"/>
      <c r="AA21" s="44">
        <f t="shared" si="1"/>
        <v>25014534</v>
      </c>
      <c r="AB21" s="44"/>
      <c r="AC21" s="44">
        <f t="shared" si="0"/>
        <v>29113127</v>
      </c>
      <c r="AD21" s="44"/>
    </row>
    <row r="22" spans="1:31" s="47" customFormat="1" ht="12.75" customHeight="1">
      <c r="A22" s="47" t="s">
        <v>29</v>
      </c>
      <c r="C22" s="47" t="s">
        <v>30</v>
      </c>
      <c r="E22" s="44">
        <v>2754373</v>
      </c>
      <c r="F22" s="44"/>
      <c r="G22" s="44">
        <v>5481596</v>
      </c>
      <c r="H22" s="44"/>
      <c r="I22" s="44">
        <v>2625821</v>
      </c>
      <c r="J22" s="44"/>
      <c r="K22" s="44">
        <f>1351399+10011061+487307</f>
        <v>11849767</v>
      </c>
      <c r="L22" s="44"/>
      <c r="M22" s="44">
        <v>0</v>
      </c>
      <c r="N22" s="44"/>
      <c r="O22" s="44">
        <v>0</v>
      </c>
      <c r="P22" s="44"/>
      <c r="Q22" s="44">
        <v>2328676</v>
      </c>
      <c r="R22" s="44"/>
      <c r="S22" s="44">
        <v>63700</v>
      </c>
      <c r="T22" s="44"/>
      <c r="U22" s="44">
        <f>350+138125</f>
        <v>138475</v>
      </c>
      <c r="V22" s="44"/>
      <c r="W22" s="44">
        <v>-908987</v>
      </c>
      <c r="X22" s="44"/>
      <c r="Y22" s="44">
        <v>0</v>
      </c>
      <c r="Z22" s="44"/>
      <c r="AA22" s="44">
        <f t="shared" si="1"/>
        <v>13471631</v>
      </c>
      <c r="AB22" s="44"/>
      <c r="AC22" s="44">
        <f t="shared" si="0"/>
        <v>24333421</v>
      </c>
      <c r="AD22" s="44"/>
    </row>
    <row r="23" spans="1:31" s="47" customFormat="1" ht="12.75" customHeight="1">
      <c r="A23" s="47" t="s">
        <v>31</v>
      </c>
      <c r="C23" s="47" t="s">
        <v>27</v>
      </c>
      <c r="E23" s="44">
        <v>3026874</v>
      </c>
      <c r="F23" s="44"/>
      <c r="G23" s="44">
        <v>3317598</v>
      </c>
      <c r="H23" s="44"/>
      <c r="I23" s="44">
        <v>24856</v>
      </c>
      <c r="J23" s="44"/>
      <c r="K23" s="44">
        <f>2306766+3016795</f>
        <v>5323561</v>
      </c>
      <c r="L23" s="44"/>
      <c r="M23" s="44">
        <f>8145582+657234</f>
        <v>8802816</v>
      </c>
      <c r="N23" s="44"/>
      <c r="O23" s="44">
        <v>0</v>
      </c>
      <c r="P23" s="44"/>
      <c r="Q23" s="44">
        <v>1406412</v>
      </c>
      <c r="R23" s="44"/>
      <c r="S23" s="44">
        <v>37698</v>
      </c>
      <c r="T23" s="44"/>
      <c r="U23" s="44">
        <f>4957+172198</f>
        <v>177155</v>
      </c>
      <c r="V23" s="44"/>
      <c r="W23" s="44">
        <v>0</v>
      </c>
      <c r="X23" s="44"/>
      <c r="Y23" s="44">
        <v>0</v>
      </c>
      <c r="Z23" s="44"/>
      <c r="AA23" s="44">
        <f t="shared" si="1"/>
        <v>15747642</v>
      </c>
      <c r="AB23" s="44"/>
      <c r="AC23" s="44">
        <f t="shared" si="0"/>
        <v>22116970</v>
      </c>
    </row>
    <row r="24" spans="1:31" s="47" customFormat="1" ht="12.75" customHeight="1">
      <c r="A24" s="47" t="s">
        <v>32</v>
      </c>
      <c r="C24" s="47" t="s">
        <v>27</v>
      </c>
      <c r="E24" s="44">
        <v>4133141</v>
      </c>
      <c r="F24" s="44"/>
      <c r="G24" s="44">
        <v>54932</v>
      </c>
      <c r="H24" s="44"/>
      <c r="I24" s="44">
        <v>203979</v>
      </c>
      <c r="J24" s="44"/>
      <c r="K24" s="44">
        <f>1344347+1012466+454880+454881</f>
        <v>3266574</v>
      </c>
      <c r="L24" s="44"/>
      <c r="M24" s="44">
        <v>7353761</v>
      </c>
      <c r="N24" s="44"/>
      <c r="O24" s="44">
        <v>0</v>
      </c>
      <c r="P24" s="44"/>
      <c r="Q24" s="44">
        <v>2131659</v>
      </c>
      <c r="R24" s="44"/>
      <c r="S24" s="44">
        <v>2861</v>
      </c>
      <c r="T24" s="44"/>
      <c r="U24" s="44">
        <v>65428</v>
      </c>
      <c r="V24" s="44"/>
      <c r="W24" s="44">
        <v>-121000</v>
      </c>
      <c r="X24" s="44"/>
      <c r="Y24" s="44">
        <v>0</v>
      </c>
      <c r="Z24" s="44"/>
      <c r="AA24" s="44">
        <f t="shared" si="1"/>
        <v>12699283</v>
      </c>
      <c r="AB24" s="44"/>
      <c r="AC24" s="44">
        <f t="shared" si="0"/>
        <v>17091335</v>
      </c>
    </row>
    <row r="25" spans="1:31" s="47" customFormat="1" ht="12.75" customHeight="1">
      <c r="A25" s="47" t="s">
        <v>34</v>
      </c>
      <c r="C25" s="47" t="s">
        <v>30</v>
      </c>
      <c r="E25" s="44">
        <v>166856</v>
      </c>
      <c r="F25" s="44"/>
      <c r="G25" s="44">
        <v>437055</v>
      </c>
      <c r="H25" s="44"/>
      <c r="I25" s="44">
        <v>486913</v>
      </c>
      <c r="J25" s="44"/>
      <c r="K25" s="44">
        <v>2594779</v>
      </c>
      <c r="L25" s="44"/>
      <c r="M25" s="44">
        <v>0</v>
      </c>
      <c r="N25" s="44"/>
      <c r="O25" s="44">
        <v>233683</v>
      </c>
      <c r="P25" s="44"/>
      <c r="Q25" s="44">
        <v>752395</v>
      </c>
      <c r="R25" s="44"/>
      <c r="S25" s="44">
        <v>8860</v>
      </c>
      <c r="T25" s="44"/>
      <c r="U25" s="44">
        <v>75537</v>
      </c>
      <c r="V25" s="44"/>
      <c r="W25" s="44">
        <v>0</v>
      </c>
      <c r="X25" s="44"/>
      <c r="Y25" s="44">
        <v>0</v>
      </c>
      <c r="Z25" s="44"/>
      <c r="AA25" s="44">
        <f t="shared" si="1"/>
        <v>3665254</v>
      </c>
      <c r="AB25" s="44"/>
      <c r="AC25" s="44">
        <f t="shared" si="0"/>
        <v>4756078</v>
      </c>
    </row>
    <row r="26" spans="1:31" s="47" customFormat="1" ht="12.75" customHeight="1">
      <c r="A26" s="47" t="s">
        <v>35</v>
      </c>
      <c r="C26" s="47" t="s">
        <v>36</v>
      </c>
      <c r="E26" s="44">
        <v>799956</v>
      </c>
      <c r="F26" s="44"/>
      <c r="G26" s="44">
        <v>2215787</v>
      </c>
      <c r="H26" s="44"/>
      <c r="I26" s="44">
        <v>435064</v>
      </c>
      <c r="J26" s="44"/>
      <c r="K26" s="44">
        <v>578192</v>
      </c>
      <c r="L26" s="44"/>
      <c r="M26" s="44">
        <v>4888913</v>
      </c>
      <c r="N26" s="44"/>
      <c r="O26" s="44">
        <f>43905+114432</f>
        <v>158337</v>
      </c>
      <c r="P26" s="44"/>
      <c r="Q26" s="44">
        <v>685791</v>
      </c>
      <c r="R26" s="44"/>
      <c r="S26" s="44">
        <v>70684</v>
      </c>
      <c r="T26" s="44"/>
      <c r="U26" s="44">
        <v>145818</v>
      </c>
      <c r="V26" s="44"/>
      <c r="W26" s="44">
        <v>-306000</v>
      </c>
      <c r="X26" s="44"/>
      <c r="Y26" s="44">
        <v>0</v>
      </c>
      <c r="Z26" s="44"/>
      <c r="AA26" s="44">
        <f t="shared" si="1"/>
        <v>6221735</v>
      </c>
      <c r="AB26" s="44"/>
      <c r="AC26" s="44">
        <f t="shared" si="0"/>
        <v>9672542</v>
      </c>
    </row>
    <row r="27" spans="1:31" s="47" customFormat="1" ht="12.75" customHeight="1">
      <c r="A27" s="47" t="s">
        <v>37</v>
      </c>
      <c r="C27" s="47" t="s">
        <v>38</v>
      </c>
      <c r="E27" s="44">
        <v>456660</v>
      </c>
      <c r="F27" s="44"/>
      <c r="G27" s="44">
        <v>588434</v>
      </c>
      <c r="H27" s="44"/>
      <c r="I27" s="44">
        <v>345558</v>
      </c>
      <c r="J27" s="44"/>
      <c r="K27" s="44">
        <v>1091823</v>
      </c>
      <c r="L27" s="44"/>
      <c r="M27" s="44">
        <v>3552330</v>
      </c>
      <c r="N27" s="44"/>
      <c r="O27" s="44">
        <v>0</v>
      </c>
      <c r="P27" s="44"/>
      <c r="Q27" s="44">
        <v>275578</v>
      </c>
      <c r="R27" s="44"/>
      <c r="S27" s="44">
        <v>32142</v>
      </c>
      <c r="T27" s="44"/>
      <c r="U27" s="44">
        <v>70517</v>
      </c>
      <c r="V27" s="44"/>
      <c r="W27" s="44">
        <v>-295</v>
      </c>
      <c r="X27" s="44"/>
      <c r="Y27" s="44">
        <v>0</v>
      </c>
      <c r="Z27" s="44"/>
      <c r="AA27" s="44">
        <f t="shared" si="1"/>
        <v>5022095</v>
      </c>
      <c r="AB27" s="44"/>
      <c r="AC27" s="44">
        <f t="shared" si="0"/>
        <v>6412747</v>
      </c>
      <c r="AD27" s="47">
        <f>456660+588434+345558+5022095</f>
        <v>6412747</v>
      </c>
    </row>
    <row r="28" spans="1:31" s="47" customFormat="1" ht="12.75" customHeight="1">
      <c r="A28" s="47" t="s">
        <v>39</v>
      </c>
      <c r="C28" s="47" t="s">
        <v>40</v>
      </c>
      <c r="E28" s="44">
        <v>625282</v>
      </c>
      <c r="F28" s="44"/>
      <c r="G28" s="44">
        <v>533253</v>
      </c>
      <c r="H28" s="44"/>
      <c r="I28" s="44">
        <v>5000</v>
      </c>
      <c r="J28" s="44"/>
      <c r="K28" s="44">
        <v>255603</v>
      </c>
      <c r="L28" s="44"/>
      <c r="M28" s="44">
        <v>939134</v>
      </c>
      <c r="N28" s="44"/>
      <c r="O28" s="44">
        <v>122291</v>
      </c>
      <c r="P28" s="44"/>
      <c r="Q28" s="44">
        <v>393613</v>
      </c>
      <c r="R28" s="44"/>
      <c r="S28" s="44">
        <v>8671</v>
      </c>
      <c r="T28" s="44"/>
      <c r="U28" s="44">
        <f>1000+30492</f>
        <v>31492</v>
      </c>
      <c r="V28" s="44"/>
      <c r="W28" s="44">
        <v>0</v>
      </c>
      <c r="X28" s="44"/>
      <c r="Y28" s="44">
        <v>0</v>
      </c>
      <c r="Z28" s="44"/>
      <c r="AA28" s="44">
        <f t="shared" si="1"/>
        <v>1750804</v>
      </c>
      <c r="AB28" s="44"/>
      <c r="AC28" s="44">
        <f t="shared" si="0"/>
        <v>2914339</v>
      </c>
    </row>
    <row r="29" spans="1:31" s="47" customFormat="1" ht="12.75" customHeight="1">
      <c r="A29" s="47" t="s">
        <v>41</v>
      </c>
      <c r="C29" s="47" t="s">
        <v>27</v>
      </c>
      <c r="E29" s="44">
        <v>4529589</v>
      </c>
      <c r="F29" s="44"/>
      <c r="G29" s="44">
        <v>1095390</v>
      </c>
      <c r="H29" s="44"/>
      <c r="I29" s="44">
        <v>3418094</v>
      </c>
      <c r="J29" s="44"/>
      <c r="K29" s="44">
        <f>1572247+730106+1580038</f>
        <v>3882391</v>
      </c>
      <c r="L29" s="44"/>
      <c r="M29" s="44">
        <v>10479704</v>
      </c>
      <c r="N29" s="44"/>
      <c r="O29" s="44">
        <v>283047</v>
      </c>
      <c r="P29" s="44"/>
      <c r="Q29" s="44">
        <v>2307793</v>
      </c>
      <c r="R29" s="44"/>
      <c r="S29" s="44">
        <v>136442</v>
      </c>
      <c r="T29" s="44"/>
      <c r="U29" s="44">
        <v>201081</v>
      </c>
      <c r="V29" s="44"/>
      <c r="W29" s="44">
        <v>32922</v>
      </c>
      <c r="X29" s="44"/>
      <c r="Y29" s="44">
        <v>0</v>
      </c>
      <c r="Z29" s="44"/>
      <c r="AA29" s="44">
        <f t="shared" si="1"/>
        <v>17323380</v>
      </c>
      <c r="AB29" s="44"/>
      <c r="AC29" s="44">
        <f t="shared" si="0"/>
        <v>26366453</v>
      </c>
    </row>
    <row r="30" spans="1:31" s="47" customFormat="1" ht="12.75" customHeight="1">
      <c r="A30" s="47" t="s">
        <v>42</v>
      </c>
      <c r="C30" s="47" t="s">
        <v>43</v>
      </c>
      <c r="E30" s="44">
        <v>1162072</v>
      </c>
      <c r="F30" s="44"/>
      <c r="G30" s="44">
        <v>752056</v>
      </c>
      <c r="H30" s="44"/>
      <c r="I30" s="44">
        <v>906823</v>
      </c>
      <c r="J30" s="44"/>
      <c r="K30" s="44">
        <f>672598+744645+381825</f>
        <v>1799068</v>
      </c>
      <c r="L30" s="44"/>
      <c r="M30" s="44">
        <v>6196818</v>
      </c>
      <c r="N30" s="44"/>
      <c r="O30" s="44">
        <f>112897+172768</f>
        <v>285665</v>
      </c>
      <c r="P30" s="44"/>
      <c r="Q30" s="44">
        <v>2954631</v>
      </c>
      <c r="R30" s="44"/>
      <c r="S30" s="44">
        <v>155837</v>
      </c>
      <c r="T30" s="44"/>
      <c r="U30" s="44">
        <v>77227</v>
      </c>
      <c r="V30" s="44"/>
      <c r="W30" s="44">
        <v>896230</v>
      </c>
      <c r="X30" s="44"/>
      <c r="Y30" s="44">
        <v>0</v>
      </c>
      <c r="Z30" s="44"/>
      <c r="AA30" s="44">
        <f t="shared" si="1"/>
        <v>12365476</v>
      </c>
      <c r="AB30" s="44"/>
      <c r="AC30" s="44">
        <f t="shared" si="0"/>
        <v>15186427</v>
      </c>
    </row>
    <row r="31" spans="1:31" s="47" customFormat="1" ht="12.75" customHeight="1">
      <c r="A31" s="47" t="s">
        <v>44</v>
      </c>
      <c r="C31" s="47" t="s">
        <v>45</v>
      </c>
      <c r="E31" s="44">
        <v>1341158</v>
      </c>
      <c r="F31" s="44"/>
      <c r="G31" s="44">
        <v>1037723</v>
      </c>
      <c r="H31" s="44"/>
      <c r="I31" s="44">
        <v>65390</v>
      </c>
      <c r="J31" s="44"/>
      <c r="K31" s="44">
        <f>2122642+1172283</f>
        <v>3294925</v>
      </c>
      <c r="L31" s="44"/>
      <c r="M31" s="44">
        <v>27380888</v>
      </c>
      <c r="N31" s="44"/>
      <c r="O31" s="44">
        <v>875608</v>
      </c>
      <c r="P31" s="44"/>
      <c r="Q31" s="44">
        <v>3201037</v>
      </c>
      <c r="R31" s="44"/>
      <c r="S31" s="44">
        <v>28331</v>
      </c>
      <c r="T31" s="44"/>
      <c r="U31" s="44">
        <v>1129099</v>
      </c>
      <c r="V31" s="44"/>
      <c r="W31" s="44">
        <v>-381159</v>
      </c>
      <c r="X31" s="44"/>
      <c r="Y31" s="44">
        <v>0</v>
      </c>
      <c r="Z31" s="44"/>
      <c r="AA31" s="44">
        <f t="shared" si="1"/>
        <v>35528729</v>
      </c>
      <c r="AB31" s="44"/>
      <c r="AC31" s="44">
        <f t="shared" si="0"/>
        <v>37973000</v>
      </c>
    </row>
    <row r="32" spans="1:31" s="47" customFormat="1" ht="12.75" customHeight="1">
      <c r="A32" s="47" t="s">
        <v>46</v>
      </c>
      <c r="C32" s="47" t="s">
        <v>47</v>
      </c>
      <c r="E32" s="44">
        <v>4047565</v>
      </c>
      <c r="F32" s="44"/>
      <c r="G32" s="44">
        <v>4194499</v>
      </c>
      <c r="H32" s="44"/>
      <c r="I32" s="44">
        <v>3979482</v>
      </c>
      <c r="J32" s="44"/>
      <c r="K32" s="44">
        <f>1618567+554603</f>
        <v>2173170</v>
      </c>
      <c r="L32" s="44"/>
      <c r="M32" s="44">
        <f>5817116+387784+3046346+3878053+1551280</f>
        <v>14680579</v>
      </c>
      <c r="N32" s="44"/>
      <c r="O32" s="44">
        <f>1896077+297554</f>
        <v>2193631</v>
      </c>
      <c r="P32" s="44"/>
      <c r="Q32" s="44">
        <v>4398155</v>
      </c>
      <c r="R32" s="44"/>
      <c r="S32" s="44">
        <v>446531</v>
      </c>
      <c r="T32" s="44"/>
      <c r="U32" s="44">
        <v>425284</v>
      </c>
      <c r="V32" s="44"/>
      <c r="W32" s="44">
        <v>-10790983</v>
      </c>
      <c r="X32" s="44"/>
      <c r="Y32" s="44">
        <v>0</v>
      </c>
      <c r="Z32" s="44"/>
      <c r="AA32" s="44">
        <f t="shared" si="1"/>
        <v>13526367</v>
      </c>
      <c r="AB32" s="44"/>
      <c r="AC32" s="44">
        <f t="shared" si="0"/>
        <v>25747913</v>
      </c>
      <c r="AE32" s="44"/>
    </row>
    <row r="33" spans="1:30" s="47" customFormat="1" ht="12.75" customHeight="1">
      <c r="A33" s="47" t="s">
        <v>48</v>
      </c>
      <c r="C33" s="47" t="s">
        <v>27</v>
      </c>
      <c r="E33" s="44">
        <v>2077245</v>
      </c>
      <c r="F33" s="44"/>
      <c r="G33" s="44">
        <v>1233555</v>
      </c>
      <c r="H33" s="44"/>
      <c r="I33" s="44">
        <v>1376781</v>
      </c>
      <c r="J33" s="44"/>
      <c r="K33" s="44">
        <f>1817177+1779370+523345+157003+17</f>
        <v>4276912</v>
      </c>
      <c r="L33" s="44"/>
      <c r="M33" s="44">
        <f>11932814+2280000</f>
        <v>14212814</v>
      </c>
      <c r="N33" s="44"/>
      <c r="O33" s="44">
        <v>0</v>
      </c>
      <c r="P33" s="44"/>
      <c r="Q33" s="44">
        <v>1074764</v>
      </c>
      <c r="R33" s="44"/>
      <c r="S33" s="44">
        <v>320959</v>
      </c>
      <c r="T33" s="44"/>
      <c r="U33" s="44">
        <f>13730+501889</f>
        <v>515619</v>
      </c>
      <c r="V33" s="44"/>
      <c r="W33" s="44">
        <v>0</v>
      </c>
      <c r="X33" s="44"/>
      <c r="Y33" s="44">
        <v>0</v>
      </c>
      <c r="Z33" s="44"/>
      <c r="AA33" s="44">
        <f t="shared" si="1"/>
        <v>20401068</v>
      </c>
      <c r="AB33" s="44"/>
      <c r="AC33" s="44">
        <f t="shared" si="0"/>
        <v>25088649</v>
      </c>
    </row>
    <row r="34" spans="1:30" s="47" customFormat="1" ht="12.75" customHeight="1">
      <c r="A34" s="47" t="s">
        <v>49</v>
      </c>
      <c r="C34" s="47" t="s">
        <v>27</v>
      </c>
      <c r="E34" s="44">
        <v>2958172</v>
      </c>
      <c r="F34" s="44"/>
      <c r="G34" s="44">
        <v>938467</v>
      </c>
      <c r="H34" s="44"/>
      <c r="I34" s="44">
        <v>978994</v>
      </c>
      <c r="J34" s="44"/>
      <c r="K34" s="44">
        <f>1502485+1995468+54837</f>
        <v>3552790</v>
      </c>
      <c r="L34" s="44"/>
      <c r="M34" s="44">
        <f>6556180+292879+1478778</f>
        <v>8327837</v>
      </c>
      <c r="N34" s="44"/>
      <c r="O34" s="44">
        <v>3333</v>
      </c>
      <c r="P34" s="44"/>
      <c r="Q34" s="44">
        <v>2032828</v>
      </c>
      <c r="R34" s="44"/>
      <c r="S34" s="44">
        <v>2284</v>
      </c>
      <c r="T34" s="44"/>
      <c r="U34" s="44">
        <v>914279</v>
      </c>
      <c r="V34" s="44"/>
      <c r="W34" s="44">
        <v>0</v>
      </c>
      <c r="X34" s="44"/>
      <c r="Y34" s="44">
        <v>0</v>
      </c>
      <c r="Z34" s="44"/>
      <c r="AA34" s="44">
        <f t="shared" si="1"/>
        <v>14833351</v>
      </c>
      <c r="AB34" s="44"/>
      <c r="AC34" s="44">
        <f t="shared" si="0"/>
        <v>19708984</v>
      </c>
    </row>
    <row r="35" spans="1:30" s="47" customFormat="1" ht="12.75" customHeight="1">
      <c r="A35" s="47" t="s">
        <v>50</v>
      </c>
      <c r="C35" s="47" t="s">
        <v>27</v>
      </c>
      <c r="E35" s="44">
        <v>3770658</v>
      </c>
      <c r="F35" s="44"/>
      <c r="G35" s="44">
        <v>993920</v>
      </c>
      <c r="H35" s="44"/>
      <c r="I35" s="44">
        <v>3996586</v>
      </c>
      <c r="J35" s="44"/>
      <c r="K35" s="44">
        <f>1679504+346682</f>
        <v>2026186</v>
      </c>
      <c r="L35" s="44"/>
      <c r="M35" s="44">
        <f>15767173+1262391</f>
        <v>17029564</v>
      </c>
      <c r="N35" s="44"/>
      <c r="O35" s="44">
        <v>0</v>
      </c>
      <c r="P35" s="44"/>
      <c r="Q35" s="44">
        <v>2016732</v>
      </c>
      <c r="R35" s="44"/>
      <c r="S35" s="44">
        <v>29733</v>
      </c>
      <c r="T35" s="44"/>
      <c r="U35" s="44">
        <v>4603</v>
      </c>
      <c r="V35" s="44"/>
      <c r="W35" s="44">
        <v>0</v>
      </c>
      <c r="X35" s="44"/>
      <c r="Y35" s="44">
        <v>0</v>
      </c>
      <c r="Z35" s="44"/>
      <c r="AA35" s="44">
        <f t="shared" si="1"/>
        <v>21106818</v>
      </c>
      <c r="AB35" s="44"/>
      <c r="AC35" s="44">
        <f t="shared" si="0"/>
        <v>29867982</v>
      </c>
    </row>
    <row r="36" spans="1:30" s="47" customFormat="1" ht="12.75" customHeight="1">
      <c r="A36" s="47" t="s">
        <v>51</v>
      </c>
      <c r="C36" s="47" t="s">
        <v>27</v>
      </c>
      <c r="E36" s="44">
        <v>1838505</v>
      </c>
      <c r="F36" s="44"/>
      <c r="G36" s="44">
        <v>1482557</v>
      </c>
      <c r="H36" s="44"/>
      <c r="I36" s="44">
        <v>518592</v>
      </c>
      <c r="J36" s="44"/>
      <c r="K36" s="44">
        <f>635942+122467+300336+335327+291588+38032</f>
        <v>1723692</v>
      </c>
      <c r="L36" s="44"/>
      <c r="M36" s="44">
        <f>14238025+327790+288637+1010760</f>
        <v>15865212</v>
      </c>
      <c r="N36" s="44"/>
      <c r="O36" s="44">
        <v>268085</v>
      </c>
      <c r="P36" s="44"/>
      <c r="Q36" s="44">
        <v>1115478</v>
      </c>
      <c r="R36" s="44"/>
      <c r="S36" s="44">
        <v>47982</v>
      </c>
      <c r="T36" s="44"/>
      <c r="U36" s="44">
        <v>67456</v>
      </c>
      <c r="V36" s="44"/>
      <c r="W36" s="44">
        <v>0</v>
      </c>
      <c r="X36" s="44"/>
      <c r="Y36" s="44">
        <v>0</v>
      </c>
      <c r="Z36" s="44"/>
      <c r="AA36" s="44">
        <f t="shared" si="1"/>
        <v>19087905</v>
      </c>
      <c r="AB36" s="44"/>
      <c r="AC36" s="44">
        <f t="shared" si="0"/>
        <v>22927559</v>
      </c>
    </row>
    <row r="37" spans="1:30" s="47" customFormat="1" ht="12.75" customHeight="1">
      <c r="A37" s="47" t="s">
        <v>462</v>
      </c>
      <c r="C37" s="47" t="s">
        <v>66</v>
      </c>
      <c r="E37" s="44">
        <v>998732</v>
      </c>
      <c r="F37" s="44"/>
      <c r="G37" s="44">
        <v>372013</v>
      </c>
      <c r="H37" s="44"/>
      <c r="I37" s="44">
        <v>104643</v>
      </c>
      <c r="J37" s="44"/>
      <c r="K37" s="44">
        <v>139985</v>
      </c>
      <c r="L37" s="44"/>
      <c r="M37" s="44">
        <v>2441640</v>
      </c>
      <c r="N37" s="44"/>
      <c r="O37" s="44">
        <v>0</v>
      </c>
      <c r="P37" s="44"/>
      <c r="Q37" s="44">
        <v>379944</v>
      </c>
      <c r="R37" s="44"/>
      <c r="S37" s="44">
        <v>10576</v>
      </c>
      <c r="T37" s="44"/>
      <c r="U37" s="44">
        <f>19667+14066</f>
        <v>33733</v>
      </c>
      <c r="V37" s="44"/>
      <c r="W37" s="44">
        <v>0</v>
      </c>
      <c r="X37" s="44"/>
      <c r="Y37" s="44">
        <v>0</v>
      </c>
      <c r="Z37" s="44"/>
      <c r="AA37" s="44">
        <f t="shared" si="1"/>
        <v>3005878</v>
      </c>
      <c r="AB37" s="44"/>
      <c r="AC37" s="44">
        <f t="shared" si="0"/>
        <v>4481266</v>
      </c>
    </row>
    <row r="38" spans="1:30" s="47" customFormat="1" ht="12.75" customHeight="1">
      <c r="A38" s="47" t="s">
        <v>52</v>
      </c>
      <c r="C38" s="47" t="s">
        <v>53</v>
      </c>
      <c r="E38" s="44">
        <v>3657457</v>
      </c>
      <c r="F38" s="44"/>
      <c r="G38" s="44">
        <v>2682981</v>
      </c>
      <c r="H38" s="44"/>
      <c r="I38" s="44">
        <v>1086493</v>
      </c>
      <c r="J38" s="44"/>
      <c r="K38" s="44">
        <f>1607360+209654</f>
        <v>1817014</v>
      </c>
      <c r="L38" s="44"/>
      <c r="M38" s="44">
        <f>1511497+489271+3274810+251851+6054675+124695+328767</f>
        <v>12035566</v>
      </c>
      <c r="N38" s="44"/>
      <c r="O38" s="44">
        <v>0</v>
      </c>
      <c r="P38" s="44"/>
      <c r="Q38" s="44">
        <v>1280690</v>
      </c>
      <c r="R38" s="44"/>
      <c r="S38" s="44">
        <v>32393</v>
      </c>
      <c r="T38" s="44"/>
      <c r="U38" s="44">
        <v>51655</v>
      </c>
      <c r="V38" s="44"/>
      <c r="W38" s="44">
        <v>0</v>
      </c>
      <c r="X38" s="44"/>
      <c r="Y38" s="44">
        <v>0</v>
      </c>
      <c r="Z38" s="44"/>
      <c r="AA38" s="44">
        <f t="shared" si="1"/>
        <v>15217318</v>
      </c>
      <c r="AB38" s="44"/>
      <c r="AC38" s="44">
        <f t="shared" si="0"/>
        <v>22644249</v>
      </c>
    </row>
    <row r="39" spans="1:30" s="47" customFormat="1" ht="12.75" customHeight="1">
      <c r="A39" s="47" t="s">
        <v>54</v>
      </c>
      <c r="C39" s="47" t="s">
        <v>55</v>
      </c>
      <c r="E39" s="44">
        <v>990387</v>
      </c>
      <c r="F39" s="44"/>
      <c r="G39" s="44">
        <v>828856</v>
      </c>
      <c r="H39" s="44"/>
      <c r="I39" s="44">
        <v>1399847</v>
      </c>
      <c r="J39" s="44"/>
      <c r="K39" s="44">
        <v>542874</v>
      </c>
      <c r="L39" s="44"/>
      <c r="M39" s="44">
        <v>6382019</v>
      </c>
      <c r="N39" s="44"/>
      <c r="O39" s="44">
        <v>793624</v>
      </c>
      <c r="P39" s="44"/>
      <c r="Q39" s="44">
        <v>679238</v>
      </c>
      <c r="R39" s="44"/>
      <c r="S39" s="44">
        <v>22086</v>
      </c>
      <c r="T39" s="44"/>
      <c r="U39" s="44">
        <f>34930+765865</f>
        <v>800795</v>
      </c>
      <c r="V39" s="44"/>
      <c r="W39" s="44">
        <v>-803492</v>
      </c>
      <c r="X39" s="44"/>
      <c r="Y39" s="44">
        <v>0</v>
      </c>
      <c r="Z39" s="44"/>
      <c r="AA39" s="44">
        <f t="shared" si="1"/>
        <v>8417144</v>
      </c>
      <c r="AB39" s="44"/>
      <c r="AC39" s="44">
        <f t="shared" si="0"/>
        <v>11636234</v>
      </c>
    </row>
    <row r="40" spans="1:30" s="47" customFormat="1" ht="12.75" customHeight="1">
      <c r="A40" s="47" t="s">
        <v>56</v>
      </c>
      <c r="C40" s="47" t="s">
        <v>57</v>
      </c>
      <c r="E40" s="44">
        <v>562247</v>
      </c>
      <c r="F40" s="44"/>
      <c r="G40" s="44">
        <v>1346558</v>
      </c>
      <c r="H40" s="44"/>
      <c r="I40" s="44">
        <v>3075589</v>
      </c>
      <c r="J40" s="44"/>
      <c r="K40" s="44">
        <f>505051+91254</f>
        <v>596305</v>
      </c>
      <c r="L40" s="44"/>
      <c r="M40" s="44">
        <f>2566976+1283489</f>
        <v>3850465</v>
      </c>
      <c r="N40" s="44"/>
      <c r="O40" s="44">
        <f>37255+136373</f>
        <v>173628</v>
      </c>
      <c r="P40" s="44"/>
      <c r="Q40" s="44">
        <v>733523</v>
      </c>
      <c r="R40" s="44"/>
      <c r="S40" s="44">
        <v>27372</v>
      </c>
      <c r="T40" s="44"/>
      <c r="U40" s="44">
        <v>132498</v>
      </c>
      <c r="V40" s="44"/>
      <c r="W40" s="44">
        <v>-374326</v>
      </c>
      <c r="X40" s="44"/>
      <c r="Y40" s="44">
        <v>0</v>
      </c>
      <c r="Z40" s="44"/>
      <c r="AA40" s="44">
        <f t="shared" si="1"/>
        <v>5139465</v>
      </c>
      <c r="AB40" s="44"/>
      <c r="AC40" s="44">
        <f t="shared" si="0"/>
        <v>10123859</v>
      </c>
      <c r="AD40" s="47">
        <f>5139465+562247+1346558+3075589</f>
        <v>10123859</v>
      </c>
    </row>
    <row r="41" spans="1:30" s="47" customFormat="1" ht="12.75" customHeight="1">
      <c r="A41" s="47" t="s">
        <v>58</v>
      </c>
      <c r="C41" s="47" t="s">
        <v>59</v>
      </c>
      <c r="E41" s="44">
        <v>1724210</v>
      </c>
      <c r="F41" s="44"/>
      <c r="G41" s="44">
        <v>1487066</v>
      </c>
      <c r="H41" s="44"/>
      <c r="I41" s="44">
        <v>56803</v>
      </c>
      <c r="J41" s="44"/>
      <c r="K41" s="44">
        <f>302711+1187835</f>
        <v>1490546</v>
      </c>
      <c r="L41" s="44"/>
      <c r="M41" s="44">
        <f>4457326+1273888</f>
        <v>5731214</v>
      </c>
      <c r="N41" s="44"/>
      <c r="O41" s="44">
        <v>0</v>
      </c>
      <c r="P41" s="44"/>
      <c r="Q41" s="44">
        <v>821657</v>
      </c>
      <c r="R41" s="44"/>
      <c r="S41" s="44">
        <v>147717</v>
      </c>
      <c r="T41" s="44"/>
      <c r="U41" s="44">
        <v>102931</v>
      </c>
      <c r="V41" s="44"/>
      <c r="W41" s="44">
        <v>-341579</v>
      </c>
      <c r="X41" s="44"/>
      <c r="Y41" s="44">
        <v>0</v>
      </c>
      <c r="Z41" s="44"/>
      <c r="AA41" s="44">
        <f t="shared" si="1"/>
        <v>7952486</v>
      </c>
      <c r="AB41" s="44"/>
      <c r="AC41" s="44">
        <f t="shared" si="0"/>
        <v>11220565</v>
      </c>
    </row>
    <row r="42" spans="1:30" s="47" customFormat="1" ht="12.75" customHeight="1">
      <c r="A42" s="47" t="s">
        <v>476</v>
      </c>
      <c r="C42" s="47" t="s">
        <v>15</v>
      </c>
      <c r="E42" s="44">
        <v>217488</v>
      </c>
      <c r="F42" s="44"/>
      <c r="G42" s="44">
        <v>684407</v>
      </c>
      <c r="H42" s="44"/>
      <c r="I42" s="44">
        <v>14500</v>
      </c>
      <c r="J42" s="44"/>
      <c r="K42" s="44">
        <f>209245+100437</f>
        <v>309682</v>
      </c>
      <c r="L42" s="44"/>
      <c r="M42" s="44">
        <f>1716864+155569</f>
        <v>1872433</v>
      </c>
      <c r="N42" s="44"/>
      <c r="O42" s="44">
        <v>0</v>
      </c>
      <c r="P42" s="44"/>
      <c r="Q42" s="44">
        <v>374840</v>
      </c>
      <c r="R42" s="44"/>
      <c r="S42" s="44">
        <v>1653</v>
      </c>
      <c r="T42" s="44"/>
      <c r="U42" s="44">
        <v>24713</v>
      </c>
      <c r="V42" s="44"/>
      <c r="W42" s="44">
        <v>-115000</v>
      </c>
      <c r="X42" s="44"/>
      <c r="Y42" s="44">
        <v>0</v>
      </c>
      <c r="Z42" s="44"/>
      <c r="AA42" s="44">
        <f t="shared" si="1"/>
        <v>2468321</v>
      </c>
      <c r="AB42" s="44"/>
      <c r="AC42" s="44">
        <f t="shared" si="0"/>
        <v>3384716</v>
      </c>
    </row>
    <row r="43" spans="1:30" s="47" customFormat="1" ht="12.75" customHeight="1">
      <c r="A43" s="47" t="s">
        <v>60</v>
      </c>
      <c r="C43" s="47" t="s">
        <v>61</v>
      </c>
      <c r="E43" s="44">
        <v>431714</v>
      </c>
      <c r="F43" s="44"/>
      <c r="G43" s="44">
        <v>660962</v>
      </c>
      <c r="H43" s="44"/>
      <c r="I43" s="44">
        <v>719484</v>
      </c>
      <c r="J43" s="44"/>
      <c r="K43" s="44">
        <f>444021+120438</f>
        <v>564459</v>
      </c>
      <c r="L43" s="44"/>
      <c r="M43" s="44">
        <v>2349758</v>
      </c>
      <c r="N43" s="44"/>
      <c r="O43" s="44">
        <v>0</v>
      </c>
      <c r="P43" s="44"/>
      <c r="Q43" s="44">
        <v>677528</v>
      </c>
      <c r="R43" s="44"/>
      <c r="S43" s="44">
        <f>-7256+26085</f>
        <v>18829</v>
      </c>
      <c r="T43" s="44"/>
      <c r="U43" s="44">
        <v>27137</v>
      </c>
      <c r="V43" s="44"/>
      <c r="W43" s="44">
        <v>0</v>
      </c>
      <c r="X43" s="44"/>
      <c r="Y43" s="44">
        <v>0</v>
      </c>
      <c r="Z43" s="44"/>
      <c r="AA43" s="44">
        <f t="shared" si="1"/>
        <v>3637711</v>
      </c>
      <c r="AB43" s="44"/>
      <c r="AC43" s="44">
        <f t="shared" si="0"/>
        <v>5449871</v>
      </c>
    </row>
    <row r="44" spans="1:30" s="47" customFormat="1" ht="12.75" customHeight="1">
      <c r="A44" s="47" t="s">
        <v>62</v>
      </c>
      <c r="C44" s="47" t="s">
        <v>15</v>
      </c>
      <c r="E44" s="44">
        <v>14164883</v>
      </c>
      <c r="F44" s="44"/>
      <c r="G44" s="44">
        <v>11304031</v>
      </c>
      <c r="H44" s="44"/>
      <c r="I44" s="44">
        <v>6681818</v>
      </c>
      <c r="J44" s="44"/>
      <c r="K44" s="44">
        <v>3711729</v>
      </c>
      <c r="L44" s="44"/>
      <c r="M44" s="44">
        <v>38633612</v>
      </c>
      <c r="N44" s="44"/>
      <c r="O44" s="44">
        <v>0</v>
      </c>
      <c r="P44" s="44"/>
      <c r="Q44" s="44">
        <v>8796360</v>
      </c>
      <c r="R44" s="44"/>
      <c r="S44" s="44">
        <v>235190</v>
      </c>
      <c r="T44" s="44"/>
      <c r="U44" s="44">
        <v>2384563</v>
      </c>
      <c r="V44" s="44"/>
      <c r="W44" s="44">
        <v>0</v>
      </c>
      <c r="X44" s="44"/>
      <c r="Y44" s="44">
        <v>0</v>
      </c>
      <c r="Z44" s="44"/>
      <c r="AA44" s="44">
        <f t="shared" si="1"/>
        <v>53761454</v>
      </c>
      <c r="AB44" s="44"/>
      <c r="AC44" s="44">
        <f t="shared" si="0"/>
        <v>85912186</v>
      </c>
    </row>
    <row r="45" spans="1:30" s="47" customFormat="1" ht="12.75" customHeight="1">
      <c r="A45" s="47" t="s">
        <v>485</v>
      </c>
      <c r="C45" s="47" t="s">
        <v>111</v>
      </c>
      <c r="E45" s="44">
        <v>192913</v>
      </c>
      <c r="F45" s="44"/>
      <c r="G45" s="44">
        <v>595763</v>
      </c>
      <c r="H45" s="44"/>
      <c r="I45" s="44">
        <v>27728</v>
      </c>
      <c r="J45" s="44"/>
      <c r="K45" s="44">
        <f>70205+114934</f>
        <v>185139</v>
      </c>
      <c r="L45" s="44"/>
      <c r="M45" s="44">
        <f>616487+309096</f>
        <v>925583</v>
      </c>
      <c r="N45" s="44"/>
      <c r="O45" s="44">
        <v>207891</v>
      </c>
      <c r="P45" s="44"/>
      <c r="Q45" s="44">
        <v>124645</v>
      </c>
      <c r="R45" s="44"/>
      <c r="S45" s="44">
        <v>3473</v>
      </c>
      <c r="T45" s="44"/>
      <c r="U45" s="44">
        <v>29219</v>
      </c>
      <c r="V45" s="44"/>
      <c r="W45" s="44">
        <v>0</v>
      </c>
      <c r="X45" s="44"/>
      <c r="Y45" s="44">
        <v>0</v>
      </c>
      <c r="Z45" s="44"/>
      <c r="AA45" s="44">
        <f t="shared" si="1"/>
        <v>1475950</v>
      </c>
      <c r="AB45" s="44"/>
      <c r="AC45" s="44">
        <f t="shared" si="0"/>
        <v>2292354</v>
      </c>
    </row>
    <row r="46" spans="1:30" s="47" customFormat="1" ht="12.75" customHeight="1">
      <c r="A46" s="47" t="s">
        <v>63</v>
      </c>
      <c r="C46" s="47" t="s">
        <v>64</v>
      </c>
      <c r="E46" s="44">
        <v>1077879</v>
      </c>
      <c r="F46" s="44"/>
      <c r="G46" s="44">
        <v>647848</v>
      </c>
      <c r="H46" s="44"/>
      <c r="I46" s="44">
        <v>3260363</v>
      </c>
      <c r="J46" s="44"/>
      <c r="K46" s="44">
        <f>287852+43177+43177</f>
        <v>374206</v>
      </c>
      <c r="L46" s="44"/>
      <c r="M46" s="44">
        <v>2707370</v>
      </c>
      <c r="N46" s="44"/>
      <c r="O46" s="44">
        <f>860862+546811+99633</f>
        <v>1507306</v>
      </c>
      <c r="P46" s="44"/>
      <c r="Q46" s="44">
        <v>688565</v>
      </c>
      <c r="R46" s="44"/>
      <c r="S46" s="44">
        <v>37488</v>
      </c>
      <c r="T46" s="44"/>
      <c r="U46" s="44">
        <v>142192</v>
      </c>
      <c r="V46" s="44"/>
      <c r="W46" s="44">
        <v>-1687892</v>
      </c>
      <c r="X46" s="44"/>
      <c r="Y46" s="44">
        <v>0</v>
      </c>
      <c r="Z46" s="44"/>
      <c r="AA46" s="44">
        <f t="shared" si="1"/>
        <v>3769235</v>
      </c>
      <c r="AB46" s="44"/>
      <c r="AC46" s="44">
        <f t="shared" si="0"/>
        <v>8755325</v>
      </c>
    </row>
    <row r="47" spans="1:30" s="47" customFormat="1" ht="12.75" customHeight="1">
      <c r="A47" s="47" t="s">
        <v>65</v>
      </c>
      <c r="C47" s="47" t="s">
        <v>66</v>
      </c>
      <c r="E47" s="44">
        <v>547198</v>
      </c>
      <c r="F47" s="44"/>
      <c r="G47" s="44">
        <v>1802577</v>
      </c>
      <c r="H47" s="44"/>
      <c r="I47" s="44">
        <v>903347</v>
      </c>
      <c r="J47" s="44"/>
      <c r="K47" s="44">
        <v>1375916</v>
      </c>
      <c r="L47" s="44"/>
      <c r="M47" s="44">
        <v>11044385</v>
      </c>
      <c r="N47" s="44"/>
      <c r="O47" s="44">
        <v>0</v>
      </c>
      <c r="P47" s="44"/>
      <c r="Q47" s="44">
        <v>3207868</v>
      </c>
      <c r="R47" s="44"/>
      <c r="S47" s="44">
        <v>142867</v>
      </c>
      <c r="T47" s="44"/>
      <c r="U47" s="44">
        <v>137595</v>
      </c>
      <c r="V47" s="44"/>
      <c r="W47" s="44">
        <v>-1384000</v>
      </c>
      <c r="X47" s="44"/>
      <c r="Y47" s="44">
        <v>0</v>
      </c>
      <c r="Z47" s="44"/>
      <c r="AA47" s="44">
        <f t="shared" si="1"/>
        <v>14524631</v>
      </c>
      <c r="AB47" s="44"/>
      <c r="AC47" s="44">
        <f t="shared" si="0"/>
        <v>17777753</v>
      </c>
    </row>
    <row r="48" spans="1:30" s="47" customFormat="1" ht="12.75" customHeight="1">
      <c r="A48" s="47" t="s">
        <v>67</v>
      </c>
      <c r="C48" s="47" t="s">
        <v>375</v>
      </c>
      <c r="E48" s="44">
        <v>2311309</v>
      </c>
      <c r="F48" s="44"/>
      <c r="G48" s="44">
        <v>681035</v>
      </c>
      <c r="H48" s="44"/>
      <c r="I48" s="44">
        <v>0</v>
      </c>
      <c r="J48" s="44"/>
      <c r="K48" s="44">
        <f>416422+764162</f>
        <v>1180584</v>
      </c>
      <c r="L48" s="44"/>
      <c r="M48" s="44">
        <v>4816914</v>
      </c>
      <c r="N48" s="44"/>
      <c r="O48" s="44">
        <v>0</v>
      </c>
      <c r="P48" s="44"/>
      <c r="Q48" s="44">
        <v>393018</v>
      </c>
      <c r="R48" s="44"/>
      <c r="S48" s="44">
        <v>41810</v>
      </c>
      <c r="T48" s="44"/>
      <c r="U48" s="44">
        <f>98500+456359</f>
        <v>554859</v>
      </c>
      <c r="V48" s="44"/>
      <c r="W48" s="44">
        <v>-520000</v>
      </c>
      <c r="X48" s="44"/>
      <c r="Y48" s="44">
        <v>0</v>
      </c>
      <c r="Z48" s="44"/>
      <c r="AA48" s="44">
        <f t="shared" si="1"/>
        <v>6467185</v>
      </c>
      <c r="AB48" s="44"/>
      <c r="AC48" s="44">
        <f t="shared" si="0"/>
        <v>9459529</v>
      </c>
    </row>
    <row r="49" spans="1:29" s="47" customFormat="1" ht="12.75" customHeight="1">
      <c r="A49" s="47" t="s">
        <v>68</v>
      </c>
      <c r="C49" s="47" t="s">
        <v>45</v>
      </c>
      <c r="E49" s="44">
        <v>409813</v>
      </c>
      <c r="F49" s="44"/>
      <c r="G49" s="44">
        <v>402196</v>
      </c>
      <c r="H49" s="44"/>
      <c r="I49" s="44">
        <v>0</v>
      </c>
      <c r="J49" s="44"/>
      <c r="K49" s="44">
        <f>1761927+131823</f>
        <v>1893750</v>
      </c>
      <c r="L49" s="44"/>
      <c r="M49" s="44">
        <v>1650828</v>
      </c>
      <c r="N49" s="44"/>
      <c r="O49" s="44">
        <v>74765</v>
      </c>
      <c r="P49" s="44"/>
      <c r="Q49" s="44">
        <v>662790</v>
      </c>
      <c r="R49" s="44"/>
      <c r="S49" s="44">
        <v>1057</v>
      </c>
      <c r="T49" s="44"/>
      <c r="U49" s="44">
        <v>24763</v>
      </c>
      <c r="V49" s="44"/>
      <c r="W49" s="44">
        <v>0</v>
      </c>
      <c r="X49" s="44"/>
      <c r="Y49" s="44">
        <v>0</v>
      </c>
      <c r="Z49" s="44"/>
      <c r="AA49" s="44">
        <f t="shared" si="1"/>
        <v>4307953</v>
      </c>
      <c r="AB49" s="44"/>
      <c r="AC49" s="44">
        <f t="shared" si="0"/>
        <v>5119962</v>
      </c>
    </row>
    <row r="50" spans="1:29" s="47" customFormat="1" ht="12.75" customHeight="1">
      <c r="A50" s="47" t="s">
        <v>69</v>
      </c>
      <c r="C50" s="47" t="s">
        <v>70</v>
      </c>
      <c r="E50" s="44">
        <v>5006606</v>
      </c>
      <c r="F50" s="44"/>
      <c r="G50" s="44">
        <v>3640344</v>
      </c>
      <c r="H50" s="44"/>
      <c r="I50" s="44">
        <v>466400</v>
      </c>
      <c r="J50" s="44"/>
      <c r="K50" s="44">
        <f>941165+226362</f>
        <v>1167527</v>
      </c>
      <c r="L50" s="44"/>
      <c r="M50" s="44">
        <f>9109304+662443+827341</f>
        <v>10599088</v>
      </c>
      <c r="N50" s="44"/>
      <c r="O50" s="44">
        <v>230591</v>
      </c>
      <c r="P50" s="44"/>
      <c r="Q50" s="44">
        <v>1820969</v>
      </c>
      <c r="R50" s="44"/>
      <c r="S50" s="44">
        <v>55348</v>
      </c>
      <c r="T50" s="44"/>
      <c r="U50" s="44">
        <f>387+440857</f>
        <v>441244</v>
      </c>
      <c r="V50" s="44"/>
      <c r="W50" s="44">
        <v>-16423</v>
      </c>
      <c r="X50" s="44"/>
      <c r="Y50" s="44">
        <v>0</v>
      </c>
      <c r="Z50" s="44"/>
      <c r="AA50" s="44">
        <f t="shared" si="1"/>
        <v>14298344</v>
      </c>
      <c r="AB50" s="44"/>
      <c r="AC50" s="44">
        <f t="shared" si="0"/>
        <v>23411694</v>
      </c>
    </row>
    <row r="51" spans="1:29" s="47" customFormat="1" ht="12.75" customHeight="1">
      <c r="A51" s="47" t="s">
        <v>71</v>
      </c>
      <c r="C51" s="47" t="s">
        <v>45</v>
      </c>
      <c r="E51" s="44">
        <v>148478000</v>
      </c>
      <c r="F51" s="44"/>
      <c r="G51" s="44">
        <v>64475000</v>
      </c>
      <c r="H51" s="44"/>
      <c r="I51" s="44">
        <v>23436000</v>
      </c>
      <c r="J51" s="44"/>
      <c r="K51" s="44">
        <v>51509000</v>
      </c>
      <c r="L51" s="44"/>
      <c r="M51" s="44">
        <v>297636000</v>
      </c>
      <c r="N51" s="44"/>
      <c r="O51" s="44">
        <f>4174000+64714000+2007000</f>
        <v>70895000</v>
      </c>
      <c r="P51" s="44"/>
      <c r="Q51" s="44">
        <v>0</v>
      </c>
      <c r="R51" s="44"/>
      <c r="S51" s="44">
        <v>11058000</v>
      </c>
      <c r="T51" s="44"/>
      <c r="U51" s="44">
        <v>27580000</v>
      </c>
      <c r="V51" s="44"/>
      <c r="W51" s="44">
        <v>-76000</v>
      </c>
      <c r="X51" s="44"/>
      <c r="Y51" s="44">
        <v>0</v>
      </c>
      <c r="Z51" s="44"/>
      <c r="AA51" s="44">
        <f t="shared" si="1"/>
        <v>458602000</v>
      </c>
      <c r="AB51" s="44"/>
      <c r="AC51" s="44">
        <f t="shared" si="0"/>
        <v>694991000</v>
      </c>
    </row>
    <row r="52" spans="1:29" s="47" customFormat="1" ht="12.75" customHeight="1">
      <c r="A52" s="47" t="s">
        <v>463</v>
      </c>
      <c r="C52" s="47" t="s">
        <v>464</v>
      </c>
      <c r="E52" s="44">
        <v>1577539</v>
      </c>
      <c r="F52" s="44"/>
      <c r="G52" s="44">
        <v>1509096</v>
      </c>
      <c r="H52" s="44"/>
      <c r="I52" s="44">
        <v>377825</v>
      </c>
      <c r="J52" s="44"/>
      <c r="K52" s="44">
        <f>760619+118685</f>
        <v>879304</v>
      </c>
      <c r="L52" s="44"/>
      <c r="M52" s="44">
        <f>1589296+1669033+369981+1002068</f>
        <v>4630378</v>
      </c>
      <c r="N52" s="44"/>
      <c r="O52" s="44">
        <v>233262</v>
      </c>
      <c r="P52" s="44"/>
      <c r="Q52" s="44">
        <v>1956391</v>
      </c>
      <c r="R52" s="44"/>
      <c r="S52" s="44">
        <v>180354</v>
      </c>
      <c r="T52" s="44"/>
      <c r="U52" s="44">
        <v>185240</v>
      </c>
      <c r="V52" s="44"/>
      <c r="W52" s="44">
        <v>0</v>
      </c>
      <c r="X52" s="44"/>
      <c r="Y52" s="44">
        <v>0</v>
      </c>
      <c r="Z52" s="44"/>
      <c r="AA52" s="44">
        <f t="shared" si="1"/>
        <v>8064929</v>
      </c>
      <c r="AB52" s="44"/>
      <c r="AC52" s="44">
        <f t="shared" si="0"/>
        <v>11529389</v>
      </c>
    </row>
    <row r="53" spans="1:29" s="47" customFormat="1" ht="12.75" customHeight="1">
      <c r="A53" s="47" t="s">
        <v>72</v>
      </c>
      <c r="C53" s="47" t="s">
        <v>66</v>
      </c>
      <c r="E53" s="44">
        <v>1149237</v>
      </c>
      <c r="F53" s="44"/>
      <c r="G53" s="44">
        <v>1567345</v>
      </c>
      <c r="H53" s="44"/>
      <c r="I53" s="44">
        <v>1231631</v>
      </c>
      <c r="J53" s="44"/>
      <c r="K53" s="44">
        <f>368775+1217195+798572+179062</f>
        <v>2563604</v>
      </c>
      <c r="L53" s="44"/>
      <c r="M53" s="44">
        <f>1422784+704294</f>
        <v>2127078</v>
      </c>
      <c r="N53" s="44"/>
      <c r="O53" s="44">
        <f>224968+187734</f>
        <v>412702</v>
      </c>
      <c r="P53" s="44"/>
      <c r="Q53" s="44">
        <v>1043924</v>
      </c>
      <c r="R53" s="44"/>
      <c r="S53" s="44">
        <v>10657</v>
      </c>
      <c r="T53" s="44"/>
      <c r="U53" s="44">
        <f>4121+84781</f>
        <v>88902</v>
      </c>
      <c r="V53" s="44"/>
      <c r="W53" s="44">
        <v>-201193</v>
      </c>
      <c r="X53" s="44"/>
      <c r="Y53" s="44">
        <v>0</v>
      </c>
      <c r="Z53" s="44"/>
      <c r="AA53" s="44">
        <f t="shared" si="1"/>
        <v>6045674</v>
      </c>
      <c r="AB53" s="44"/>
      <c r="AC53" s="44">
        <f t="shared" si="0"/>
        <v>9993887</v>
      </c>
    </row>
    <row r="54" spans="1:29" s="47" customFormat="1" ht="12.75" customHeight="1">
      <c r="A54" s="47" t="s">
        <v>73</v>
      </c>
      <c r="C54" s="47" t="s">
        <v>27</v>
      </c>
      <c r="E54" s="44">
        <v>76114000</v>
      </c>
      <c r="F54" s="44"/>
      <c r="G54" s="44">
        <v>136532000</v>
      </c>
      <c r="H54" s="44"/>
      <c r="I54" s="44">
        <v>11220000</v>
      </c>
      <c r="J54" s="44"/>
      <c r="K54" s="44">
        <v>58552000</v>
      </c>
      <c r="L54" s="44"/>
      <c r="M54" s="44">
        <v>298209000</v>
      </c>
      <c r="N54" s="44"/>
      <c r="O54" s="44">
        <v>28450000</v>
      </c>
      <c r="P54" s="44"/>
      <c r="Q54" s="44">
        <f>23869000+49266000</f>
        <v>73135000</v>
      </c>
      <c r="R54" s="44"/>
      <c r="S54" s="44">
        <v>653000</v>
      </c>
      <c r="T54" s="44"/>
      <c r="U54" s="44">
        <v>14105000</v>
      </c>
      <c r="V54" s="44"/>
      <c r="W54" s="44">
        <v>19277000</v>
      </c>
      <c r="X54" s="44"/>
      <c r="Y54" s="44">
        <v>0</v>
      </c>
      <c r="Z54" s="44"/>
      <c r="AA54" s="44">
        <f t="shared" si="1"/>
        <v>492381000</v>
      </c>
      <c r="AB54" s="44"/>
      <c r="AC54" s="44">
        <f t="shared" si="0"/>
        <v>716247000</v>
      </c>
    </row>
    <row r="55" spans="1:29" s="47" customFormat="1" ht="12.75" customHeight="1">
      <c r="A55" s="47" t="s">
        <v>74</v>
      </c>
      <c r="C55" s="47" t="s">
        <v>27</v>
      </c>
      <c r="E55" s="44">
        <v>11977186</v>
      </c>
      <c r="F55" s="44"/>
      <c r="G55" s="44">
        <v>2910754</v>
      </c>
      <c r="H55" s="44"/>
      <c r="I55" s="44">
        <v>2493496</v>
      </c>
      <c r="J55" s="44"/>
      <c r="K55" s="44">
        <f>7865388+2332232+482529</f>
        <v>10680149</v>
      </c>
      <c r="L55" s="44"/>
      <c r="M55" s="44">
        <v>20202521</v>
      </c>
      <c r="N55" s="44"/>
      <c r="O55" s="44">
        <v>0</v>
      </c>
      <c r="P55" s="44"/>
      <c r="Q55" s="44">
        <v>7521076</v>
      </c>
      <c r="R55" s="44"/>
      <c r="S55" s="44">
        <v>169445</v>
      </c>
      <c r="T55" s="44"/>
      <c r="U55" s="44">
        <v>1244721</v>
      </c>
      <c r="V55" s="44"/>
      <c r="W55" s="44">
        <v>-485169</v>
      </c>
      <c r="X55" s="44"/>
      <c r="Y55" s="44">
        <v>0</v>
      </c>
      <c r="Z55" s="44"/>
      <c r="AA55" s="44">
        <f t="shared" si="1"/>
        <v>39332743</v>
      </c>
      <c r="AB55" s="44"/>
      <c r="AC55" s="44">
        <f t="shared" si="0"/>
        <v>56714179</v>
      </c>
    </row>
    <row r="56" spans="1:29" s="47" customFormat="1" ht="12.75" customHeight="1">
      <c r="A56" s="47" t="s">
        <v>75</v>
      </c>
      <c r="C56" s="47" t="s">
        <v>76</v>
      </c>
      <c r="E56" s="44">
        <v>368721</v>
      </c>
      <c r="F56" s="44"/>
      <c r="G56" s="44">
        <v>384294</v>
      </c>
      <c r="H56" s="44"/>
      <c r="I56" s="44">
        <v>302236</v>
      </c>
      <c r="J56" s="44"/>
      <c r="K56" s="44">
        <f>354454+36570</f>
        <v>391024</v>
      </c>
      <c r="L56" s="44"/>
      <c r="M56" s="44">
        <f>2986470+1155395</f>
        <v>4141865</v>
      </c>
      <c r="N56" s="44"/>
      <c r="O56" s="44">
        <v>257696</v>
      </c>
      <c r="P56" s="44"/>
      <c r="Q56" s="44">
        <v>360232</v>
      </c>
      <c r="R56" s="44"/>
      <c r="S56" s="44">
        <v>70931</v>
      </c>
      <c r="T56" s="44"/>
      <c r="U56" s="44">
        <v>60098</v>
      </c>
      <c r="V56" s="44"/>
      <c r="W56" s="44">
        <v>-832110</v>
      </c>
      <c r="X56" s="44"/>
      <c r="Y56" s="44">
        <v>62036</v>
      </c>
      <c r="Z56" s="44"/>
      <c r="AA56" s="44">
        <f t="shared" si="1"/>
        <v>4511772</v>
      </c>
      <c r="AB56" s="44"/>
      <c r="AC56" s="44">
        <f t="shared" si="0"/>
        <v>5567023</v>
      </c>
    </row>
    <row r="57" spans="1:29" s="47" customFormat="1" ht="12.75" customHeight="1">
      <c r="A57" s="47" t="s">
        <v>77</v>
      </c>
      <c r="C57" s="47" t="s">
        <v>43</v>
      </c>
      <c r="E57" s="44">
        <v>141700000</v>
      </c>
      <c r="F57" s="44"/>
      <c r="G57" s="44">
        <v>181729000</v>
      </c>
      <c r="H57" s="44"/>
      <c r="I57" s="44">
        <v>44745000</v>
      </c>
      <c r="J57" s="44"/>
      <c r="K57" s="44">
        <v>52567000</v>
      </c>
      <c r="L57" s="44"/>
      <c r="M57" s="44">
        <v>658571000</v>
      </c>
      <c r="N57" s="44"/>
      <c r="O57" s="44">
        <f>13782000+3177000</f>
        <v>16959000</v>
      </c>
      <c r="P57" s="44"/>
      <c r="Q57" s="44">
        <v>47504000</v>
      </c>
      <c r="R57" s="44"/>
      <c r="S57" s="44">
        <v>4045000</v>
      </c>
      <c r="T57" s="44"/>
      <c r="U57" s="44">
        <f>951000+22457000</f>
        <v>23408000</v>
      </c>
      <c r="V57" s="44"/>
      <c r="W57" s="44">
        <v>-1391000</v>
      </c>
      <c r="X57" s="44"/>
      <c r="Y57" s="44">
        <v>0</v>
      </c>
      <c r="Z57" s="44"/>
      <c r="AA57" s="44">
        <f t="shared" si="1"/>
        <v>801663000</v>
      </c>
      <c r="AB57" s="44"/>
      <c r="AC57" s="44">
        <f t="shared" si="0"/>
        <v>1169837000</v>
      </c>
    </row>
    <row r="58" spans="1:29" s="47" customFormat="1" ht="12.75" customHeight="1">
      <c r="A58" s="47" t="s">
        <v>94</v>
      </c>
      <c r="C58" s="47" t="s">
        <v>94</v>
      </c>
      <c r="E58" s="44">
        <v>421728</v>
      </c>
      <c r="F58" s="44"/>
      <c r="G58" s="44">
        <v>280132</v>
      </c>
      <c r="H58" s="44"/>
      <c r="I58" s="44">
        <v>0</v>
      </c>
      <c r="J58" s="44"/>
      <c r="K58" s="44">
        <f>364288+40402+14632</f>
        <v>419322</v>
      </c>
      <c r="L58" s="44"/>
      <c r="M58" s="44">
        <v>1758406</v>
      </c>
      <c r="N58" s="44"/>
      <c r="O58" s="44">
        <v>41530</v>
      </c>
      <c r="P58" s="44"/>
      <c r="Q58" s="44">
        <v>572833</v>
      </c>
      <c r="R58" s="44"/>
      <c r="S58" s="44">
        <v>75256</v>
      </c>
      <c r="T58" s="44"/>
      <c r="U58" s="44">
        <v>258520</v>
      </c>
      <c r="V58" s="44"/>
      <c r="W58" s="44">
        <v>-396316</v>
      </c>
      <c r="X58" s="44"/>
      <c r="Y58" s="44">
        <v>0</v>
      </c>
      <c r="Z58" s="44"/>
      <c r="AA58" s="44">
        <f t="shared" si="1"/>
        <v>2729551</v>
      </c>
      <c r="AB58" s="44"/>
      <c r="AC58" s="44">
        <f t="shared" si="0"/>
        <v>3431411</v>
      </c>
    </row>
    <row r="59" spans="1:29" s="47" customFormat="1" ht="12.75" customHeight="1">
      <c r="A59" s="47" t="s">
        <v>78</v>
      </c>
      <c r="C59" s="47" t="s">
        <v>19</v>
      </c>
      <c r="E59" s="44">
        <v>1125165</v>
      </c>
      <c r="F59" s="44"/>
      <c r="G59" s="44">
        <v>802350</v>
      </c>
      <c r="H59" s="44"/>
      <c r="I59" s="44">
        <v>24626</v>
      </c>
      <c r="J59" s="44"/>
      <c r="K59" s="44">
        <f>345426+198163+626793</f>
        <v>1170382</v>
      </c>
      <c r="L59" s="44"/>
      <c r="M59" s="44">
        <f>1913724+258999+133594+45862</f>
        <v>2352179</v>
      </c>
      <c r="N59" s="44"/>
      <c r="O59" s="44">
        <f>15925+125997</f>
        <v>141922</v>
      </c>
      <c r="P59" s="44"/>
      <c r="Q59" s="44">
        <v>897681</v>
      </c>
      <c r="R59" s="44"/>
      <c r="S59" s="44">
        <v>4071</v>
      </c>
      <c r="T59" s="44"/>
      <c r="U59" s="44">
        <v>62040</v>
      </c>
      <c r="V59" s="44"/>
      <c r="W59" s="44">
        <v>0</v>
      </c>
      <c r="X59" s="44"/>
      <c r="Y59" s="44">
        <v>0</v>
      </c>
      <c r="Z59" s="44"/>
      <c r="AA59" s="44">
        <f t="shared" si="1"/>
        <v>4628275</v>
      </c>
      <c r="AB59" s="44"/>
      <c r="AC59" s="44">
        <f t="shared" si="0"/>
        <v>6580416</v>
      </c>
    </row>
    <row r="60" spans="1:29" s="47" customFormat="1" ht="12.75" customHeight="1">
      <c r="A60" s="47" t="s">
        <v>79</v>
      </c>
      <c r="C60" s="47" t="s">
        <v>80</v>
      </c>
      <c r="E60" s="44">
        <v>410470</v>
      </c>
      <c r="F60" s="44"/>
      <c r="G60" s="44">
        <v>689185</v>
      </c>
      <c r="H60" s="44"/>
      <c r="I60" s="44">
        <v>123844</v>
      </c>
      <c r="J60" s="44"/>
      <c r="K60" s="44">
        <f>499470+795523+872158</f>
        <v>2167151</v>
      </c>
      <c r="L60" s="44"/>
      <c r="M60" s="44">
        <v>0</v>
      </c>
      <c r="N60" s="44"/>
      <c r="O60" s="44">
        <v>0</v>
      </c>
      <c r="P60" s="44"/>
      <c r="Q60" s="44">
        <v>342638</v>
      </c>
      <c r="R60" s="44"/>
      <c r="S60" s="44">
        <v>25534</v>
      </c>
      <c r="T60" s="44"/>
      <c r="U60" s="44">
        <v>21284</v>
      </c>
      <c r="V60" s="44"/>
      <c r="W60" s="44">
        <v>0</v>
      </c>
      <c r="X60" s="44"/>
      <c r="Y60" s="44">
        <v>0</v>
      </c>
      <c r="Z60" s="44"/>
      <c r="AA60" s="44">
        <f t="shared" si="1"/>
        <v>2556607</v>
      </c>
      <c r="AB60" s="44"/>
      <c r="AC60" s="44">
        <f t="shared" si="0"/>
        <v>3780106</v>
      </c>
    </row>
    <row r="61" spans="1:29" s="47" customFormat="1" ht="12.75" customHeight="1">
      <c r="A61" s="47" t="s">
        <v>81</v>
      </c>
      <c r="C61" s="47" t="s">
        <v>81</v>
      </c>
      <c r="E61" s="44">
        <v>1325190</v>
      </c>
      <c r="F61" s="44"/>
      <c r="G61" s="44">
        <v>1880128</v>
      </c>
      <c r="H61" s="44"/>
      <c r="I61" s="44">
        <v>20702</v>
      </c>
      <c r="J61" s="44"/>
      <c r="K61" s="44">
        <f>383886+46180</f>
        <v>430066</v>
      </c>
      <c r="L61" s="44"/>
      <c r="M61" s="44">
        <f>2030291+973230+62839+385408+455314</f>
        <v>3907082</v>
      </c>
      <c r="N61" s="44"/>
      <c r="O61" s="44">
        <f>47276+139780+11680+64884</f>
        <v>263620</v>
      </c>
      <c r="P61" s="44"/>
      <c r="Q61" s="44">
        <v>1133454</v>
      </c>
      <c r="R61" s="44"/>
      <c r="S61" s="44">
        <v>6221</v>
      </c>
      <c r="T61" s="44"/>
      <c r="U61" s="44">
        <v>176892</v>
      </c>
      <c r="V61" s="44"/>
      <c r="W61" s="44">
        <v>0</v>
      </c>
      <c r="X61" s="44"/>
      <c r="Y61" s="44">
        <v>0</v>
      </c>
      <c r="Z61" s="44"/>
      <c r="AA61" s="44">
        <f t="shared" si="1"/>
        <v>5917335</v>
      </c>
      <c r="AB61" s="44"/>
      <c r="AC61" s="44">
        <f t="shared" si="0"/>
        <v>9143355</v>
      </c>
    </row>
    <row r="62" spans="1:29" s="122" customFormat="1" ht="12.75" hidden="1" customHeight="1">
      <c r="A62" s="122" t="s">
        <v>465</v>
      </c>
      <c r="C62" s="122" t="s">
        <v>57</v>
      </c>
      <c r="E62" s="121">
        <v>0</v>
      </c>
      <c r="F62" s="121"/>
      <c r="G62" s="121">
        <v>0</v>
      </c>
      <c r="H62" s="121"/>
      <c r="I62" s="121">
        <v>0</v>
      </c>
      <c r="J62" s="121"/>
      <c r="K62" s="121">
        <v>0</v>
      </c>
      <c r="L62" s="121"/>
      <c r="M62" s="121">
        <v>0</v>
      </c>
      <c r="N62" s="121"/>
      <c r="O62" s="121">
        <v>0</v>
      </c>
      <c r="P62" s="121"/>
      <c r="Q62" s="121">
        <v>0</v>
      </c>
      <c r="R62" s="121"/>
      <c r="S62" s="121">
        <v>0</v>
      </c>
      <c r="T62" s="121"/>
      <c r="U62" s="121">
        <v>0</v>
      </c>
      <c r="V62" s="121"/>
      <c r="W62" s="121">
        <v>0</v>
      </c>
      <c r="X62" s="121"/>
      <c r="Y62" s="121">
        <v>0</v>
      </c>
      <c r="Z62" s="121"/>
      <c r="AA62" s="121">
        <f t="shared" si="1"/>
        <v>0</v>
      </c>
      <c r="AB62" s="121"/>
      <c r="AC62" s="121">
        <f t="shared" si="0"/>
        <v>0</v>
      </c>
    </row>
    <row r="63" spans="1:29" s="47" customFormat="1" ht="12.75" customHeight="1">
      <c r="A63" s="47" t="s">
        <v>82</v>
      </c>
      <c r="C63" s="47" t="s">
        <v>13</v>
      </c>
      <c r="E63" s="44">
        <v>6681398</v>
      </c>
      <c r="F63" s="44"/>
      <c r="G63" s="44">
        <v>3298304</v>
      </c>
      <c r="H63" s="44"/>
      <c r="I63" s="44">
        <v>4136462</v>
      </c>
      <c r="J63" s="44"/>
      <c r="K63" s="44">
        <f>10429421+811514</f>
        <v>11240935</v>
      </c>
      <c r="L63" s="44"/>
      <c r="M63" s="44">
        <f>12171153+1553682+5696184</f>
        <v>19421019</v>
      </c>
      <c r="N63" s="44"/>
      <c r="O63" s="44">
        <v>0</v>
      </c>
      <c r="P63" s="44"/>
      <c r="Q63" s="44">
        <v>4955712</v>
      </c>
      <c r="R63" s="44"/>
      <c r="S63" s="44">
        <v>272491</v>
      </c>
      <c r="T63" s="44"/>
      <c r="U63" s="44">
        <v>98731</v>
      </c>
      <c r="V63" s="44"/>
      <c r="W63" s="44">
        <v>-2056701</v>
      </c>
      <c r="X63" s="44"/>
      <c r="Y63" s="44">
        <v>0</v>
      </c>
      <c r="Z63" s="44"/>
      <c r="AA63" s="44">
        <f t="shared" si="1"/>
        <v>33932187</v>
      </c>
      <c r="AB63" s="44"/>
      <c r="AC63" s="44">
        <f t="shared" si="0"/>
        <v>48048351</v>
      </c>
    </row>
    <row r="64" spans="1:29" s="47" customFormat="1" ht="12.75" customHeight="1">
      <c r="A64" s="47" t="s">
        <v>83</v>
      </c>
      <c r="C64" s="47" t="s">
        <v>66</v>
      </c>
      <c r="E64" s="44">
        <v>34027459</v>
      </c>
      <c r="F64" s="44"/>
      <c r="G64" s="44">
        <v>33479834</v>
      </c>
      <c r="H64" s="44"/>
      <c r="I64" s="44">
        <v>17935099</v>
      </c>
      <c r="J64" s="44"/>
      <c r="K64" s="44">
        <f>9395462+8887882+514880</f>
        <v>18798224</v>
      </c>
      <c r="L64" s="44"/>
      <c r="M64" s="44">
        <v>98399957</v>
      </c>
      <c r="N64" s="44"/>
      <c r="O64" s="44">
        <v>1426155</v>
      </c>
      <c r="P64" s="44"/>
      <c r="Q64" s="44">
        <v>16327237</v>
      </c>
      <c r="R64" s="44"/>
      <c r="S64" s="44">
        <v>1960831</v>
      </c>
      <c r="T64" s="44"/>
      <c r="U64" s="44">
        <v>5123860</v>
      </c>
      <c r="V64" s="44"/>
      <c r="W64" s="44">
        <v>5298</v>
      </c>
      <c r="X64" s="44"/>
      <c r="Y64" s="44">
        <v>0</v>
      </c>
      <c r="Z64" s="44"/>
      <c r="AA64" s="44">
        <f t="shared" si="1"/>
        <v>142041562</v>
      </c>
      <c r="AB64" s="44"/>
      <c r="AC64" s="44">
        <f t="shared" si="0"/>
        <v>227483954</v>
      </c>
    </row>
    <row r="65" spans="1:32" s="47" customFormat="1" ht="12.75" customHeight="1">
      <c r="A65" s="47" t="s">
        <v>84</v>
      </c>
      <c r="C65" s="47" t="s">
        <v>45</v>
      </c>
      <c r="E65" s="44">
        <v>172694</v>
      </c>
      <c r="F65" s="44"/>
      <c r="G65" s="44">
        <v>612561</v>
      </c>
      <c r="H65" s="44"/>
      <c r="I65" s="44">
        <v>0</v>
      </c>
      <c r="J65" s="44"/>
      <c r="K65" s="44">
        <f>1123455+28384</f>
        <v>1151839</v>
      </c>
      <c r="L65" s="44"/>
      <c r="M65" s="44">
        <v>1148011</v>
      </c>
      <c r="N65" s="44"/>
      <c r="O65" s="44">
        <v>0</v>
      </c>
      <c r="P65" s="44"/>
      <c r="Q65" s="44">
        <v>675276</v>
      </c>
      <c r="R65" s="44"/>
      <c r="S65" s="44">
        <v>6400</v>
      </c>
      <c r="T65" s="44"/>
      <c r="U65" s="44">
        <v>0</v>
      </c>
      <c r="V65" s="44"/>
      <c r="W65" s="44">
        <v>0</v>
      </c>
      <c r="X65" s="44"/>
      <c r="Y65" s="44">
        <v>0</v>
      </c>
      <c r="Z65" s="44"/>
      <c r="AA65" s="44">
        <f t="shared" si="1"/>
        <v>2981526</v>
      </c>
      <c r="AB65" s="44"/>
      <c r="AC65" s="44">
        <f t="shared" si="0"/>
        <v>3766781</v>
      </c>
    </row>
    <row r="66" spans="1:32" s="47" customFormat="1" ht="12.75" customHeight="1">
      <c r="A66" s="47" t="s">
        <v>85</v>
      </c>
      <c r="C66" s="47" t="s">
        <v>85</v>
      </c>
      <c r="E66" s="44">
        <v>1835173</v>
      </c>
      <c r="F66" s="44"/>
      <c r="G66" s="44">
        <v>1685214</v>
      </c>
      <c r="H66" s="44"/>
      <c r="I66" s="44">
        <v>497525</v>
      </c>
      <c r="J66" s="44"/>
      <c r="K66" s="44">
        <f>543275+334523</f>
        <v>877798</v>
      </c>
      <c r="L66" s="44"/>
      <c r="M66" s="44">
        <f>5458481+23236+1394167</f>
        <v>6875884</v>
      </c>
      <c r="N66" s="44"/>
      <c r="O66" s="44">
        <v>82943</v>
      </c>
      <c r="P66" s="44"/>
      <c r="Q66" s="44">
        <v>1024894</v>
      </c>
      <c r="R66" s="44"/>
      <c r="S66" s="44">
        <v>13353</v>
      </c>
      <c r="T66" s="44"/>
      <c r="U66" s="44">
        <v>540547</v>
      </c>
      <c r="V66" s="44"/>
      <c r="W66" s="44">
        <v>-588561</v>
      </c>
      <c r="X66" s="44"/>
      <c r="Y66" s="44">
        <v>0</v>
      </c>
      <c r="Z66" s="44"/>
      <c r="AA66" s="44">
        <f t="shared" si="1"/>
        <v>8826858</v>
      </c>
      <c r="AB66" s="44"/>
      <c r="AC66" s="44">
        <f t="shared" si="0"/>
        <v>12844770</v>
      </c>
    </row>
    <row r="67" spans="1:32" s="47" customFormat="1" ht="12.75" customHeight="1">
      <c r="A67" s="47" t="s">
        <v>86</v>
      </c>
      <c r="C67" s="47" t="s">
        <v>86</v>
      </c>
      <c r="E67" s="44">
        <v>5816205</v>
      </c>
      <c r="F67" s="44"/>
      <c r="G67" s="44">
        <v>754091</v>
      </c>
      <c r="H67" s="44"/>
      <c r="I67" s="44">
        <v>7224661</v>
      </c>
      <c r="J67" s="44"/>
      <c r="K67" s="44">
        <f>1354383+398421</f>
        <v>1752804</v>
      </c>
      <c r="L67" s="44"/>
      <c r="M67" s="44">
        <f>10083053+4032610+1442395</f>
        <v>15558058</v>
      </c>
      <c r="N67" s="44"/>
      <c r="O67" s="44">
        <v>54465</v>
      </c>
      <c r="P67" s="44"/>
      <c r="Q67" s="44">
        <v>2544655</v>
      </c>
      <c r="R67" s="44"/>
      <c r="S67" s="44">
        <v>172788</v>
      </c>
      <c r="T67" s="44"/>
      <c r="U67" s="44">
        <f>97639+581505+163347+300975</f>
        <v>1143466</v>
      </c>
      <c r="V67" s="44"/>
      <c r="W67" s="44">
        <v>0</v>
      </c>
      <c r="X67" s="44"/>
      <c r="Y67" s="44">
        <v>0</v>
      </c>
      <c r="Z67" s="44"/>
      <c r="AA67" s="44">
        <f t="shared" si="1"/>
        <v>21226236</v>
      </c>
      <c r="AB67" s="44"/>
      <c r="AC67" s="44">
        <f t="shared" si="0"/>
        <v>35021193</v>
      </c>
    </row>
    <row r="68" spans="1:32" s="47" customFormat="1" ht="12.75" customHeight="1">
      <c r="A68" s="46" t="s">
        <v>87</v>
      </c>
      <c r="B68" s="46"/>
      <c r="C68" s="46" t="s">
        <v>88</v>
      </c>
      <c r="D68" s="46"/>
      <c r="E68" s="44">
        <v>558259</v>
      </c>
      <c r="F68" s="44"/>
      <c r="G68" s="44">
        <v>404533</v>
      </c>
      <c r="H68" s="44"/>
      <c r="I68" s="44">
        <v>25000</v>
      </c>
      <c r="J68" s="44"/>
      <c r="K68" s="44">
        <f>303236+51350</f>
        <v>354586</v>
      </c>
      <c r="L68" s="44"/>
      <c r="M68" s="44">
        <f>1666518+763066</f>
        <v>2429584</v>
      </c>
      <c r="N68" s="44"/>
      <c r="O68" s="44">
        <v>0</v>
      </c>
      <c r="P68" s="44"/>
      <c r="Q68" s="44">
        <v>562424</v>
      </c>
      <c r="R68" s="44"/>
      <c r="S68" s="44">
        <v>36219</v>
      </c>
      <c r="T68" s="44"/>
      <c r="U68" s="44">
        <f>79497+25585</f>
        <v>105082</v>
      </c>
      <c r="V68" s="44"/>
      <c r="W68" s="44">
        <v>-630000</v>
      </c>
      <c r="X68" s="44"/>
      <c r="Y68" s="44">
        <v>0</v>
      </c>
      <c r="Z68" s="44"/>
      <c r="AA68" s="44">
        <f t="shared" si="1"/>
        <v>2857895</v>
      </c>
      <c r="AB68" s="44"/>
      <c r="AC68" s="44">
        <f t="shared" si="0"/>
        <v>3845687</v>
      </c>
    </row>
    <row r="69" spans="1:32" s="47" customFormat="1" ht="12.75" customHeight="1">
      <c r="A69" s="47" t="s">
        <v>394</v>
      </c>
      <c r="C69" s="47" t="s">
        <v>89</v>
      </c>
      <c r="E69" s="44">
        <v>1222714</v>
      </c>
      <c r="F69" s="44"/>
      <c r="G69" s="44">
        <v>699620</v>
      </c>
      <c r="H69" s="44"/>
      <c r="I69" s="44">
        <v>337425</v>
      </c>
      <c r="J69" s="44"/>
      <c r="K69" s="44">
        <f>785909+155799</f>
        <v>941708</v>
      </c>
      <c r="L69" s="44"/>
      <c r="M69" s="44">
        <f>3802963+611838+356637+482557+896384</f>
        <v>6150379</v>
      </c>
      <c r="N69" s="44"/>
      <c r="O69" s="44">
        <v>1627904</v>
      </c>
      <c r="P69" s="44"/>
      <c r="Q69" s="44">
        <v>81244</v>
      </c>
      <c r="R69" s="44"/>
      <c r="S69" s="44">
        <v>289210</v>
      </c>
      <c r="T69" s="44"/>
      <c r="U69" s="44">
        <v>0</v>
      </c>
      <c r="V69" s="44"/>
      <c r="W69" s="44">
        <v>0</v>
      </c>
      <c r="X69" s="44"/>
      <c r="Y69" s="44">
        <v>0</v>
      </c>
      <c r="Z69" s="44"/>
      <c r="AA69" s="44">
        <f t="shared" ref="AA69" si="2">SUM(K69:Y69)</f>
        <v>9090445</v>
      </c>
      <c r="AB69" s="44"/>
      <c r="AC69" s="44">
        <f t="shared" si="0"/>
        <v>11350204</v>
      </c>
      <c r="AD69" s="46"/>
      <c r="AE69" s="46"/>
      <c r="AF69" s="46"/>
    </row>
    <row r="70" spans="1:32" s="47" customFormat="1" ht="12.75" customHeight="1">
      <c r="A70" s="47" t="s">
        <v>90</v>
      </c>
      <c r="C70" s="47" t="s">
        <v>43</v>
      </c>
      <c r="E70" s="44">
        <v>8807088</v>
      </c>
      <c r="F70" s="44"/>
      <c r="G70" s="44">
        <v>2737145</v>
      </c>
      <c r="H70" s="44"/>
      <c r="I70" s="44">
        <v>4920183</v>
      </c>
      <c r="J70" s="44"/>
      <c r="K70" s="44">
        <f>2484841+801519+567219+591</f>
        <v>3854170</v>
      </c>
      <c r="L70" s="44"/>
      <c r="M70" s="44">
        <f>51225715+17905904</f>
        <v>69131619</v>
      </c>
      <c r="N70" s="44"/>
      <c r="O70" s="44">
        <f>1540070+434575+7933317</f>
        <v>9907962</v>
      </c>
      <c r="P70" s="44"/>
      <c r="Q70" s="44">
        <v>1089249</v>
      </c>
      <c r="R70" s="44"/>
      <c r="S70" s="44">
        <v>1231993</v>
      </c>
      <c r="T70" s="44"/>
      <c r="U70" s="44">
        <v>1710383</v>
      </c>
      <c r="V70" s="44"/>
      <c r="W70" s="44">
        <v>-81537</v>
      </c>
      <c r="X70" s="44"/>
      <c r="Y70" s="44">
        <v>0</v>
      </c>
      <c r="Z70" s="44"/>
      <c r="AA70" s="44">
        <f t="shared" ref="AA70:AA129" si="3">SUM(K70:Y70)</f>
        <v>86843839</v>
      </c>
      <c r="AB70" s="44"/>
      <c r="AC70" s="44">
        <f t="shared" si="0"/>
        <v>103308255</v>
      </c>
    </row>
    <row r="71" spans="1:32" s="122" customFormat="1" ht="12.75" hidden="1" customHeight="1">
      <c r="A71" s="122" t="s">
        <v>488</v>
      </c>
      <c r="C71" s="122" t="s">
        <v>27</v>
      </c>
      <c r="E71" s="121">
        <v>0</v>
      </c>
      <c r="F71" s="121"/>
      <c r="G71" s="121">
        <v>0</v>
      </c>
      <c r="H71" s="121"/>
      <c r="I71" s="121">
        <v>0</v>
      </c>
      <c r="J71" s="121"/>
      <c r="K71" s="121">
        <v>0</v>
      </c>
      <c r="L71" s="121"/>
      <c r="M71" s="121">
        <v>0</v>
      </c>
      <c r="N71" s="121"/>
      <c r="O71" s="121">
        <v>0</v>
      </c>
      <c r="P71" s="121"/>
      <c r="Q71" s="121">
        <v>0</v>
      </c>
      <c r="R71" s="121"/>
      <c r="S71" s="121">
        <v>0</v>
      </c>
      <c r="T71" s="121"/>
      <c r="U71" s="121">
        <v>0</v>
      </c>
      <c r="V71" s="121"/>
      <c r="W71" s="121">
        <v>0</v>
      </c>
      <c r="X71" s="121"/>
      <c r="Y71" s="121">
        <v>0</v>
      </c>
      <c r="Z71" s="121"/>
      <c r="AA71" s="121">
        <f t="shared" si="3"/>
        <v>0</v>
      </c>
      <c r="AB71" s="121"/>
      <c r="AC71" s="121">
        <f t="shared" si="0"/>
        <v>0</v>
      </c>
    </row>
    <row r="72" spans="1:32" s="47" customFormat="1" ht="12.75" customHeight="1">
      <c r="A72" s="47" t="s">
        <v>471</v>
      </c>
      <c r="B72" s="46"/>
      <c r="C72" s="46"/>
      <c r="D72" s="46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8" t="s">
        <v>484</v>
      </c>
    </row>
    <row r="73" spans="1:32" s="47" customFormat="1" ht="12.75" customHeight="1">
      <c r="A73" s="44" t="s">
        <v>93</v>
      </c>
      <c r="C73" s="44" t="s">
        <v>94</v>
      </c>
      <c r="E73" s="46">
        <v>821672</v>
      </c>
      <c r="F73" s="46"/>
      <c r="G73" s="46">
        <v>1181904</v>
      </c>
      <c r="H73" s="46"/>
      <c r="I73" s="46">
        <v>58351</v>
      </c>
      <c r="J73" s="46"/>
      <c r="K73" s="46">
        <f>188630+645379+61144+84738</f>
        <v>979891</v>
      </c>
      <c r="L73" s="46"/>
      <c r="M73" s="46">
        <f>2530408+5623+203925</f>
        <v>2739956</v>
      </c>
      <c r="N73" s="46"/>
      <c r="O73" s="46">
        <v>0</v>
      </c>
      <c r="P73" s="46"/>
      <c r="Q73" s="46">
        <v>425498</v>
      </c>
      <c r="R73" s="46"/>
      <c r="S73" s="46">
        <v>4811</v>
      </c>
      <c r="T73" s="46"/>
      <c r="U73" s="46">
        <v>113721</v>
      </c>
      <c r="V73" s="46"/>
      <c r="W73" s="46">
        <v>0</v>
      </c>
      <c r="X73" s="46"/>
      <c r="Y73" s="46">
        <v>0</v>
      </c>
      <c r="Z73" s="46"/>
      <c r="AA73" s="46">
        <f t="shared" si="3"/>
        <v>4263877</v>
      </c>
      <c r="AB73" s="46"/>
      <c r="AC73" s="46">
        <f t="shared" si="0"/>
        <v>6325804</v>
      </c>
    </row>
    <row r="74" spans="1:32" s="46" customFormat="1" ht="12.75" customHeight="1">
      <c r="A74" s="46" t="s">
        <v>95</v>
      </c>
      <c r="C74" s="46" t="s">
        <v>94</v>
      </c>
      <c r="E74" s="44">
        <v>479503</v>
      </c>
      <c r="F74" s="44"/>
      <c r="G74" s="44">
        <v>326359</v>
      </c>
      <c r="H74" s="44"/>
      <c r="I74" s="44">
        <v>0</v>
      </c>
      <c r="J74" s="44"/>
      <c r="K74" s="44">
        <f>119675+364041</f>
        <v>483716</v>
      </c>
      <c r="L74" s="44"/>
      <c r="M74" s="44">
        <v>853290</v>
      </c>
      <c r="N74" s="44"/>
      <c r="O74" s="44">
        <v>440</v>
      </c>
      <c r="P74" s="44"/>
      <c r="Q74" s="44">
        <v>210187</v>
      </c>
      <c r="R74" s="44"/>
      <c r="S74" s="44">
        <v>1059</v>
      </c>
      <c r="T74" s="44"/>
      <c r="U74" s="44">
        <v>230476</v>
      </c>
      <c r="V74" s="44"/>
      <c r="W74" s="44">
        <v>0</v>
      </c>
      <c r="X74" s="44"/>
      <c r="Y74" s="44">
        <v>0</v>
      </c>
      <c r="Z74" s="44"/>
      <c r="AA74" s="44">
        <f t="shared" si="3"/>
        <v>1779168</v>
      </c>
      <c r="AB74" s="44"/>
      <c r="AC74" s="44">
        <f t="shared" si="0"/>
        <v>2585030</v>
      </c>
    </row>
    <row r="75" spans="1:32" s="122" customFormat="1" ht="12.75" hidden="1" customHeight="1">
      <c r="A75" s="122" t="s">
        <v>91</v>
      </c>
      <c r="C75" s="122" t="s">
        <v>92</v>
      </c>
      <c r="E75" s="121">
        <v>0</v>
      </c>
      <c r="F75" s="121"/>
      <c r="G75" s="121">
        <v>0</v>
      </c>
      <c r="H75" s="121"/>
      <c r="I75" s="121">
        <v>0</v>
      </c>
      <c r="J75" s="121"/>
      <c r="K75" s="121">
        <v>0</v>
      </c>
      <c r="L75" s="121"/>
      <c r="M75" s="121">
        <v>0</v>
      </c>
      <c r="N75" s="121"/>
      <c r="O75" s="121">
        <v>0</v>
      </c>
      <c r="P75" s="121"/>
      <c r="Q75" s="121">
        <v>0</v>
      </c>
      <c r="R75" s="121"/>
      <c r="S75" s="121">
        <v>0</v>
      </c>
      <c r="T75" s="121"/>
      <c r="U75" s="121">
        <v>0</v>
      </c>
      <c r="V75" s="121"/>
      <c r="W75" s="121">
        <v>0</v>
      </c>
      <c r="X75" s="121"/>
      <c r="Y75" s="121">
        <v>0</v>
      </c>
      <c r="Z75" s="121"/>
      <c r="AA75" s="121">
        <f t="shared" si="3"/>
        <v>0</v>
      </c>
      <c r="AB75" s="121"/>
      <c r="AC75" s="121">
        <f t="shared" si="0"/>
        <v>0</v>
      </c>
    </row>
    <row r="76" spans="1:32" s="47" customFormat="1" ht="12.75" customHeight="1">
      <c r="A76" s="47" t="s">
        <v>96</v>
      </c>
      <c r="C76" s="47" t="s">
        <v>97</v>
      </c>
      <c r="E76" s="44">
        <v>1687802</v>
      </c>
      <c r="F76" s="44"/>
      <c r="G76" s="44">
        <v>364982</v>
      </c>
      <c r="H76" s="44"/>
      <c r="I76" s="44">
        <v>302448</v>
      </c>
      <c r="J76" s="44"/>
      <c r="K76" s="44">
        <f>555171+40420+128444</f>
        <v>724035</v>
      </c>
      <c r="L76" s="44"/>
      <c r="M76" s="44">
        <v>3291119</v>
      </c>
      <c r="N76" s="44"/>
      <c r="O76" s="44">
        <v>0</v>
      </c>
      <c r="P76" s="44"/>
      <c r="Q76" s="44">
        <v>1051308</v>
      </c>
      <c r="R76" s="44"/>
      <c r="S76" s="44">
        <v>10999</v>
      </c>
      <c r="T76" s="44"/>
      <c r="U76" s="44">
        <f>3615+302974</f>
        <v>306589</v>
      </c>
      <c r="V76" s="44"/>
      <c r="W76" s="44">
        <v>0</v>
      </c>
      <c r="X76" s="44"/>
      <c r="Y76" s="44">
        <v>0</v>
      </c>
      <c r="Z76" s="44"/>
      <c r="AA76" s="44">
        <f t="shared" si="3"/>
        <v>5384050</v>
      </c>
      <c r="AB76" s="44"/>
      <c r="AC76" s="44">
        <f t="shared" si="0"/>
        <v>7739282</v>
      </c>
    </row>
    <row r="77" spans="1:32" s="47" customFormat="1" ht="12.75" customHeight="1">
      <c r="A77" s="47" t="s">
        <v>98</v>
      </c>
      <c r="C77" s="47" t="s">
        <v>17</v>
      </c>
      <c r="E77" s="44">
        <v>3614530</v>
      </c>
      <c r="F77" s="44"/>
      <c r="G77" s="44">
        <v>3470388</v>
      </c>
      <c r="H77" s="44"/>
      <c r="I77" s="44">
        <v>2301171</v>
      </c>
      <c r="J77" s="44"/>
      <c r="K77" s="44">
        <v>3883089</v>
      </c>
      <c r="L77" s="44"/>
      <c r="M77" s="44">
        <v>20115876</v>
      </c>
      <c r="N77" s="44"/>
      <c r="O77" s="44">
        <f>2822938+707350</f>
        <v>3530288</v>
      </c>
      <c r="P77" s="44"/>
      <c r="Q77" s="44">
        <v>4641035</v>
      </c>
      <c r="R77" s="44"/>
      <c r="S77" s="44">
        <v>17278</v>
      </c>
      <c r="T77" s="44"/>
      <c r="U77" s="44">
        <v>15827</v>
      </c>
      <c r="V77" s="44"/>
      <c r="W77" s="44">
        <v>0</v>
      </c>
      <c r="X77" s="44"/>
      <c r="Y77" s="44">
        <v>0</v>
      </c>
      <c r="Z77" s="44"/>
      <c r="AA77" s="44">
        <f t="shared" si="3"/>
        <v>32203393</v>
      </c>
      <c r="AB77" s="44"/>
      <c r="AC77" s="44">
        <f t="shared" si="0"/>
        <v>41589482</v>
      </c>
    </row>
    <row r="78" spans="1:32" s="47" customFormat="1" ht="12.75" customHeight="1">
      <c r="A78" s="47" t="s">
        <v>99</v>
      </c>
      <c r="C78" s="47" t="s">
        <v>66</v>
      </c>
      <c r="E78" s="44">
        <v>1492587</v>
      </c>
      <c r="F78" s="44"/>
      <c r="G78" s="44">
        <v>728984</v>
      </c>
      <c r="H78" s="44"/>
      <c r="I78" s="44">
        <v>548190</v>
      </c>
      <c r="J78" s="44"/>
      <c r="K78" s="44">
        <f>808559+457708+203732+70163</f>
        <v>1540162</v>
      </c>
      <c r="L78" s="44"/>
      <c r="M78" s="44">
        <v>5888588</v>
      </c>
      <c r="N78" s="44"/>
      <c r="O78" s="44">
        <v>357317</v>
      </c>
      <c r="P78" s="44"/>
      <c r="Q78" s="44">
        <v>936192</v>
      </c>
      <c r="R78" s="44"/>
      <c r="S78" s="44">
        <v>153599</v>
      </c>
      <c r="T78" s="44"/>
      <c r="U78" s="44">
        <v>30562</v>
      </c>
      <c r="V78" s="44"/>
      <c r="W78" s="44">
        <v>0</v>
      </c>
      <c r="X78" s="44"/>
      <c r="Y78" s="44">
        <v>0</v>
      </c>
      <c r="Z78" s="44"/>
      <c r="AA78" s="44">
        <f t="shared" si="3"/>
        <v>8906420</v>
      </c>
      <c r="AB78" s="44"/>
      <c r="AC78" s="44">
        <f t="shared" si="0"/>
        <v>11676181</v>
      </c>
    </row>
    <row r="79" spans="1:32" s="47" customFormat="1" ht="12.75" customHeight="1">
      <c r="A79" s="47" t="s">
        <v>100</v>
      </c>
      <c r="C79" s="47" t="s">
        <v>27</v>
      </c>
      <c r="E79" s="44">
        <v>11521019</v>
      </c>
      <c r="F79" s="44"/>
      <c r="G79" s="44">
        <v>6234538</v>
      </c>
      <c r="H79" s="44"/>
      <c r="I79" s="44">
        <v>0</v>
      </c>
      <c r="J79" s="44"/>
      <c r="K79" s="44">
        <v>5162960</v>
      </c>
      <c r="L79" s="44"/>
      <c r="M79" s="44">
        <v>22994810</v>
      </c>
      <c r="N79" s="44"/>
      <c r="O79" s="44">
        <v>174801</v>
      </c>
      <c r="P79" s="44"/>
      <c r="Q79" s="44">
        <v>6874711</v>
      </c>
      <c r="R79" s="44"/>
      <c r="S79" s="44">
        <v>173483</v>
      </c>
      <c r="T79" s="44"/>
      <c r="U79" s="44">
        <f>478453+478952</f>
        <v>957405</v>
      </c>
      <c r="V79" s="44"/>
      <c r="W79" s="44">
        <v>-5215</v>
      </c>
      <c r="X79" s="44"/>
      <c r="Y79" s="44">
        <v>0</v>
      </c>
      <c r="Z79" s="44"/>
      <c r="AA79" s="44">
        <f t="shared" si="3"/>
        <v>36332955</v>
      </c>
      <c r="AB79" s="44"/>
      <c r="AC79" s="44">
        <f t="shared" ref="AC79:AC129" si="4">SUM(E79:Y79)</f>
        <v>54088512</v>
      </c>
    </row>
    <row r="80" spans="1:32" s="47" customFormat="1" ht="12.75" customHeight="1">
      <c r="A80" s="47" t="s">
        <v>101</v>
      </c>
      <c r="C80" s="47" t="s">
        <v>30</v>
      </c>
      <c r="E80" s="44">
        <v>6839275</v>
      </c>
      <c r="F80" s="44"/>
      <c r="G80" s="44">
        <v>2601148</v>
      </c>
      <c r="H80" s="44"/>
      <c r="I80" s="44">
        <v>1154072</v>
      </c>
      <c r="J80" s="44"/>
      <c r="K80" s="44">
        <f>1645992+380949+152106+149388+139667</f>
        <v>2468102</v>
      </c>
      <c r="L80" s="44"/>
      <c r="M80" s="44">
        <f>7739285+1931190+1931190</f>
        <v>11601665</v>
      </c>
      <c r="N80" s="44"/>
      <c r="O80" s="44">
        <f>712099+339114</f>
        <v>1051213</v>
      </c>
      <c r="P80" s="44"/>
      <c r="Q80" s="44">
        <v>2158308</v>
      </c>
      <c r="R80" s="44"/>
      <c r="S80" s="44">
        <v>16369</v>
      </c>
      <c r="T80" s="44"/>
      <c r="U80" s="44">
        <v>397906</v>
      </c>
      <c r="V80" s="44"/>
      <c r="W80" s="44">
        <v>0</v>
      </c>
      <c r="X80" s="44"/>
      <c r="Y80" s="44">
        <v>0</v>
      </c>
      <c r="Z80" s="44"/>
      <c r="AA80" s="44">
        <f t="shared" si="3"/>
        <v>17693563</v>
      </c>
      <c r="AB80" s="44"/>
      <c r="AC80" s="44">
        <f t="shared" si="4"/>
        <v>28288058</v>
      </c>
    </row>
    <row r="81" spans="1:29" s="47" customFormat="1" ht="12.75" customHeight="1">
      <c r="A81" s="47" t="s">
        <v>102</v>
      </c>
      <c r="C81" s="47" t="s">
        <v>103</v>
      </c>
      <c r="E81" s="44">
        <v>4430702</v>
      </c>
      <c r="F81" s="44"/>
      <c r="G81" s="44">
        <v>3010499</v>
      </c>
      <c r="H81" s="44"/>
      <c r="I81" s="44">
        <v>790846</v>
      </c>
      <c r="J81" s="44"/>
      <c r="K81" s="44">
        <f>1551760+3799059</f>
        <v>5350819</v>
      </c>
      <c r="L81" s="44"/>
      <c r="M81" s="44">
        <v>23206157</v>
      </c>
      <c r="N81" s="44"/>
      <c r="O81" s="44">
        <v>0</v>
      </c>
      <c r="P81" s="44"/>
      <c r="Q81" s="44">
        <v>2143796</v>
      </c>
      <c r="R81" s="44"/>
      <c r="S81" s="44">
        <v>216726</v>
      </c>
      <c r="T81" s="44"/>
      <c r="U81" s="44">
        <v>211309</v>
      </c>
      <c r="V81" s="44"/>
      <c r="W81" s="44">
        <v>-918072</v>
      </c>
      <c r="X81" s="44"/>
      <c r="Y81" s="44">
        <v>0</v>
      </c>
      <c r="Z81" s="44"/>
      <c r="AA81" s="44">
        <f t="shared" si="3"/>
        <v>30210735</v>
      </c>
      <c r="AB81" s="44"/>
      <c r="AC81" s="44">
        <f t="shared" si="4"/>
        <v>38442782</v>
      </c>
    </row>
    <row r="82" spans="1:29" s="47" customFormat="1" ht="12.75" customHeight="1">
      <c r="A82" s="47" t="s">
        <v>104</v>
      </c>
      <c r="C82" s="47" t="s">
        <v>13</v>
      </c>
      <c r="E82" s="44">
        <v>951279</v>
      </c>
      <c r="F82" s="44"/>
      <c r="G82" s="44">
        <v>330395</v>
      </c>
      <c r="H82" s="44"/>
      <c r="I82" s="44">
        <v>267396</v>
      </c>
      <c r="J82" s="44"/>
      <c r="K82" s="44">
        <f>809403+171386</f>
        <v>980789</v>
      </c>
      <c r="L82" s="44"/>
      <c r="M82" s="44">
        <f>6621890+1677674</f>
        <v>8299564</v>
      </c>
      <c r="N82" s="44"/>
      <c r="O82" s="44">
        <v>2539728</v>
      </c>
      <c r="P82" s="44"/>
      <c r="Q82" s="44">
        <v>1478728</v>
      </c>
      <c r="R82" s="44"/>
      <c r="S82" s="44">
        <v>36171</v>
      </c>
      <c r="T82" s="44"/>
      <c r="U82" s="44">
        <v>231754</v>
      </c>
      <c r="V82" s="44"/>
      <c r="W82" s="44">
        <v>0</v>
      </c>
      <c r="X82" s="44"/>
      <c r="Y82" s="44">
        <v>0</v>
      </c>
      <c r="Z82" s="44"/>
      <c r="AA82" s="44">
        <f t="shared" si="3"/>
        <v>13566734</v>
      </c>
      <c r="AB82" s="44"/>
      <c r="AC82" s="44">
        <f t="shared" si="4"/>
        <v>15115804</v>
      </c>
    </row>
    <row r="83" spans="1:29" s="47" customFormat="1" ht="12.75" customHeight="1">
      <c r="A83" s="47" t="s">
        <v>105</v>
      </c>
      <c r="C83" s="47" t="s">
        <v>27</v>
      </c>
      <c r="E83" s="44">
        <v>2778659</v>
      </c>
      <c r="F83" s="44"/>
      <c r="G83" s="44">
        <v>959018</v>
      </c>
      <c r="H83" s="44"/>
      <c r="I83" s="44">
        <v>169922</v>
      </c>
      <c r="J83" s="44"/>
      <c r="K83" s="44">
        <f>2721242+278883+290671+153227+294014</f>
        <v>3738037</v>
      </c>
      <c r="L83" s="44"/>
      <c r="M83" s="44">
        <f>4601899+917466+1834786</f>
        <v>7354151</v>
      </c>
      <c r="N83" s="44"/>
      <c r="O83" s="44">
        <v>211439</v>
      </c>
      <c r="P83" s="44"/>
      <c r="Q83" s="44">
        <v>1818333</v>
      </c>
      <c r="R83" s="44"/>
      <c r="S83" s="44">
        <v>4553</v>
      </c>
      <c r="T83" s="44"/>
      <c r="U83" s="44">
        <f>98176+5400+185800</f>
        <v>289376</v>
      </c>
      <c r="V83" s="44"/>
      <c r="W83" s="44">
        <v>-113646</v>
      </c>
      <c r="X83" s="44"/>
      <c r="Y83" s="44">
        <v>0</v>
      </c>
      <c r="Z83" s="44"/>
      <c r="AA83" s="44">
        <f t="shared" si="3"/>
        <v>13302243</v>
      </c>
      <c r="AB83" s="44"/>
      <c r="AC83" s="44">
        <f t="shared" si="4"/>
        <v>17209842</v>
      </c>
    </row>
    <row r="84" spans="1:29" s="47" customFormat="1" ht="12.75" customHeight="1">
      <c r="A84" s="47" t="s">
        <v>106</v>
      </c>
      <c r="C84" s="47" t="s">
        <v>107</v>
      </c>
      <c r="E84" s="44">
        <v>4563347</v>
      </c>
      <c r="F84" s="44"/>
      <c r="G84" s="44">
        <v>4348205</v>
      </c>
      <c r="H84" s="44"/>
      <c r="I84" s="44">
        <v>854821</v>
      </c>
      <c r="J84" s="44"/>
      <c r="K84" s="44">
        <f>2705027+534026</f>
        <v>3239053</v>
      </c>
      <c r="L84" s="44"/>
      <c r="M84" s="44">
        <v>19286729</v>
      </c>
      <c r="N84" s="44"/>
      <c r="O84" s="44">
        <v>0</v>
      </c>
      <c r="P84" s="44"/>
      <c r="Q84" s="44">
        <v>2685135</v>
      </c>
      <c r="R84" s="44"/>
      <c r="S84" s="44">
        <v>11689</v>
      </c>
      <c r="T84" s="44"/>
      <c r="U84" s="44">
        <f>49253-27+500982</f>
        <v>550208</v>
      </c>
      <c r="V84" s="44"/>
      <c r="W84" s="44">
        <v>228095</v>
      </c>
      <c r="X84" s="44"/>
      <c r="Y84" s="44">
        <v>0</v>
      </c>
      <c r="Z84" s="44"/>
      <c r="AA84" s="44">
        <f t="shared" si="3"/>
        <v>26000909</v>
      </c>
      <c r="AB84" s="44"/>
      <c r="AC84" s="44">
        <f t="shared" si="4"/>
        <v>35767282</v>
      </c>
    </row>
    <row r="85" spans="1:29" s="47" customFormat="1" ht="12.75" customHeight="1">
      <c r="A85" s="47" t="s">
        <v>108</v>
      </c>
      <c r="C85" s="47" t="s">
        <v>45</v>
      </c>
      <c r="E85" s="44">
        <v>2664493</v>
      </c>
      <c r="F85" s="44"/>
      <c r="G85" s="44">
        <v>1095390</v>
      </c>
      <c r="H85" s="44"/>
      <c r="I85" s="44">
        <v>261618</v>
      </c>
      <c r="J85" s="44"/>
      <c r="K85" s="44">
        <f>3146751+3832419</f>
        <v>6979170</v>
      </c>
      <c r="L85" s="44"/>
      <c r="M85" s="44">
        <v>7457932</v>
      </c>
      <c r="N85" s="44"/>
      <c r="O85" s="44">
        <v>873044</v>
      </c>
      <c r="P85" s="44"/>
      <c r="Q85" s="44">
        <v>610454</v>
      </c>
      <c r="R85" s="44"/>
      <c r="S85" s="44">
        <v>101759</v>
      </c>
      <c r="T85" s="44"/>
      <c r="U85" s="44">
        <v>358219</v>
      </c>
      <c r="V85" s="44"/>
      <c r="W85" s="44">
        <v>0</v>
      </c>
      <c r="X85" s="44"/>
      <c r="Y85" s="44">
        <v>0</v>
      </c>
      <c r="Z85" s="44"/>
      <c r="AA85" s="44">
        <f t="shared" si="3"/>
        <v>16380578</v>
      </c>
      <c r="AB85" s="44"/>
      <c r="AC85" s="44">
        <f t="shared" si="4"/>
        <v>20402079</v>
      </c>
    </row>
    <row r="86" spans="1:29" s="44" customFormat="1" ht="12.75" customHeight="1">
      <c r="A86" s="44" t="s">
        <v>109</v>
      </c>
      <c r="C86" s="44" t="s">
        <v>110</v>
      </c>
      <c r="E86" s="44">
        <v>619443</v>
      </c>
      <c r="G86" s="44">
        <v>1346962</v>
      </c>
      <c r="I86" s="44">
        <v>412277</v>
      </c>
      <c r="K86" s="44">
        <f>623146+94932</f>
        <v>718078</v>
      </c>
      <c r="M86" s="44">
        <v>4563495</v>
      </c>
      <c r="O86" s="44">
        <v>0</v>
      </c>
      <c r="Q86" s="44">
        <v>736337</v>
      </c>
      <c r="S86" s="44">
        <v>57575</v>
      </c>
      <c r="U86" s="44">
        <f>196566+166317</f>
        <v>362883</v>
      </c>
      <c r="W86" s="44">
        <v>-460989</v>
      </c>
      <c r="Y86" s="44">
        <v>0</v>
      </c>
      <c r="AA86" s="44">
        <f t="shared" si="3"/>
        <v>5977379</v>
      </c>
      <c r="AC86" s="44">
        <f t="shared" si="4"/>
        <v>8356061</v>
      </c>
    </row>
    <row r="87" spans="1:29" s="47" customFormat="1" ht="12.75" customHeight="1">
      <c r="A87" s="47" t="s">
        <v>43</v>
      </c>
      <c r="C87" s="47" t="s">
        <v>111</v>
      </c>
      <c r="E87" s="44">
        <v>1190331</v>
      </c>
      <c r="F87" s="44"/>
      <c r="G87" s="44">
        <v>1388880</v>
      </c>
      <c r="H87" s="44"/>
      <c r="I87" s="44">
        <v>1189044</v>
      </c>
      <c r="J87" s="44"/>
      <c r="K87" s="44">
        <v>997738</v>
      </c>
      <c r="L87" s="44"/>
      <c r="M87" s="44">
        <v>5900995</v>
      </c>
      <c r="N87" s="44"/>
      <c r="O87" s="44">
        <v>327335</v>
      </c>
      <c r="P87" s="44"/>
      <c r="Q87" s="44">
        <v>614411</v>
      </c>
      <c r="R87" s="44"/>
      <c r="S87" s="44">
        <v>55726</v>
      </c>
      <c r="T87" s="44"/>
      <c r="U87" s="44">
        <v>193262</v>
      </c>
      <c r="V87" s="44"/>
      <c r="W87" s="44">
        <v>-138530</v>
      </c>
      <c r="X87" s="44"/>
      <c r="Y87" s="44">
        <v>0</v>
      </c>
      <c r="Z87" s="44"/>
      <c r="AA87" s="44">
        <f t="shared" si="3"/>
        <v>7950937</v>
      </c>
      <c r="AB87" s="44"/>
      <c r="AC87" s="44">
        <f t="shared" si="4"/>
        <v>11719192</v>
      </c>
    </row>
    <row r="88" spans="1:29" s="47" customFormat="1" ht="12.75" customHeight="1">
      <c r="A88" s="47" t="s">
        <v>112</v>
      </c>
      <c r="C88" s="47" t="s">
        <v>76</v>
      </c>
      <c r="E88" s="44">
        <v>928668</v>
      </c>
      <c r="F88" s="44"/>
      <c r="G88" s="44">
        <v>1156043</v>
      </c>
      <c r="H88" s="44"/>
      <c r="I88" s="44">
        <v>277334</v>
      </c>
      <c r="J88" s="44"/>
      <c r="K88" s="44">
        <f>913415+89129+89129</f>
        <v>1091673</v>
      </c>
      <c r="L88" s="44"/>
      <c r="M88" s="44">
        <v>8077038</v>
      </c>
      <c r="N88" s="44"/>
      <c r="O88" s="44">
        <v>0</v>
      </c>
      <c r="P88" s="44"/>
      <c r="Q88" s="44">
        <v>1169334</v>
      </c>
      <c r="R88" s="44"/>
      <c r="S88" s="44">
        <v>102822</v>
      </c>
      <c r="T88" s="44"/>
      <c r="U88" s="44">
        <v>202028</v>
      </c>
      <c r="V88" s="44"/>
      <c r="W88" s="44">
        <v>-853958</v>
      </c>
      <c r="X88" s="44"/>
      <c r="Y88" s="44">
        <v>0</v>
      </c>
      <c r="Z88" s="44"/>
      <c r="AA88" s="44">
        <f t="shared" si="3"/>
        <v>9788937</v>
      </c>
      <c r="AB88" s="44"/>
      <c r="AC88" s="44">
        <f t="shared" si="4"/>
        <v>12150982</v>
      </c>
    </row>
    <row r="89" spans="1:29" s="47" customFormat="1" ht="12.75" customHeight="1">
      <c r="A89" s="47" t="s">
        <v>113</v>
      </c>
      <c r="C89" s="47" t="s">
        <v>43</v>
      </c>
      <c r="E89" s="44">
        <v>4515039</v>
      </c>
      <c r="F89" s="44"/>
      <c r="G89" s="44">
        <v>3790359</v>
      </c>
      <c r="H89" s="44"/>
      <c r="I89" s="44">
        <v>40964</v>
      </c>
      <c r="J89" s="44"/>
      <c r="K89" s="44">
        <f>1612081+258003+266656</f>
        <v>2136740</v>
      </c>
      <c r="L89" s="44"/>
      <c r="M89" s="44">
        <v>12902689</v>
      </c>
      <c r="N89" s="44"/>
      <c r="O89" s="44">
        <f>2661218+868501</f>
        <v>3529719</v>
      </c>
      <c r="P89" s="44"/>
      <c r="Q89" s="44">
        <v>2033301</v>
      </c>
      <c r="R89" s="44"/>
      <c r="S89" s="44">
        <v>736662</v>
      </c>
      <c r="T89" s="44"/>
      <c r="U89" s="44">
        <f>-27004+43977+434711</f>
        <v>451684</v>
      </c>
      <c r="V89" s="44"/>
      <c r="W89" s="44">
        <v>0</v>
      </c>
      <c r="X89" s="44"/>
      <c r="Y89" s="44">
        <v>0</v>
      </c>
      <c r="Z89" s="44"/>
      <c r="AA89" s="44">
        <f t="shared" si="3"/>
        <v>21790795</v>
      </c>
      <c r="AB89" s="44"/>
      <c r="AC89" s="44">
        <f t="shared" si="4"/>
        <v>30137157</v>
      </c>
    </row>
    <row r="90" spans="1:29" s="47" customFormat="1" ht="12.75" customHeight="1">
      <c r="A90" s="47" t="s">
        <v>489</v>
      </c>
      <c r="C90" s="47" t="s">
        <v>57</v>
      </c>
      <c r="E90" s="44">
        <v>1390140</v>
      </c>
      <c r="F90" s="44"/>
      <c r="G90" s="44">
        <v>878958</v>
      </c>
      <c r="H90" s="44"/>
      <c r="I90" s="44">
        <v>400537</v>
      </c>
      <c r="J90" s="44"/>
      <c r="K90" s="44">
        <f>372380+65082</f>
        <v>437462</v>
      </c>
      <c r="L90" s="44"/>
      <c r="M90" s="44">
        <f>2024615+1799965+221522</f>
        <v>4046102</v>
      </c>
      <c r="N90" s="44"/>
      <c r="O90" s="44">
        <f>460074+119933</f>
        <v>580007</v>
      </c>
      <c r="P90" s="44"/>
      <c r="Q90" s="44">
        <v>252468</v>
      </c>
      <c r="R90" s="44"/>
      <c r="S90" s="44">
        <v>24420</v>
      </c>
      <c r="T90" s="44"/>
      <c r="U90" s="44">
        <v>785760</v>
      </c>
      <c r="V90" s="44"/>
      <c r="W90" s="44">
        <v>8922</v>
      </c>
      <c r="X90" s="44"/>
      <c r="Y90" s="44">
        <v>0</v>
      </c>
      <c r="Z90" s="44"/>
      <c r="AA90" s="44">
        <f t="shared" si="3"/>
        <v>6135141</v>
      </c>
      <c r="AB90" s="44"/>
      <c r="AC90" s="44">
        <f t="shared" si="4"/>
        <v>8804776</v>
      </c>
    </row>
    <row r="91" spans="1:29" s="47" customFormat="1" ht="12.75" customHeight="1">
      <c r="A91" s="47" t="s">
        <v>114</v>
      </c>
      <c r="C91" s="47" t="s">
        <v>27</v>
      </c>
      <c r="E91" s="44">
        <v>7099360</v>
      </c>
      <c r="F91" s="44"/>
      <c r="G91" s="44">
        <v>3872790</v>
      </c>
      <c r="H91" s="44"/>
      <c r="I91" s="44">
        <v>326629</v>
      </c>
      <c r="J91" s="44"/>
      <c r="K91" s="44">
        <f>9440117+948237+518235+135195+135195+76955+1640330+513033</f>
        <v>13407297</v>
      </c>
      <c r="L91" s="44"/>
      <c r="M91" s="44">
        <f>6649386+1056528+1066293+620610+531951</f>
        <v>9924768</v>
      </c>
      <c r="N91" s="44"/>
      <c r="O91" s="44">
        <f>1718234+264692</f>
        <v>1982926</v>
      </c>
      <c r="P91" s="44"/>
      <c r="Q91" s="44">
        <v>1122430</v>
      </c>
      <c r="R91" s="44"/>
      <c r="S91" s="44">
        <v>1985</v>
      </c>
      <c r="T91" s="44"/>
      <c r="U91" s="44">
        <v>313529</v>
      </c>
      <c r="V91" s="44"/>
      <c r="W91" s="44">
        <v>0</v>
      </c>
      <c r="X91" s="44"/>
      <c r="Y91" s="44">
        <v>0</v>
      </c>
      <c r="Z91" s="44"/>
      <c r="AA91" s="44">
        <f t="shared" si="3"/>
        <v>26752935</v>
      </c>
      <c r="AB91" s="44"/>
      <c r="AC91" s="44">
        <f t="shared" si="4"/>
        <v>38051714</v>
      </c>
    </row>
    <row r="92" spans="1:29" s="47" customFormat="1" ht="12.75" customHeight="1">
      <c r="A92" s="47" t="s">
        <v>115</v>
      </c>
      <c r="C92" s="47" t="s">
        <v>19</v>
      </c>
      <c r="E92" s="44">
        <v>500305</v>
      </c>
      <c r="F92" s="44"/>
      <c r="G92" s="44">
        <v>397803</v>
      </c>
      <c r="H92" s="44"/>
      <c r="I92" s="44">
        <v>1402080</v>
      </c>
      <c r="J92" s="44"/>
      <c r="K92" s="44">
        <f>521005+31644</f>
        <v>552649</v>
      </c>
      <c r="L92" s="44"/>
      <c r="M92" s="44">
        <v>2559755</v>
      </c>
      <c r="N92" s="44"/>
      <c r="O92" s="44">
        <v>0</v>
      </c>
      <c r="P92" s="44"/>
      <c r="Q92" s="44">
        <v>853852</v>
      </c>
      <c r="R92" s="44"/>
      <c r="S92" s="44">
        <v>9777</v>
      </c>
      <c r="T92" s="44"/>
      <c r="U92" s="44">
        <v>20429</v>
      </c>
      <c r="V92" s="44"/>
      <c r="W92" s="44">
        <v>-24672</v>
      </c>
      <c r="X92" s="44"/>
      <c r="Y92" s="44">
        <v>0</v>
      </c>
      <c r="Z92" s="44"/>
      <c r="AA92" s="44">
        <f t="shared" si="3"/>
        <v>3971790</v>
      </c>
      <c r="AB92" s="44"/>
      <c r="AC92" s="44">
        <f t="shared" si="4"/>
        <v>6271978</v>
      </c>
    </row>
    <row r="93" spans="1:29" s="47" customFormat="1" ht="12.75" customHeight="1">
      <c r="A93" s="47" t="s">
        <v>116</v>
      </c>
      <c r="C93" s="47" t="s">
        <v>80</v>
      </c>
      <c r="E93" s="44">
        <v>1802894</v>
      </c>
      <c r="F93" s="44"/>
      <c r="G93" s="44">
        <v>2181139</v>
      </c>
      <c r="H93" s="44"/>
      <c r="I93" s="44">
        <v>49153</v>
      </c>
      <c r="J93" s="44"/>
      <c r="K93" s="44">
        <f>238145+256935+318061+31413+21086+188976</f>
        <v>1054616</v>
      </c>
      <c r="L93" s="44"/>
      <c r="M93" s="44">
        <f>2866892+85617+2927+30640</f>
        <v>2986076</v>
      </c>
      <c r="N93" s="44"/>
      <c r="O93" s="44">
        <v>0</v>
      </c>
      <c r="P93" s="44"/>
      <c r="Q93" s="44">
        <v>414991</v>
      </c>
      <c r="R93" s="44"/>
      <c r="S93" s="44">
        <v>3472</v>
      </c>
      <c r="T93" s="44"/>
      <c r="U93" s="44">
        <v>143596</v>
      </c>
      <c r="V93" s="44"/>
      <c r="W93" s="44">
        <v>0</v>
      </c>
      <c r="X93" s="44"/>
      <c r="Y93" s="44">
        <v>0</v>
      </c>
      <c r="Z93" s="44"/>
      <c r="AA93" s="44">
        <f t="shared" si="3"/>
        <v>4602751</v>
      </c>
      <c r="AB93" s="44"/>
      <c r="AC93" s="44">
        <f t="shared" si="4"/>
        <v>8635937</v>
      </c>
    </row>
    <row r="94" spans="1:29" s="47" customFormat="1" ht="12.75" customHeight="1">
      <c r="A94" s="47" t="s">
        <v>117</v>
      </c>
      <c r="C94" s="47" t="s">
        <v>43</v>
      </c>
      <c r="E94" s="44">
        <v>1480538</v>
      </c>
      <c r="F94" s="44"/>
      <c r="G94" s="44">
        <v>1606592</v>
      </c>
      <c r="H94" s="44"/>
      <c r="I94" s="44">
        <v>7783106</v>
      </c>
      <c r="J94" s="44"/>
      <c r="K94" s="44">
        <f>1449858+163775</f>
        <v>1613633</v>
      </c>
      <c r="L94" s="44"/>
      <c r="M94" s="44">
        <f>4404879+154654</f>
        <v>4559533</v>
      </c>
      <c r="N94" s="44"/>
      <c r="O94" s="44">
        <v>0</v>
      </c>
      <c r="P94" s="44"/>
      <c r="Q94" s="44">
        <v>1013394</v>
      </c>
      <c r="R94" s="44"/>
      <c r="S94" s="44">
        <v>104581</v>
      </c>
      <c r="T94" s="44"/>
      <c r="U94" s="44">
        <v>68413</v>
      </c>
      <c r="V94" s="44"/>
      <c r="W94" s="44">
        <v>0</v>
      </c>
      <c r="X94" s="44"/>
      <c r="Y94" s="44">
        <v>0</v>
      </c>
      <c r="Z94" s="44"/>
      <c r="AA94" s="44">
        <f t="shared" si="3"/>
        <v>7359554</v>
      </c>
      <c r="AB94" s="44"/>
      <c r="AC94" s="44">
        <f t="shared" si="4"/>
        <v>18229790</v>
      </c>
    </row>
    <row r="95" spans="1:29" s="47" customFormat="1" ht="12.75" customHeight="1">
      <c r="A95" s="47" t="s">
        <v>118</v>
      </c>
      <c r="C95" s="47" t="s">
        <v>13</v>
      </c>
      <c r="E95" s="44">
        <v>1571983</v>
      </c>
      <c r="F95" s="44"/>
      <c r="G95" s="44">
        <v>1702451</v>
      </c>
      <c r="H95" s="44"/>
      <c r="I95" s="44">
        <v>2875543</v>
      </c>
      <c r="J95" s="44"/>
      <c r="K95" s="44">
        <f>1517589+130472</f>
        <v>1648061</v>
      </c>
      <c r="L95" s="44"/>
      <c r="M95" s="44">
        <f>16033012+1170263</f>
        <v>17203275</v>
      </c>
      <c r="N95" s="44"/>
      <c r="O95" s="44">
        <f>373103+1464665</f>
        <v>1837768</v>
      </c>
      <c r="P95" s="44"/>
      <c r="Q95" s="44">
        <v>2432528</v>
      </c>
      <c r="R95" s="44"/>
      <c r="S95" s="44">
        <v>312138</v>
      </c>
      <c r="T95" s="44"/>
      <c r="U95" s="44">
        <f>133052+582514</f>
        <v>715566</v>
      </c>
      <c r="V95" s="44"/>
      <c r="W95" s="44">
        <v>0</v>
      </c>
      <c r="X95" s="44"/>
      <c r="Y95" s="44">
        <v>0</v>
      </c>
      <c r="Z95" s="44"/>
      <c r="AA95" s="44">
        <f t="shared" si="3"/>
        <v>24149336</v>
      </c>
      <c r="AB95" s="44"/>
      <c r="AC95" s="44">
        <f t="shared" si="4"/>
        <v>30299313</v>
      </c>
    </row>
    <row r="96" spans="1:29" s="47" customFormat="1" ht="12.75" customHeight="1">
      <c r="A96" s="47" t="s">
        <v>120</v>
      </c>
      <c r="C96" s="47" t="s">
        <v>121</v>
      </c>
      <c r="E96" s="44">
        <v>530444</v>
      </c>
      <c r="F96" s="44"/>
      <c r="G96" s="44">
        <v>1499936</v>
      </c>
      <c r="H96" s="44"/>
      <c r="I96" s="44">
        <v>25037</v>
      </c>
      <c r="J96" s="44"/>
      <c r="K96" s="44">
        <f>1365418+155348</f>
        <v>1520766</v>
      </c>
      <c r="L96" s="44"/>
      <c r="M96" s="44">
        <v>5406559</v>
      </c>
      <c r="N96" s="44"/>
      <c r="O96" s="44">
        <v>226653</v>
      </c>
      <c r="P96" s="44"/>
      <c r="Q96" s="44">
        <v>839900</v>
      </c>
      <c r="R96" s="44"/>
      <c r="S96" s="44">
        <v>2881</v>
      </c>
      <c r="T96" s="44"/>
      <c r="U96" s="44">
        <v>49338</v>
      </c>
      <c r="V96" s="44"/>
      <c r="W96" s="44">
        <v>-25000</v>
      </c>
      <c r="X96" s="44"/>
      <c r="Y96" s="44">
        <v>0</v>
      </c>
      <c r="Z96" s="44"/>
      <c r="AA96" s="44">
        <f t="shared" si="3"/>
        <v>8021097</v>
      </c>
      <c r="AB96" s="44"/>
      <c r="AC96" s="44">
        <f t="shared" si="4"/>
        <v>10076514</v>
      </c>
    </row>
    <row r="97" spans="1:29" s="47" customFormat="1" ht="12.75" customHeight="1">
      <c r="A97" s="47" t="s">
        <v>122</v>
      </c>
      <c r="C97" s="47" t="s">
        <v>43</v>
      </c>
      <c r="E97" s="44">
        <v>2432983</v>
      </c>
      <c r="F97" s="44"/>
      <c r="G97" s="44">
        <v>2365700</v>
      </c>
      <c r="H97" s="44"/>
      <c r="I97" s="44">
        <v>5540039</v>
      </c>
      <c r="J97" s="44"/>
      <c r="K97" s="44">
        <f>1050517+849758+1072050</f>
        <v>2972325</v>
      </c>
      <c r="L97" s="44"/>
      <c r="M97" s="44">
        <v>17237914</v>
      </c>
      <c r="N97" s="44"/>
      <c r="O97" s="44">
        <f>4020452+1116660</f>
        <v>5137112</v>
      </c>
      <c r="P97" s="44"/>
      <c r="Q97" s="44">
        <v>1970289</v>
      </c>
      <c r="R97" s="44"/>
      <c r="S97" s="44">
        <v>649141</v>
      </c>
      <c r="T97" s="44"/>
      <c r="U97" s="44">
        <v>72916</v>
      </c>
      <c r="V97" s="44"/>
      <c r="W97" s="44">
        <v>-38321</v>
      </c>
      <c r="X97" s="44"/>
      <c r="Y97" s="44">
        <v>0</v>
      </c>
      <c r="Z97" s="44"/>
      <c r="AA97" s="44">
        <f t="shared" si="3"/>
        <v>28001376</v>
      </c>
      <c r="AB97" s="44"/>
      <c r="AC97" s="44">
        <f t="shared" si="4"/>
        <v>38340098</v>
      </c>
    </row>
    <row r="98" spans="1:29" s="47" customFormat="1" ht="12.75" customHeight="1">
      <c r="A98" s="47" t="s">
        <v>45</v>
      </c>
      <c r="C98" s="47" t="s">
        <v>103</v>
      </c>
      <c r="E98" s="44">
        <v>14769095</v>
      </c>
      <c r="F98" s="44"/>
      <c r="G98" s="44">
        <v>7464150</v>
      </c>
      <c r="H98" s="44"/>
      <c r="I98" s="44">
        <v>2204021</v>
      </c>
      <c r="J98" s="44"/>
      <c r="K98" s="44">
        <f>2499057+2815944+506883</f>
        <v>5821884</v>
      </c>
      <c r="L98" s="44"/>
      <c r="M98" s="44">
        <v>22230625</v>
      </c>
      <c r="N98" s="44"/>
      <c r="O98" s="44">
        <v>3320379</v>
      </c>
      <c r="P98" s="44"/>
      <c r="Q98" s="44">
        <v>5674578</v>
      </c>
      <c r="R98" s="44"/>
      <c r="S98" s="44">
        <v>100931</v>
      </c>
      <c r="T98" s="44"/>
      <c r="U98" s="44">
        <v>1135031</v>
      </c>
      <c r="V98" s="44"/>
      <c r="W98" s="44">
        <v>0</v>
      </c>
      <c r="X98" s="44"/>
      <c r="Y98" s="44">
        <v>0</v>
      </c>
      <c r="Z98" s="44"/>
      <c r="AA98" s="44">
        <f t="shared" si="3"/>
        <v>38283428</v>
      </c>
      <c r="AB98" s="44"/>
      <c r="AC98" s="44">
        <f t="shared" si="4"/>
        <v>62720694</v>
      </c>
    </row>
    <row r="99" spans="1:29" s="47" customFormat="1" ht="12.75" customHeight="1">
      <c r="A99" s="47" t="s">
        <v>123</v>
      </c>
      <c r="C99" s="47" t="s">
        <v>45</v>
      </c>
      <c r="E99" s="44">
        <v>1399559</v>
      </c>
      <c r="F99" s="44"/>
      <c r="G99" s="44">
        <v>877907</v>
      </c>
      <c r="H99" s="44"/>
      <c r="I99" s="44">
        <v>0</v>
      </c>
      <c r="J99" s="44"/>
      <c r="K99" s="44">
        <f>1415447+1151918+58466+18318+62672</f>
        <v>2706821</v>
      </c>
      <c r="L99" s="44"/>
      <c r="M99" s="44">
        <v>2927295</v>
      </c>
      <c r="N99" s="44"/>
      <c r="O99" s="44">
        <v>259559</v>
      </c>
      <c r="P99" s="44"/>
      <c r="Q99" s="44">
        <v>603081</v>
      </c>
      <c r="R99" s="44"/>
      <c r="S99" s="44">
        <v>56698</v>
      </c>
      <c r="T99" s="44"/>
      <c r="U99" s="44">
        <v>99419</v>
      </c>
      <c r="V99" s="44"/>
      <c r="W99" s="44">
        <v>0</v>
      </c>
      <c r="X99" s="44"/>
      <c r="Y99" s="44">
        <v>0</v>
      </c>
      <c r="Z99" s="44"/>
      <c r="AA99" s="44">
        <f t="shared" si="3"/>
        <v>6652873</v>
      </c>
      <c r="AB99" s="44"/>
      <c r="AC99" s="44">
        <f t="shared" si="4"/>
        <v>8930339</v>
      </c>
    </row>
    <row r="100" spans="1:29" s="47" customFormat="1" ht="12.75" customHeight="1">
      <c r="A100" s="47" t="s">
        <v>124</v>
      </c>
      <c r="C100" s="47" t="s">
        <v>125</v>
      </c>
      <c r="E100" s="44">
        <v>1090898</v>
      </c>
      <c r="F100" s="44"/>
      <c r="G100" s="44">
        <v>641344</v>
      </c>
      <c r="H100" s="44"/>
      <c r="I100" s="44">
        <v>1596123</v>
      </c>
      <c r="J100" s="44"/>
      <c r="K100" s="44">
        <v>1183579</v>
      </c>
      <c r="L100" s="44"/>
      <c r="M100" s="44">
        <v>4888977</v>
      </c>
      <c r="N100" s="44"/>
      <c r="O100" s="44">
        <v>10098</v>
      </c>
      <c r="P100" s="44"/>
      <c r="Q100" s="44">
        <v>947666</v>
      </c>
      <c r="R100" s="44"/>
      <c r="S100" s="44">
        <v>160386</v>
      </c>
      <c r="T100" s="44"/>
      <c r="U100" s="44">
        <v>73618</v>
      </c>
      <c r="V100" s="44"/>
      <c r="W100" s="44">
        <v>0</v>
      </c>
      <c r="X100" s="44"/>
      <c r="Y100" s="44">
        <v>0</v>
      </c>
      <c r="Z100" s="44"/>
      <c r="AA100" s="44">
        <f t="shared" si="3"/>
        <v>7264324</v>
      </c>
      <c r="AB100" s="44"/>
      <c r="AC100" s="44">
        <f t="shared" si="4"/>
        <v>10592689</v>
      </c>
    </row>
    <row r="101" spans="1:29" s="47" customFormat="1" ht="12.75" customHeight="1">
      <c r="A101" s="47" t="s">
        <v>126</v>
      </c>
      <c r="C101" s="47" t="s">
        <v>27</v>
      </c>
      <c r="E101" s="44">
        <v>1340314</v>
      </c>
      <c r="F101" s="44"/>
      <c r="G101" s="44">
        <v>450416</v>
      </c>
      <c r="H101" s="44"/>
      <c r="I101" s="44">
        <v>2793</v>
      </c>
      <c r="J101" s="44"/>
      <c r="K101" s="44">
        <f>809141+104407+575831</f>
        <v>1489379</v>
      </c>
      <c r="L101" s="44"/>
      <c r="M101" s="44">
        <f>9141872+741233</f>
        <v>9883105</v>
      </c>
      <c r="N101" s="44"/>
      <c r="O101" s="44">
        <v>44671</v>
      </c>
      <c r="P101" s="44"/>
      <c r="Q101" s="44">
        <v>875690</v>
      </c>
      <c r="R101" s="44"/>
      <c r="S101" s="44">
        <v>14298</v>
      </c>
      <c r="T101" s="44"/>
      <c r="U101" s="44">
        <f>2070+9043</f>
        <v>11113</v>
      </c>
      <c r="V101" s="44"/>
      <c r="W101" s="44">
        <v>0</v>
      </c>
      <c r="X101" s="44"/>
      <c r="Y101" s="44">
        <v>0</v>
      </c>
      <c r="Z101" s="44"/>
      <c r="AA101" s="44">
        <f t="shared" si="3"/>
        <v>12318256</v>
      </c>
      <c r="AB101" s="44"/>
      <c r="AC101" s="44">
        <f t="shared" si="4"/>
        <v>14111779</v>
      </c>
    </row>
    <row r="102" spans="1:29" s="47" customFormat="1" ht="12.75" customHeight="1">
      <c r="A102" s="47" t="s">
        <v>127</v>
      </c>
      <c r="C102" s="47" t="s">
        <v>43</v>
      </c>
      <c r="E102" s="44">
        <v>5680855</v>
      </c>
      <c r="F102" s="44"/>
      <c r="G102" s="44">
        <v>1312293</v>
      </c>
      <c r="H102" s="44"/>
      <c r="I102" s="44">
        <v>4106822</v>
      </c>
      <c r="J102" s="44"/>
      <c r="K102" s="44">
        <v>1924647</v>
      </c>
      <c r="L102" s="44"/>
      <c r="M102" s="44">
        <f>10996978+384371+3946978</f>
        <v>15328327</v>
      </c>
      <c r="N102" s="44"/>
      <c r="O102" s="44">
        <v>2391513</v>
      </c>
      <c r="P102" s="44"/>
      <c r="Q102" s="44">
        <v>1695078</v>
      </c>
      <c r="R102" s="44"/>
      <c r="S102" s="44">
        <v>141361</v>
      </c>
      <c r="T102" s="44"/>
      <c r="U102" s="44">
        <v>455810</v>
      </c>
      <c r="V102" s="44"/>
      <c r="W102" s="44">
        <v>0</v>
      </c>
      <c r="X102" s="44"/>
      <c r="Y102" s="44">
        <v>0</v>
      </c>
      <c r="Z102" s="44"/>
      <c r="AA102" s="44">
        <f t="shared" si="3"/>
        <v>21936736</v>
      </c>
      <c r="AB102" s="44"/>
      <c r="AC102" s="44">
        <f t="shared" si="4"/>
        <v>33036706</v>
      </c>
    </row>
    <row r="103" spans="1:29" s="47" customFormat="1" ht="12.75" customHeight="1">
      <c r="A103" s="47" t="s">
        <v>128</v>
      </c>
      <c r="C103" s="47" t="s">
        <v>119</v>
      </c>
      <c r="E103" s="44">
        <v>1062240</v>
      </c>
      <c r="F103" s="44"/>
      <c r="G103" s="44">
        <v>270370</v>
      </c>
      <c r="H103" s="44"/>
      <c r="I103" s="44">
        <v>0</v>
      </c>
      <c r="J103" s="44"/>
      <c r="K103" s="44">
        <v>567318</v>
      </c>
      <c r="L103" s="44"/>
      <c r="M103" s="44">
        <v>2680536</v>
      </c>
      <c r="N103" s="44"/>
      <c r="O103" s="44">
        <v>0</v>
      </c>
      <c r="P103" s="44"/>
      <c r="Q103" s="44">
        <v>409724</v>
      </c>
      <c r="R103" s="44"/>
      <c r="S103" s="44">
        <v>25472</v>
      </c>
      <c r="T103" s="44"/>
      <c r="U103" s="44">
        <v>94811</v>
      </c>
      <c r="V103" s="44"/>
      <c r="W103" s="44">
        <v>-200000</v>
      </c>
      <c r="X103" s="44"/>
      <c r="Y103" s="44">
        <v>0</v>
      </c>
      <c r="Z103" s="44"/>
      <c r="AA103" s="44">
        <f t="shared" si="3"/>
        <v>3577861</v>
      </c>
      <c r="AB103" s="44"/>
      <c r="AC103" s="44">
        <f t="shared" si="4"/>
        <v>4910471</v>
      </c>
    </row>
    <row r="104" spans="1:29" s="47" customFormat="1" ht="12.75" customHeight="1">
      <c r="A104" s="47" t="s">
        <v>129</v>
      </c>
      <c r="C104" s="47" t="s">
        <v>80</v>
      </c>
      <c r="E104" s="44">
        <v>49339</v>
      </c>
      <c r="F104" s="44"/>
      <c r="G104" s="44">
        <v>455844</v>
      </c>
      <c r="H104" s="44"/>
      <c r="I104" s="44">
        <v>33000</v>
      </c>
      <c r="J104" s="44"/>
      <c r="K104" s="44">
        <f>276789+34888</f>
        <v>311677</v>
      </c>
      <c r="L104" s="44"/>
      <c r="M104" s="44">
        <v>1947617</v>
      </c>
      <c r="N104" s="44"/>
      <c r="O104" s="44">
        <v>0</v>
      </c>
      <c r="P104" s="44"/>
      <c r="Q104" s="44">
        <v>217476</v>
      </c>
      <c r="R104" s="44"/>
      <c r="S104" s="44">
        <v>126367</v>
      </c>
      <c r="T104" s="44"/>
      <c r="U104" s="44">
        <v>143600</v>
      </c>
      <c r="V104" s="44"/>
      <c r="W104" s="44">
        <v>15315</v>
      </c>
      <c r="X104" s="44"/>
      <c r="Y104" s="44">
        <v>0</v>
      </c>
      <c r="Z104" s="44"/>
      <c r="AA104" s="44">
        <f t="shared" si="3"/>
        <v>2762052</v>
      </c>
      <c r="AB104" s="44"/>
      <c r="AC104" s="44">
        <f t="shared" si="4"/>
        <v>3300235</v>
      </c>
    </row>
    <row r="105" spans="1:29" s="47" customFormat="1" ht="12.75" customHeight="1">
      <c r="A105" s="47" t="s">
        <v>130</v>
      </c>
      <c r="C105" s="47" t="s">
        <v>66</v>
      </c>
      <c r="E105" s="44">
        <v>2166874</v>
      </c>
      <c r="F105" s="44"/>
      <c r="G105" s="44">
        <v>2180126</v>
      </c>
      <c r="H105" s="44"/>
      <c r="I105" s="44">
        <v>1631697</v>
      </c>
      <c r="J105" s="44"/>
      <c r="K105" s="44">
        <f>1502480+1026031+1228282</f>
        <v>3756793</v>
      </c>
      <c r="L105" s="44"/>
      <c r="M105" s="44">
        <f>5075051+443519+3536027+1567194+1248374+699160</f>
        <v>12569325</v>
      </c>
      <c r="N105" s="44"/>
      <c r="O105" s="44">
        <f>174184+750491</f>
        <v>924675</v>
      </c>
      <c r="P105" s="44"/>
      <c r="Q105" s="44">
        <v>1621312</v>
      </c>
      <c r="R105" s="44"/>
      <c r="S105" s="44">
        <v>254864</v>
      </c>
      <c r="T105" s="44"/>
      <c r="U105" s="44">
        <v>655120</v>
      </c>
      <c r="V105" s="44"/>
      <c r="W105" s="44">
        <v>-1104562</v>
      </c>
      <c r="X105" s="44"/>
      <c r="Y105" s="44">
        <v>0</v>
      </c>
      <c r="Z105" s="44"/>
      <c r="AA105" s="44">
        <f t="shared" si="3"/>
        <v>18677527</v>
      </c>
      <c r="AB105" s="44"/>
      <c r="AC105" s="44">
        <f t="shared" si="4"/>
        <v>24656224</v>
      </c>
    </row>
    <row r="106" spans="1:29" s="47" customFormat="1" ht="12.75" customHeight="1">
      <c r="A106" s="47" t="s">
        <v>131</v>
      </c>
      <c r="C106" s="47" t="s">
        <v>13</v>
      </c>
      <c r="E106" s="44">
        <v>1113823</v>
      </c>
      <c r="F106" s="44"/>
      <c r="G106" s="44">
        <v>94502</v>
      </c>
      <c r="H106" s="44"/>
      <c r="I106" s="44">
        <v>536116</v>
      </c>
      <c r="J106" s="44"/>
      <c r="K106" s="44">
        <v>4740826</v>
      </c>
      <c r="L106" s="44"/>
      <c r="M106" s="44">
        <v>15759076</v>
      </c>
      <c r="N106" s="44"/>
      <c r="O106" s="44">
        <v>0</v>
      </c>
      <c r="P106" s="44"/>
      <c r="Q106" s="44">
        <v>5534505</v>
      </c>
      <c r="R106" s="44"/>
      <c r="S106" s="44">
        <v>887080</v>
      </c>
      <c r="T106" s="44"/>
      <c r="U106" s="44">
        <v>547165</v>
      </c>
      <c r="V106" s="44"/>
      <c r="W106" s="44">
        <v>-2775000</v>
      </c>
      <c r="X106" s="44"/>
      <c r="Y106" s="44">
        <v>0</v>
      </c>
      <c r="Z106" s="44"/>
      <c r="AA106" s="44">
        <f t="shared" si="3"/>
        <v>24693652</v>
      </c>
      <c r="AB106" s="44"/>
      <c r="AC106" s="44">
        <f t="shared" si="4"/>
        <v>26438093</v>
      </c>
    </row>
    <row r="107" spans="1:29" s="47" customFormat="1" ht="12.75" customHeight="1">
      <c r="A107" s="47" t="s">
        <v>38</v>
      </c>
      <c r="C107" s="47" t="s">
        <v>132</v>
      </c>
      <c r="E107" s="44">
        <v>2104218</v>
      </c>
      <c r="F107" s="44"/>
      <c r="G107" s="44">
        <v>3639636</v>
      </c>
      <c r="H107" s="44"/>
      <c r="I107" s="44">
        <v>0</v>
      </c>
      <c r="J107" s="44"/>
      <c r="K107" s="44">
        <f>287584+610607</f>
        <v>898191</v>
      </c>
      <c r="L107" s="44"/>
      <c r="M107" s="44">
        <v>2073361</v>
      </c>
      <c r="N107" s="44"/>
      <c r="O107" s="44">
        <v>0</v>
      </c>
      <c r="P107" s="44"/>
      <c r="Q107" s="44">
        <f>328929+4980470</f>
        <v>5309399</v>
      </c>
      <c r="R107" s="44"/>
      <c r="S107" s="44">
        <v>22658</v>
      </c>
      <c r="T107" s="44"/>
      <c r="U107" s="44">
        <v>13055</v>
      </c>
      <c r="V107" s="44"/>
      <c r="W107" s="44">
        <v>3350</v>
      </c>
      <c r="X107" s="44"/>
      <c r="Y107" s="44">
        <v>0</v>
      </c>
      <c r="Z107" s="44"/>
      <c r="AA107" s="44">
        <f t="shared" si="3"/>
        <v>8320014</v>
      </c>
      <c r="AB107" s="44"/>
      <c r="AC107" s="44">
        <f t="shared" si="4"/>
        <v>14063868</v>
      </c>
    </row>
    <row r="108" spans="1:29" s="47" customFormat="1" ht="12.75" customHeight="1">
      <c r="A108" s="47" t="s">
        <v>133</v>
      </c>
      <c r="C108" s="47" t="s">
        <v>27</v>
      </c>
      <c r="E108" s="44">
        <v>1953218</v>
      </c>
      <c r="F108" s="44"/>
      <c r="G108" s="44">
        <v>503565</v>
      </c>
      <c r="H108" s="44"/>
      <c r="I108" s="44">
        <v>126493</v>
      </c>
      <c r="J108" s="44"/>
      <c r="K108" s="44">
        <f>719362+220812+111137</f>
        <v>1051311</v>
      </c>
      <c r="L108" s="44"/>
      <c r="M108" s="44">
        <v>21115584</v>
      </c>
      <c r="N108" s="44"/>
      <c r="O108" s="44">
        <f>981164+15273+361960</f>
        <v>1358397</v>
      </c>
      <c r="P108" s="44"/>
      <c r="Q108" s="44">
        <v>1298566</v>
      </c>
      <c r="R108" s="44"/>
      <c r="S108" s="44">
        <v>120620</v>
      </c>
      <c r="T108" s="44"/>
      <c r="U108" s="44">
        <v>469722</v>
      </c>
      <c r="V108" s="44"/>
      <c r="W108" s="44">
        <v>0</v>
      </c>
      <c r="X108" s="44"/>
      <c r="Y108" s="44">
        <v>0</v>
      </c>
      <c r="Z108" s="44"/>
      <c r="AA108" s="44">
        <f t="shared" si="3"/>
        <v>25414200</v>
      </c>
      <c r="AB108" s="44"/>
      <c r="AC108" s="44">
        <f t="shared" si="4"/>
        <v>27997476</v>
      </c>
    </row>
    <row r="109" spans="1:29" s="47" customFormat="1" ht="12.75" customHeight="1">
      <c r="A109" s="47" t="s">
        <v>483</v>
      </c>
      <c r="C109" s="47" t="s">
        <v>45</v>
      </c>
      <c r="E109" s="44">
        <v>412714</v>
      </c>
      <c r="F109" s="44"/>
      <c r="G109" s="44">
        <v>304571</v>
      </c>
      <c r="H109" s="44"/>
      <c r="I109" s="44">
        <v>2550124</v>
      </c>
      <c r="J109" s="44"/>
      <c r="K109" s="44">
        <v>840138</v>
      </c>
      <c r="L109" s="44"/>
      <c r="M109" s="44">
        <v>5852677</v>
      </c>
      <c r="N109" s="44"/>
      <c r="O109" s="44">
        <v>0</v>
      </c>
      <c r="P109" s="44"/>
      <c r="Q109" s="44">
        <v>4689346</v>
      </c>
      <c r="R109" s="44"/>
      <c r="S109" s="44">
        <v>609376</v>
      </c>
      <c r="T109" s="44"/>
      <c r="U109" s="44">
        <v>207798</v>
      </c>
      <c r="V109" s="44"/>
      <c r="W109" s="44">
        <v>0</v>
      </c>
      <c r="X109" s="44"/>
      <c r="Y109" s="44">
        <v>0</v>
      </c>
      <c r="Z109" s="44"/>
      <c r="AA109" s="44">
        <f t="shared" si="3"/>
        <v>12199335</v>
      </c>
      <c r="AB109" s="44"/>
      <c r="AC109" s="44">
        <f t="shared" si="4"/>
        <v>15466744</v>
      </c>
    </row>
    <row r="110" spans="1:29" s="47" customFormat="1" ht="12.75" customHeight="1">
      <c r="A110" s="47" t="s">
        <v>136</v>
      </c>
      <c r="C110" s="47" t="s">
        <v>136</v>
      </c>
      <c r="E110" s="44">
        <v>294498</v>
      </c>
      <c r="F110" s="44"/>
      <c r="G110" s="44">
        <v>765941</v>
      </c>
      <c r="H110" s="44"/>
      <c r="I110" s="44">
        <v>0</v>
      </c>
      <c r="J110" s="44"/>
      <c r="K110" s="44">
        <f>410787+193854+187795</f>
        <v>792436</v>
      </c>
      <c r="L110" s="44"/>
      <c r="M110" s="44">
        <v>0</v>
      </c>
      <c r="N110" s="44"/>
      <c r="O110" s="44">
        <f>735113+800000</f>
        <v>1535113</v>
      </c>
      <c r="P110" s="44"/>
      <c r="Q110" s="44">
        <v>432070</v>
      </c>
      <c r="R110" s="44"/>
      <c r="S110" s="44">
        <v>400251</v>
      </c>
      <c r="T110" s="44"/>
      <c r="U110" s="44">
        <v>263591</v>
      </c>
      <c r="V110" s="44"/>
      <c r="W110" s="44">
        <v>-40778</v>
      </c>
      <c r="X110" s="44"/>
      <c r="Y110" s="44">
        <v>0</v>
      </c>
      <c r="Z110" s="44"/>
      <c r="AA110" s="44">
        <f t="shared" si="3"/>
        <v>3382683</v>
      </c>
      <c r="AB110" s="44"/>
      <c r="AC110" s="44">
        <f t="shared" si="4"/>
        <v>4443122</v>
      </c>
    </row>
    <row r="111" spans="1:29" s="47" customFormat="1" ht="12.75" customHeight="1">
      <c r="A111" s="47" t="s">
        <v>137</v>
      </c>
      <c r="C111" s="47" t="s">
        <v>22</v>
      </c>
      <c r="E111" s="44">
        <v>2267781</v>
      </c>
      <c r="F111" s="44"/>
      <c r="G111" s="44">
        <v>1569539</v>
      </c>
      <c r="H111" s="44"/>
      <c r="I111" s="44">
        <v>830041</v>
      </c>
      <c r="J111" s="44"/>
      <c r="K111" s="44">
        <f>1626108+1593553</f>
        <v>3219661</v>
      </c>
      <c r="L111" s="44"/>
      <c r="M111" s="44">
        <v>10800430</v>
      </c>
      <c r="N111" s="44"/>
      <c r="O111" s="44">
        <v>0</v>
      </c>
      <c r="P111" s="44"/>
      <c r="Q111" s="44">
        <v>2446005</v>
      </c>
      <c r="R111" s="44"/>
      <c r="S111" s="44">
        <v>232253</v>
      </c>
      <c r="T111" s="44"/>
      <c r="U111" s="44">
        <f>13720+287624</f>
        <v>301344</v>
      </c>
      <c r="V111" s="44"/>
      <c r="W111" s="44">
        <v>0</v>
      </c>
      <c r="X111" s="44"/>
      <c r="Y111" s="44">
        <v>0</v>
      </c>
      <c r="Z111" s="44"/>
      <c r="AA111" s="44">
        <f t="shared" si="3"/>
        <v>16999693</v>
      </c>
      <c r="AB111" s="44"/>
      <c r="AC111" s="44">
        <f t="shared" si="4"/>
        <v>21667054</v>
      </c>
    </row>
    <row r="112" spans="1:29" s="47" customFormat="1" ht="12.75" hidden="1" customHeight="1">
      <c r="A112" s="47" t="s">
        <v>138</v>
      </c>
      <c r="C112" s="47" t="s">
        <v>139</v>
      </c>
      <c r="E112" s="44">
        <v>0</v>
      </c>
      <c r="F112" s="44"/>
      <c r="G112" s="44">
        <v>0</v>
      </c>
      <c r="H112" s="44"/>
      <c r="I112" s="44">
        <v>0</v>
      </c>
      <c r="J112" s="44"/>
      <c r="K112" s="44">
        <v>0</v>
      </c>
      <c r="L112" s="44"/>
      <c r="M112" s="44">
        <v>0</v>
      </c>
      <c r="N112" s="44"/>
      <c r="O112" s="44">
        <v>0</v>
      </c>
      <c r="P112" s="44"/>
      <c r="Q112" s="44">
        <v>0</v>
      </c>
      <c r="R112" s="44"/>
      <c r="S112" s="44">
        <v>0</v>
      </c>
      <c r="T112" s="44"/>
      <c r="U112" s="44">
        <v>0</v>
      </c>
      <c r="V112" s="44"/>
      <c r="W112" s="44">
        <v>0</v>
      </c>
      <c r="X112" s="44"/>
      <c r="Y112" s="44">
        <v>0</v>
      </c>
      <c r="Z112" s="44"/>
      <c r="AA112" s="44">
        <f t="shared" si="3"/>
        <v>0</v>
      </c>
      <c r="AB112" s="44"/>
      <c r="AC112" s="44">
        <f t="shared" si="4"/>
        <v>0</v>
      </c>
    </row>
    <row r="113" spans="1:31" s="47" customFormat="1" ht="12.75" customHeight="1">
      <c r="A113" s="47" t="s">
        <v>140</v>
      </c>
      <c r="C113" s="47" t="s">
        <v>66</v>
      </c>
      <c r="E113" s="44">
        <v>10067985</v>
      </c>
      <c r="F113" s="44"/>
      <c r="G113" s="44">
        <v>1594869</v>
      </c>
      <c r="H113" s="44"/>
      <c r="I113" s="44">
        <v>6231007</v>
      </c>
      <c r="J113" s="44"/>
      <c r="K113" s="44">
        <f>8117860+1276080</f>
        <v>9393940</v>
      </c>
      <c r="L113" s="44"/>
      <c r="M113" s="44">
        <v>37352248</v>
      </c>
      <c r="N113" s="44"/>
      <c r="O113" s="44">
        <v>7630175</v>
      </c>
      <c r="P113" s="44"/>
      <c r="Q113" s="44">
        <v>0</v>
      </c>
      <c r="R113" s="44"/>
      <c r="S113" s="44">
        <v>1173152</v>
      </c>
      <c r="T113" s="44"/>
      <c r="U113" s="44">
        <f>1516425+179150</f>
        <v>1695575</v>
      </c>
      <c r="V113" s="44"/>
      <c r="W113" s="44">
        <v>0</v>
      </c>
      <c r="X113" s="44"/>
      <c r="Y113" s="44">
        <v>0</v>
      </c>
      <c r="Z113" s="44"/>
      <c r="AA113" s="44">
        <f t="shared" si="3"/>
        <v>57245090</v>
      </c>
      <c r="AB113" s="44"/>
      <c r="AC113" s="44">
        <f t="shared" si="4"/>
        <v>75138951</v>
      </c>
    </row>
    <row r="114" spans="1:31" s="47" customFormat="1" ht="12.75" customHeight="1">
      <c r="A114" s="47" t="s">
        <v>478</v>
      </c>
      <c r="C114" s="47" t="s">
        <v>92</v>
      </c>
      <c r="E114" s="44">
        <v>524753</v>
      </c>
      <c r="F114" s="44"/>
      <c r="G114" s="44">
        <v>700845</v>
      </c>
      <c r="H114" s="44"/>
      <c r="I114" s="44">
        <v>1290056</v>
      </c>
      <c r="J114" s="44"/>
      <c r="K114" s="44">
        <f>606090+735956+95471+66846+125888</f>
        <v>1630251</v>
      </c>
      <c r="L114" s="44"/>
      <c r="M114" s="44">
        <v>2738773</v>
      </c>
      <c r="N114" s="44"/>
      <c r="O114" s="44">
        <v>0</v>
      </c>
      <c r="P114" s="44"/>
      <c r="Q114" s="44">
        <v>722575</v>
      </c>
      <c r="R114" s="44"/>
      <c r="S114" s="44">
        <v>3023</v>
      </c>
      <c r="T114" s="44"/>
      <c r="U114" s="44">
        <v>47788</v>
      </c>
      <c r="V114" s="44"/>
      <c r="W114" s="44">
        <v>-63034</v>
      </c>
      <c r="X114" s="44"/>
      <c r="Y114" s="44">
        <v>0</v>
      </c>
      <c r="Z114" s="44"/>
      <c r="AA114" s="44">
        <f t="shared" si="3"/>
        <v>5079376</v>
      </c>
      <c r="AB114" s="44"/>
      <c r="AC114" s="44">
        <f t="shared" si="4"/>
        <v>7595030</v>
      </c>
    </row>
    <row r="115" spans="1:31" s="47" customFormat="1" ht="12.75" customHeight="1">
      <c r="A115" s="47" t="s">
        <v>141</v>
      </c>
      <c r="C115" s="47" t="s">
        <v>27</v>
      </c>
      <c r="E115" s="44">
        <v>7200114</v>
      </c>
      <c r="F115" s="44"/>
      <c r="G115" s="44">
        <v>8042302</v>
      </c>
      <c r="H115" s="44"/>
      <c r="I115" s="44">
        <v>0</v>
      </c>
      <c r="J115" s="44"/>
      <c r="K115" s="44">
        <f>6857844+2608762+2784378</f>
        <v>12250984</v>
      </c>
      <c r="L115" s="44"/>
      <c r="M115" s="44">
        <v>19686732</v>
      </c>
      <c r="N115" s="44"/>
      <c r="O115" s="44">
        <v>341399</v>
      </c>
      <c r="P115" s="44"/>
      <c r="Q115" s="44">
        <v>7063977</v>
      </c>
      <c r="R115" s="44"/>
      <c r="S115" s="44">
        <v>68060</v>
      </c>
      <c r="T115" s="44"/>
      <c r="U115" s="44">
        <v>436670</v>
      </c>
      <c r="V115" s="44"/>
      <c r="W115" s="44">
        <v>1073981</v>
      </c>
      <c r="X115" s="44"/>
      <c r="Y115" s="44">
        <v>0</v>
      </c>
      <c r="Z115" s="44"/>
      <c r="AA115" s="44">
        <f t="shared" si="3"/>
        <v>40921803</v>
      </c>
      <c r="AB115" s="44"/>
      <c r="AC115" s="44">
        <f t="shared" si="4"/>
        <v>56164219</v>
      </c>
    </row>
    <row r="116" spans="1:31" s="122" customFormat="1" ht="12.75" hidden="1" customHeight="1">
      <c r="A116" s="122" t="s">
        <v>142</v>
      </c>
      <c r="C116" s="122" t="s">
        <v>102</v>
      </c>
      <c r="E116" s="121">
        <v>0</v>
      </c>
      <c r="F116" s="121"/>
      <c r="G116" s="121">
        <v>0</v>
      </c>
      <c r="H116" s="121"/>
      <c r="I116" s="121">
        <v>0</v>
      </c>
      <c r="J116" s="121"/>
      <c r="K116" s="121">
        <v>0</v>
      </c>
      <c r="L116" s="121"/>
      <c r="M116" s="121">
        <v>0</v>
      </c>
      <c r="N116" s="121"/>
      <c r="O116" s="121">
        <v>0</v>
      </c>
      <c r="P116" s="121"/>
      <c r="Q116" s="121">
        <v>0</v>
      </c>
      <c r="R116" s="121"/>
      <c r="S116" s="121">
        <v>0</v>
      </c>
      <c r="T116" s="121"/>
      <c r="U116" s="121">
        <v>0</v>
      </c>
      <c r="V116" s="121"/>
      <c r="W116" s="121">
        <v>0</v>
      </c>
      <c r="X116" s="121"/>
      <c r="Y116" s="121">
        <v>0</v>
      </c>
      <c r="Z116" s="121"/>
      <c r="AA116" s="121">
        <f t="shared" si="3"/>
        <v>0</v>
      </c>
      <c r="AB116" s="121"/>
      <c r="AC116" s="121">
        <f t="shared" si="4"/>
        <v>0</v>
      </c>
    </row>
    <row r="117" spans="1:31" s="47" customFormat="1" ht="12.75" customHeight="1">
      <c r="A117" s="47" t="s">
        <v>143</v>
      </c>
      <c r="C117" s="47" t="s">
        <v>111</v>
      </c>
      <c r="E117" s="44">
        <v>3070594</v>
      </c>
      <c r="F117" s="44"/>
      <c r="G117" s="44">
        <v>1348170</v>
      </c>
      <c r="H117" s="44"/>
      <c r="I117" s="44">
        <v>882601</v>
      </c>
      <c r="J117" s="44"/>
      <c r="K117" s="44">
        <v>9031534</v>
      </c>
      <c r="L117" s="44"/>
      <c r="M117" s="44">
        <v>1371444</v>
      </c>
      <c r="N117" s="44"/>
      <c r="O117" s="44">
        <v>1920782</v>
      </c>
      <c r="P117" s="44"/>
      <c r="Q117" s="44">
        <v>181250</v>
      </c>
      <c r="R117" s="44"/>
      <c r="S117" s="44">
        <v>9150</v>
      </c>
      <c r="T117" s="44"/>
      <c r="U117" s="44">
        <v>139756</v>
      </c>
      <c r="V117" s="44"/>
      <c r="W117" s="44">
        <v>-310237</v>
      </c>
      <c r="X117" s="44"/>
      <c r="Y117" s="44">
        <v>0</v>
      </c>
      <c r="Z117" s="44"/>
      <c r="AA117" s="44">
        <f t="shared" si="3"/>
        <v>12343679</v>
      </c>
      <c r="AB117" s="44"/>
      <c r="AC117" s="44">
        <f t="shared" si="4"/>
        <v>17645044</v>
      </c>
    </row>
    <row r="118" spans="1:31" s="47" customFormat="1" ht="12.75" customHeight="1">
      <c r="A118" s="47" t="s">
        <v>144</v>
      </c>
      <c r="C118" s="47" t="s">
        <v>88</v>
      </c>
      <c r="E118" s="44">
        <v>8783126</v>
      </c>
      <c r="F118" s="44"/>
      <c r="G118" s="44">
        <v>4126832</v>
      </c>
      <c r="H118" s="44"/>
      <c r="I118" s="44">
        <v>10723912</v>
      </c>
      <c r="J118" s="44"/>
      <c r="K118" s="44">
        <v>1182230</v>
      </c>
      <c r="L118" s="44"/>
      <c r="M118" s="44">
        <v>15003484</v>
      </c>
      <c r="N118" s="44"/>
      <c r="O118" s="44">
        <v>151253</v>
      </c>
      <c r="P118" s="44"/>
      <c r="Q118" s="44">
        <v>4142990</v>
      </c>
      <c r="R118" s="44"/>
      <c r="S118" s="44">
        <v>-116390</v>
      </c>
      <c r="T118" s="44"/>
      <c r="U118" s="44">
        <f>124343+54138+8590</f>
        <v>187071</v>
      </c>
      <c r="V118" s="44"/>
      <c r="W118" s="44">
        <v>-1088635</v>
      </c>
      <c r="X118" s="44"/>
      <c r="Y118" s="44">
        <v>0</v>
      </c>
      <c r="Z118" s="44"/>
      <c r="AA118" s="44">
        <f t="shared" si="3"/>
        <v>19462003</v>
      </c>
      <c r="AB118" s="44"/>
      <c r="AC118" s="44">
        <f t="shared" si="4"/>
        <v>43095873</v>
      </c>
    </row>
    <row r="119" spans="1:31" s="47" customFormat="1" ht="12.75" customHeight="1">
      <c r="A119" s="47" t="s">
        <v>36</v>
      </c>
      <c r="C119" s="47" t="s">
        <v>145</v>
      </c>
      <c r="E119" s="44">
        <v>320760</v>
      </c>
      <c r="F119" s="44"/>
      <c r="G119" s="44">
        <v>580851</v>
      </c>
      <c r="H119" s="44"/>
      <c r="I119" s="44">
        <v>456468</v>
      </c>
      <c r="J119" s="44"/>
      <c r="K119" s="44">
        <f>202065+30457+240095</f>
        <v>472617</v>
      </c>
      <c r="L119" s="44"/>
      <c r="M119" s="44">
        <f>2429429+269935</f>
        <v>2699364</v>
      </c>
      <c r="N119" s="44"/>
      <c r="O119" s="44">
        <v>0</v>
      </c>
      <c r="P119" s="44"/>
      <c r="Q119" s="44">
        <v>409432</v>
      </c>
      <c r="R119" s="44"/>
      <c r="S119" s="44">
        <v>20762</v>
      </c>
      <c r="T119" s="44"/>
      <c r="U119" s="44">
        <v>55913</v>
      </c>
      <c r="V119" s="44"/>
      <c r="W119" s="44">
        <v>0</v>
      </c>
      <c r="X119" s="44"/>
      <c r="Y119" s="44">
        <v>0</v>
      </c>
      <c r="Z119" s="44"/>
      <c r="AA119" s="44">
        <f t="shared" si="3"/>
        <v>3658088</v>
      </c>
      <c r="AB119" s="44"/>
      <c r="AC119" s="44">
        <f t="shared" si="4"/>
        <v>5016167</v>
      </c>
    </row>
    <row r="120" spans="1:31" s="47" customFormat="1" ht="12.75" customHeight="1">
      <c r="A120" s="47" t="s">
        <v>146</v>
      </c>
      <c r="C120" s="47" t="s">
        <v>147</v>
      </c>
      <c r="E120" s="44">
        <v>431615</v>
      </c>
      <c r="F120" s="44"/>
      <c r="G120" s="44">
        <v>999428</v>
      </c>
      <c r="H120" s="44"/>
      <c r="I120" s="44">
        <v>200103</v>
      </c>
      <c r="J120" s="44"/>
      <c r="K120" s="44">
        <f>523412+304879</f>
        <v>828291</v>
      </c>
      <c r="L120" s="44"/>
      <c r="M120" s="44">
        <f>2794813+290200</f>
        <v>3085013</v>
      </c>
      <c r="N120" s="44"/>
      <c r="O120" s="44">
        <v>459661</v>
      </c>
      <c r="P120" s="44"/>
      <c r="Q120" s="44">
        <v>543273</v>
      </c>
      <c r="R120" s="44"/>
      <c r="S120" s="44">
        <v>29457</v>
      </c>
      <c r="T120" s="44"/>
      <c r="U120" s="44">
        <v>159893</v>
      </c>
      <c r="V120" s="44"/>
      <c r="W120" s="44">
        <v>0</v>
      </c>
      <c r="X120" s="44"/>
      <c r="Y120" s="44">
        <v>0</v>
      </c>
      <c r="Z120" s="44"/>
      <c r="AA120" s="44">
        <f t="shared" si="3"/>
        <v>5105588</v>
      </c>
      <c r="AB120" s="44"/>
      <c r="AC120" s="44">
        <f t="shared" si="4"/>
        <v>6736734</v>
      </c>
    </row>
    <row r="121" spans="1:31" s="47" customFormat="1" ht="12.75" customHeight="1">
      <c r="A121" s="47" t="s">
        <v>17</v>
      </c>
      <c r="C121" s="47" t="s">
        <v>17</v>
      </c>
      <c r="E121" s="44">
        <v>6058867</v>
      </c>
      <c r="F121" s="44"/>
      <c r="G121" s="44">
        <v>7940944</v>
      </c>
      <c r="H121" s="44"/>
      <c r="I121" s="44">
        <v>2216642</v>
      </c>
      <c r="J121" s="44"/>
      <c r="K121" s="44">
        <f>2538308+251381+251381+837938</f>
        <v>3879008</v>
      </c>
      <c r="L121" s="44"/>
      <c r="M121" s="44">
        <f>15118368+2126884</f>
        <v>17245252</v>
      </c>
      <c r="N121" s="44"/>
      <c r="O121" s="44">
        <f>903799+606987</f>
        <v>1510786</v>
      </c>
      <c r="P121" s="44"/>
      <c r="Q121" s="44">
        <v>6069092</v>
      </c>
      <c r="R121" s="44"/>
      <c r="S121" s="44">
        <v>22265</v>
      </c>
      <c r="T121" s="44"/>
      <c r="U121" s="44">
        <v>1255426</v>
      </c>
      <c r="V121" s="44"/>
      <c r="W121" s="44">
        <v>-931117</v>
      </c>
      <c r="X121" s="44"/>
      <c r="Y121" s="44">
        <v>0</v>
      </c>
      <c r="Z121" s="44"/>
      <c r="AA121" s="44">
        <f t="shared" si="3"/>
        <v>29050712</v>
      </c>
      <c r="AB121" s="44"/>
      <c r="AC121" s="44">
        <f t="shared" si="4"/>
        <v>45267165</v>
      </c>
    </row>
    <row r="122" spans="1:31" s="47" customFormat="1" ht="12.75" customHeight="1">
      <c r="A122" s="47" t="s">
        <v>148</v>
      </c>
      <c r="C122" s="47" t="s">
        <v>15</v>
      </c>
      <c r="E122" s="44">
        <v>599836</v>
      </c>
      <c r="F122" s="44"/>
      <c r="G122" s="44">
        <v>683835</v>
      </c>
      <c r="H122" s="44"/>
      <c r="I122" s="44">
        <v>405488</v>
      </c>
      <c r="J122" s="44"/>
      <c r="K122" s="44">
        <v>496221</v>
      </c>
      <c r="L122" s="44"/>
      <c r="M122" s="44">
        <v>2497694</v>
      </c>
      <c r="N122" s="44"/>
      <c r="O122" s="44">
        <v>0</v>
      </c>
      <c r="P122" s="44"/>
      <c r="Q122" s="44">
        <v>363559</v>
      </c>
      <c r="R122" s="44"/>
      <c r="S122" s="44">
        <v>2967</v>
      </c>
      <c r="T122" s="44"/>
      <c r="U122" s="44">
        <v>136573</v>
      </c>
      <c r="V122" s="44"/>
      <c r="W122" s="44">
        <v>112950</v>
      </c>
      <c r="X122" s="44"/>
      <c r="Y122" s="44">
        <v>0</v>
      </c>
      <c r="Z122" s="44"/>
      <c r="AA122" s="44">
        <f t="shared" si="3"/>
        <v>3609964</v>
      </c>
      <c r="AB122" s="44"/>
      <c r="AC122" s="44">
        <f t="shared" si="4"/>
        <v>5299123</v>
      </c>
    </row>
    <row r="123" spans="1:31" s="47" customFormat="1" ht="12.75" customHeight="1">
      <c r="A123" s="47" t="s">
        <v>149</v>
      </c>
      <c r="C123" s="47" t="s">
        <v>45</v>
      </c>
      <c r="E123" s="44">
        <v>997860</v>
      </c>
      <c r="F123" s="44"/>
      <c r="G123" s="44">
        <v>573445</v>
      </c>
      <c r="H123" s="44"/>
      <c r="I123" s="44">
        <v>948474</v>
      </c>
      <c r="J123" s="44"/>
      <c r="K123" s="44">
        <v>3348829</v>
      </c>
      <c r="L123" s="44"/>
      <c r="M123" s="44">
        <v>3575815</v>
      </c>
      <c r="N123" s="44"/>
      <c r="O123" s="44">
        <v>0</v>
      </c>
      <c r="P123" s="44"/>
      <c r="Q123" s="44">
        <v>1009369</v>
      </c>
      <c r="R123" s="44"/>
      <c r="S123" s="44">
        <v>60479</v>
      </c>
      <c r="T123" s="44"/>
      <c r="U123" s="44">
        <v>437793</v>
      </c>
      <c r="V123" s="44"/>
      <c r="W123" s="44">
        <v>290701</v>
      </c>
      <c r="X123" s="44"/>
      <c r="Y123" s="44">
        <v>0</v>
      </c>
      <c r="Z123" s="44"/>
      <c r="AA123" s="44">
        <f t="shared" si="3"/>
        <v>8722986</v>
      </c>
      <c r="AB123" s="44"/>
      <c r="AC123" s="44">
        <f t="shared" si="4"/>
        <v>11242765</v>
      </c>
    </row>
    <row r="124" spans="1:31" s="47" customFormat="1" ht="12.75" customHeight="1">
      <c r="A124" s="47" t="s">
        <v>150</v>
      </c>
      <c r="C124" s="47" t="s">
        <v>27</v>
      </c>
      <c r="E124" s="44">
        <v>2281639</v>
      </c>
      <c r="F124" s="44"/>
      <c r="G124" s="44">
        <v>1650298</v>
      </c>
      <c r="H124" s="44"/>
      <c r="I124" s="44">
        <v>92830</v>
      </c>
      <c r="J124" s="44"/>
      <c r="K124" s="44">
        <v>4766976</v>
      </c>
      <c r="L124" s="44"/>
      <c r="M124" s="44">
        <v>6132037</v>
      </c>
      <c r="N124" s="44"/>
      <c r="O124" s="44">
        <v>136885</v>
      </c>
      <c r="P124" s="44"/>
      <c r="Q124" s="44">
        <v>3855745</v>
      </c>
      <c r="R124" s="44"/>
      <c r="S124" s="44">
        <v>37704</v>
      </c>
      <c r="T124" s="44"/>
      <c r="U124" s="44">
        <v>276790</v>
      </c>
      <c r="V124" s="44"/>
      <c r="W124" s="44">
        <v>0</v>
      </c>
      <c r="X124" s="44"/>
      <c r="Y124" s="44">
        <v>0</v>
      </c>
      <c r="Z124" s="44"/>
      <c r="AA124" s="44">
        <f t="shared" si="3"/>
        <v>15206137</v>
      </c>
      <c r="AB124" s="44"/>
      <c r="AC124" s="44">
        <f t="shared" si="4"/>
        <v>19230904</v>
      </c>
    </row>
    <row r="125" spans="1:31" s="47" customFormat="1" ht="12.75" customHeight="1">
      <c r="A125" s="47" t="s">
        <v>151</v>
      </c>
      <c r="C125" s="47" t="s">
        <v>13</v>
      </c>
      <c r="E125" s="44">
        <v>2637713</v>
      </c>
      <c r="F125" s="44"/>
      <c r="G125" s="44">
        <v>705510</v>
      </c>
      <c r="H125" s="44"/>
      <c r="I125" s="44">
        <v>2428972</v>
      </c>
      <c r="J125" s="44"/>
      <c r="K125" s="44">
        <f>1835594+380851+121709+171002</f>
        <v>2509156</v>
      </c>
      <c r="L125" s="44"/>
      <c r="M125" s="44">
        <f>5271038+683622</f>
        <v>5954660</v>
      </c>
      <c r="N125" s="44"/>
      <c r="O125" s="44">
        <v>0</v>
      </c>
      <c r="P125" s="44"/>
      <c r="Q125" s="44">
        <v>1395364</v>
      </c>
      <c r="R125" s="44"/>
      <c r="S125" s="44">
        <v>86182</v>
      </c>
      <c r="T125" s="44"/>
      <c r="U125" s="44">
        <v>22496</v>
      </c>
      <c r="V125" s="44"/>
      <c r="W125" s="44">
        <v>0</v>
      </c>
      <c r="X125" s="44"/>
      <c r="Y125" s="44">
        <v>0</v>
      </c>
      <c r="Z125" s="44"/>
      <c r="AA125" s="44">
        <f t="shared" si="3"/>
        <v>9967858</v>
      </c>
      <c r="AB125" s="44"/>
      <c r="AC125" s="44">
        <f t="shared" si="4"/>
        <v>15740053</v>
      </c>
    </row>
    <row r="126" spans="1:31" s="47" customFormat="1" ht="12.75" customHeight="1">
      <c r="A126" s="47" t="s">
        <v>481</v>
      </c>
      <c r="C126" s="47" t="s">
        <v>45</v>
      </c>
      <c r="E126" s="44">
        <v>397289</v>
      </c>
      <c r="F126" s="44"/>
      <c r="G126" s="44">
        <v>1965705</v>
      </c>
      <c r="H126" s="44"/>
      <c r="I126" s="44">
        <v>0</v>
      </c>
      <c r="J126" s="44"/>
      <c r="K126" s="44">
        <v>2165271</v>
      </c>
      <c r="L126" s="44"/>
      <c r="M126" s="44">
        <v>2047528</v>
      </c>
      <c r="N126" s="44"/>
      <c r="O126" s="44">
        <v>166161</v>
      </c>
      <c r="P126" s="44"/>
      <c r="Q126" s="44">
        <v>1389188</v>
      </c>
      <c r="R126" s="44"/>
      <c r="S126" s="44">
        <v>4536</v>
      </c>
      <c r="T126" s="44"/>
      <c r="U126" s="44">
        <v>0</v>
      </c>
      <c r="V126" s="44"/>
      <c r="W126" s="44">
        <v>0</v>
      </c>
      <c r="X126" s="44"/>
      <c r="Y126" s="44">
        <v>0</v>
      </c>
      <c r="Z126" s="44"/>
      <c r="AA126" s="44">
        <f t="shared" si="3"/>
        <v>5772684</v>
      </c>
      <c r="AB126" s="44"/>
      <c r="AC126" s="44">
        <f t="shared" si="4"/>
        <v>8135678</v>
      </c>
    </row>
    <row r="127" spans="1:31" s="47" customFormat="1" ht="12.75" customHeight="1">
      <c r="A127" s="47" t="s">
        <v>152</v>
      </c>
      <c r="C127" s="47" t="s">
        <v>153</v>
      </c>
      <c r="E127" s="44">
        <v>6334752</v>
      </c>
      <c r="F127" s="44"/>
      <c r="G127" s="44">
        <v>9097678</v>
      </c>
      <c r="H127" s="44"/>
      <c r="I127" s="44">
        <v>5928197</v>
      </c>
      <c r="J127" s="44"/>
      <c r="K127" s="44">
        <f>2024365+417383</f>
        <v>2441748</v>
      </c>
      <c r="L127" s="44"/>
      <c r="M127" s="44">
        <f>365730+18211023+3050004</f>
        <v>21626757</v>
      </c>
      <c r="N127" s="44"/>
      <c r="O127" s="44">
        <v>0</v>
      </c>
      <c r="P127" s="44"/>
      <c r="Q127" s="44">
        <v>3719190</v>
      </c>
      <c r="R127" s="44"/>
      <c r="S127" s="44">
        <v>326473</v>
      </c>
      <c r="T127" s="44"/>
      <c r="U127" s="44">
        <f>84756+1927</f>
        <v>86683</v>
      </c>
      <c r="V127" s="44"/>
      <c r="W127" s="44">
        <v>-763290</v>
      </c>
      <c r="X127" s="44"/>
      <c r="Y127" s="44">
        <v>0</v>
      </c>
      <c r="Z127" s="44"/>
      <c r="AA127" s="44">
        <f t="shared" si="3"/>
        <v>27437561</v>
      </c>
      <c r="AB127" s="44"/>
      <c r="AC127" s="44">
        <f t="shared" si="4"/>
        <v>48798188</v>
      </c>
      <c r="AE127" s="44"/>
    </row>
    <row r="128" spans="1:31" s="47" customFormat="1" ht="12.75" customHeight="1">
      <c r="A128" s="47" t="s">
        <v>154</v>
      </c>
      <c r="C128" s="47" t="s">
        <v>27</v>
      </c>
      <c r="E128" s="44">
        <v>3967001</v>
      </c>
      <c r="F128" s="44"/>
      <c r="G128" s="44">
        <v>997859</v>
      </c>
      <c r="H128" s="44"/>
      <c r="I128" s="44">
        <v>2752829</v>
      </c>
      <c r="J128" s="44"/>
      <c r="K128" s="44">
        <f>2397863+920539+1878284</f>
        <v>5196686</v>
      </c>
      <c r="L128" s="44"/>
      <c r="M128" s="44">
        <v>6960229</v>
      </c>
      <c r="N128" s="44"/>
      <c r="O128" s="44">
        <v>0</v>
      </c>
      <c r="P128" s="44"/>
      <c r="Q128" s="44">
        <v>3082022</v>
      </c>
      <c r="R128" s="44"/>
      <c r="S128" s="44">
        <v>29455</v>
      </c>
      <c r="T128" s="44"/>
      <c r="U128" s="44">
        <v>408877</v>
      </c>
      <c r="V128" s="44"/>
      <c r="W128" s="44">
        <v>0</v>
      </c>
      <c r="X128" s="44"/>
      <c r="Y128" s="44">
        <v>0</v>
      </c>
      <c r="Z128" s="44"/>
      <c r="AA128" s="44">
        <f t="shared" si="3"/>
        <v>15677269</v>
      </c>
      <c r="AB128" s="44"/>
      <c r="AC128" s="44">
        <f t="shared" si="4"/>
        <v>23394958</v>
      </c>
    </row>
    <row r="129" spans="1:29" s="47" customFormat="1" ht="12.75" customHeight="1">
      <c r="A129" s="47" t="s">
        <v>155</v>
      </c>
      <c r="C129" s="47" t="s">
        <v>40</v>
      </c>
      <c r="E129" s="44">
        <v>3291302</v>
      </c>
      <c r="F129" s="44"/>
      <c r="G129" s="44">
        <v>4805101</v>
      </c>
      <c r="H129" s="44"/>
      <c r="I129" s="44">
        <v>2348928</v>
      </c>
      <c r="J129" s="44"/>
      <c r="K129" s="44">
        <f>533557+16420</f>
        <v>549977</v>
      </c>
      <c r="L129" s="44"/>
      <c r="M129" s="44">
        <f>5557916+874964+874965+437482</f>
        <v>7745327</v>
      </c>
      <c r="N129" s="44"/>
      <c r="O129" s="44">
        <f>277349+272768+208378</f>
        <v>758495</v>
      </c>
      <c r="P129" s="44"/>
      <c r="Q129" s="44">
        <v>926321</v>
      </c>
      <c r="R129" s="44"/>
      <c r="S129" s="44">
        <v>96770</v>
      </c>
      <c r="T129" s="44"/>
      <c r="U129" s="44">
        <v>127331</v>
      </c>
      <c r="V129" s="44"/>
      <c r="W129" s="44">
        <v>0</v>
      </c>
      <c r="X129" s="44"/>
      <c r="Y129" s="44">
        <v>0</v>
      </c>
      <c r="Z129" s="44"/>
      <c r="AA129" s="44">
        <f t="shared" si="3"/>
        <v>10204221</v>
      </c>
      <c r="AB129" s="44"/>
      <c r="AC129" s="44">
        <f t="shared" si="4"/>
        <v>20649552</v>
      </c>
    </row>
    <row r="130" spans="1:29" s="122" customFormat="1" ht="12.75" hidden="1" customHeight="1">
      <c r="A130" s="122" t="s">
        <v>156</v>
      </c>
      <c r="C130" s="122" t="s">
        <v>156</v>
      </c>
      <c r="E130" s="123">
        <v>0</v>
      </c>
      <c r="F130" s="123"/>
      <c r="G130" s="123">
        <v>0</v>
      </c>
      <c r="H130" s="123"/>
      <c r="I130" s="123">
        <v>0</v>
      </c>
      <c r="J130" s="123"/>
      <c r="K130" s="123">
        <v>0</v>
      </c>
      <c r="L130" s="123"/>
      <c r="M130" s="123">
        <v>0</v>
      </c>
      <c r="N130" s="123"/>
      <c r="O130" s="123">
        <v>0</v>
      </c>
      <c r="P130" s="123"/>
      <c r="Q130" s="123">
        <v>0</v>
      </c>
      <c r="R130" s="123"/>
      <c r="S130" s="123">
        <v>0</v>
      </c>
      <c r="T130" s="123"/>
      <c r="U130" s="123">
        <v>0</v>
      </c>
      <c r="V130" s="123"/>
      <c r="W130" s="123">
        <v>0</v>
      </c>
      <c r="X130" s="123"/>
      <c r="Y130" s="123">
        <v>0</v>
      </c>
      <c r="Z130" s="123"/>
      <c r="AA130" s="123">
        <f t="shared" ref="AA130" si="5">SUM(K130:Y130)</f>
        <v>0</v>
      </c>
      <c r="AB130" s="123"/>
      <c r="AC130" s="123">
        <f t="shared" ref="AC130:AC146" si="6">SUM(E130:Y130)</f>
        <v>0</v>
      </c>
    </row>
    <row r="131" spans="1:29" s="47" customFormat="1" ht="12.75" customHeight="1">
      <c r="A131" s="47" t="s">
        <v>157</v>
      </c>
      <c r="C131" s="47" t="s">
        <v>33</v>
      </c>
      <c r="E131" s="44">
        <v>1127931</v>
      </c>
      <c r="F131" s="44"/>
      <c r="G131" s="44">
        <v>1092903</v>
      </c>
      <c r="H131" s="44"/>
      <c r="I131" s="44">
        <v>16000</v>
      </c>
      <c r="J131" s="44"/>
      <c r="K131" s="44">
        <f>148246+160779</f>
        <v>309025</v>
      </c>
      <c r="L131" s="44"/>
      <c r="M131" s="44">
        <v>1291073</v>
      </c>
      <c r="N131" s="44"/>
      <c r="O131" s="44">
        <v>0</v>
      </c>
      <c r="P131" s="44"/>
      <c r="Q131" s="44">
        <v>478111</v>
      </c>
      <c r="R131" s="44"/>
      <c r="S131" s="44">
        <v>8847</v>
      </c>
      <c r="T131" s="44"/>
      <c r="U131" s="44">
        <f>63977+75463</f>
        <v>139440</v>
      </c>
      <c r="V131" s="44"/>
      <c r="W131" s="44">
        <v>-60422</v>
      </c>
      <c r="X131" s="44"/>
      <c r="Y131" s="44">
        <v>0</v>
      </c>
      <c r="Z131" s="44"/>
      <c r="AA131" s="44">
        <f t="shared" ref="AA131:AA194" si="7">SUM(K131:Y131)</f>
        <v>2166074</v>
      </c>
      <c r="AB131" s="44"/>
      <c r="AC131" s="44">
        <f t="shared" si="6"/>
        <v>4402908</v>
      </c>
    </row>
    <row r="132" spans="1:29" s="47" customFormat="1" ht="12.75" customHeight="1">
      <c r="A132" s="47" t="s">
        <v>158</v>
      </c>
      <c r="C132" s="47" t="s">
        <v>159</v>
      </c>
      <c r="E132" s="44">
        <v>2729691</v>
      </c>
      <c r="F132" s="44"/>
      <c r="G132" s="44">
        <v>1871206</v>
      </c>
      <c r="H132" s="44"/>
      <c r="I132" s="44">
        <v>1766014</v>
      </c>
      <c r="J132" s="44"/>
      <c r="K132" s="44">
        <f>1589078+119507+119507</f>
        <v>1828092</v>
      </c>
      <c r="L132" s="44"/>
      <c r="M132" s="44">
        <v>9870319</v>
      </c>
      <c r="N132" s="44"/>
      <c r="O132" s="44">
        <f>109895+1026468</f>
        <v>1136363</v>
      </c>
      <c r="P132" s="44"/>
      <c r="Q132" s="44">
        <v>846810</v>
      </c>
      <c r="R132" s="44"/>
      <c r="S132" s="44">
        <v>135196</v>
      </c>
      <c r="T132" s="44"/>
      <c r="U132" s="44">
        <v>157764</v>
      </c>
      <c r="V132" s="44"/>
      <c r="W132" s="44">
        <v>0</v>
      </c>
      <c r="X132" s="44"/>
      <c r="Y132" s="44">
        <v>0</v>
      </c>
      <c r="Z132" s="44"/>
      <c r="AA132" s="44">
        <f t="shared" si="7"/>
        <v>13974544</v>
      </c>
      <c r="AB132" s="44"/>
      <c r="AC132" s="44">
        <f t="shared" si="6"/>
        <v>20341455</v>
      </c>
    </row>
    <row r="133" spans="1:29" s="46" customFormat="1" ht="12.75" customHeight="1">
      <c r="A133" s="46" t="s">
        <v>160</v>
      </c>
      <c r="C133" s="46" t="s">
        <v>111</v>
      </c>
      <c r="E133" s="44">
        <v>4692667</v>
      </c>
      <c r="F133" s="44"/>
      <c r="G133" s="44">
        <v>5288458</v>
      </c>
      <c r="H133" s="44"/>
      <c r="I133" s="44">
        <v>361222</v>
      </c>
      <c r="J133" s="44"/>
      <c r="K133" s="44">
        <f>498141+3868790+1552348</f>
        <v>5919279</v>
      </c>
      <c r="L133" s="44"/>
      <c r="M133" s="44">
        <v>18823241</v>
      </c>
      <c r="N133" s="44"/>
      <c r="O133" s="44">
        <v>891904</v>
      </c>
      <c r="P133" s="44"/>
      <c r="Q133" s="44">
        <v>2367375</v>
      </c>
      <c r="R133" s="44"/>
      <c r="S133" s="44">
        <v>151128</v>
      </c>
      <c r="T133" s="44"/>
      <c r="U133" s="44">
        <v>567068</v>
      </c>
      <c r="V133" s="44"/>
      <c r="W133" s="44">
        <v>-3222025</v>
      </c>
      <c r="X133" s="44"/>
      <c r="Y133" s="44">
        <v>0</v>
      </c>
      <c r="Z133" s="44"/>
      <c r="AA133" s="44">
        <f t="shared" si="7"/>
        <v>25497970</v>
      </c>
      <c r="AB133" s="44"/>
      <c r="AC133" s="44">
        <f t="shared" si="6"/>
        <v>35840317</v>
      </c>
    </row>
    <row r="134" spans="1:29" s="47" customFormat="1" ht="12.75" customHeight="1">
      <c r="A134" s="47" t="s">
        <v>161</v>
      </c>
      <c r="C134" s="47" t="s">
        <v>15</v>
      </c>
      <c r="E134" s="44">
        <v>3905772</v>
      </c>
      <c r="F134" s="44"/>
      <c r="G134" s="44">
        <v>3736455</v>
      </c>
      <c r="H134" s="44"/>
      <c r="I134" s="44">
        <v>1081786</v>
      </c>
      <c r="J134" s="44"/>
      <c r="K134" s="44">
        <f>1346827+280183+133933</f>
        <v>1760943</v>
      </c>
      <c r="L134" s="44"/>
      <c r="M134" s="44">
        <f>10961553+724479+223706+1252975</f>
        <v>13162713</v>
      </c>
      <c r="N134" s="44"/>
      <c r="O134" s="44">
        <v>127455</v>
      </c>
      <c r="P134" s="44"/>
      <c r="Q134" s="44">
        <v>1850546</v>
      </c>
      <c r="R134" s="44"/>
      <c r="S134" s="44">
        <v>462880</v>
      </c>
      <c r="T134" s="44"/>
      <c r="U134" s="44">
        <v>535118</v>
      </c>
      <c r="V134" s="44"/>
      <c r="W134" s="44">
        <v>0</v>
      </c>
      <c r="X134" s="44"/>
      <c r="Y134" s="44">
        <v>0</v>
      </c>
      <c r="Z134" s="44"/>
      <c r="AA134" s="44">
        <f t="shared" si="7"/>
        <v>17899655</v>
      </c>
      <c r="AB134" s="44"/>
      <c r="AC134" s="44">
        <f t="shared" si="6"/>
        <v>26623668</v>
      </c>
    </row>
    <row r="135" spans="1:29" s="47" customFormat="1" ht="12.75" customHeight="1">
      <c r="A135" s="47" t="s">
        <v>471</v>
      </c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8" t="s">
        <v>484</v>
      </c>
    </row>
    <row r="136" spans="1:29" s="47" customFormat="1" ht="12.75" customHeight="1">
      <c r="A136" s="47" t="s">
        <v>162</v>
      </c>
      <c r="C136" s="47" t="s">
        <v>163</v>
      </c>
      <c r="E136" s="46">
        <v>3451886</v>
      </c>
      <c r="F136" s="46"/>
      <c r="G136" s="46">
        <v>1061944</v>
      </c>
      <c r="H136" s="46"/>
      <c r="I136" s="46">
        <v>1413056</v>
      </c>
      <c r="J136" s="46"/>
      <c r="K136" s="46">
        <v>3483872</v>
      </c>
      <c r="L136" s="46"/>
      <c r="M136" s="46">
        <v>14458832</v>
      </c>
      <c r="N136" s="46"/>
      <c r="O136" s="46">
        <v>0</v>
      </c>
      <c r="P136" s="46"/>
      <c r="Q136" s="46">
        <v>1225418</v>
      </c>
      <c r="R136" s="46"/>
      <c r="S136" s="46">
        <v>175899</v>
      </c>
      <c r="T136" s="46"/>
      <c r="U136" s="46">
        <v>829356</v>
      </c>
      <c r="V136" s="46"/>
      <c r="W136" s="46">
        <v>106650</v>
      </c>
      <c r="X136" s="46"/>
      <c r="Y136" s="46">
        <v>0</v>
      </c>
      <c r="Z136" s="46"/>
      <c r="AA136" s="46">
        <f t="shared" si="7"/>
        <v>20280027</v>
      </c>
      <c r="AB136" s="46"/>
      <c r="AC136" s="46">
        <f t="shared" si="6"/>
        <v>26206913</v>
      </c>
    </row>
    <row r="137" spans="1:29" s="47" customFormat="1" ht="12.75" customHeight="1">
      <c r="A137" s="47" t="s">
        <v>164</v>
      </c>
      <c r="C137" s="47" t="s">
        <v>27</v>
      </c>
      <c r="E137" s="44">
        <v>1914143</v>
      </c>
      <c r="F137" s="44"/>
      <c r="G137" s="44">
        <v>726422</v>
      </c>
      <c r="H137" s="44"/>
      <c r="I137" s="44">
        <v>223572</v>
      </c>
      <c r="J137" s="44"/>
      <c r="K137" s="44">
        <f>3755337+939558+299674</f>
        <v>4994569</v>
      </c>
      <c r="L137" s="44"/>
      <c r="M137" s="44">
        <v>9929204</v>
      </c>
      <c r="N137" s="44"/>
      <c r="O137" s="44">
        <v>162374</v>
      </c>
      <c r="P137" s="44"/>
      <c r="Q137" s="44">
        <v>2415114</v>
      </c>
      <c r="R137" s="44"/>
      <c r="S137" s="44">
        <v>230129</v>
      </c>
      <c r="T137" s="44"/>
      <c r="U137" s="44">
        <v>145733</v>
      </c>
      <c r="V137" s="44"/>
      <c r="W137" s="44">
        <v>0</v>
      </c>
      <c r="X137" s="44"/>
      <c r="Y137" s="44">
        <v>0</v>
      </c>
      <c r="Z137" s="44"/>
      <c r="AA137" s="44">
        <f t="shared" si="7"/>
        <v>17877123</v>
      </c>
      <c r="AB137" s="44"/>
      <c r="AC137" s="44">
        <f t="shared" si="6"/>
        <v>20741260</v>
      </c>
    </row>
    <row r="138" spans="1:29" s="47" customFormat="1" ht="12.75" customHeight="1">
      <c r="A138" s="47" t="s">
        <v>53</v>
      </c>
      <c r="C138" s="47" t="s">
        <v>53</v>
      </c>
      <c r="E138" s="44">
        <v>3279417</v>
      </c>
      <c r="F138" s="44"/>
      <c r="G138" s="44">
        <v>2817089</v>
      </c>
      <c r="H138" s="44"/>
      <c r="I138" s="44">
        <v>316465</v>
      </c>
      <c r="J138" s="44"/>
      <c r="K138" s="44">
        <f>1380490+1353582+27259</f>
        <v>2761331</v>
      </c>
      <c r="L138" s="44"/>
      <c r="M138" s="44">
        <f>2311602+8198469+911130</f>
        <v>11421201</v>
      </c>
      <c r="N138" s="44"/>
      <c r="O138" s="44">
        <v>12411</v>
      </c>
      <c r="P138" s="44"/>
      <c r="Q138" s="44">
        <v>1966495</v>
      </c>
      <c r="R138" s="44"/>
      <c r="S138" s="44">
        <v>344871</v>
      </c>
      <c r="T138" s="44"/>
      <c r="U138" s="44">
        <v>39422</v>
      </c>
      <c r="V138" s="44"/>
      <c r="W138" s="44">
        <v>-352537</v>
      </c>
      <c r="X138" s="44"/>
      <c r="Y138" s="44">
        <v>0</v>
      </c>
      <c r="Z138" s="44"/>
      <c r="AA138" s="44">
        <f t="shared" si="7"/>
        <v>16193194</v>
      </c>
      <c r="AB138" s="44"/>
      <c r="AC138" s="44">
        <f t="shared" si="6"/>
        <v>22606165</v>
      </c>
    </row>
    <row r="139" spans="1:29" s="47" customFormat="1" ht="12.75" customHeight="1">
      <c r="A139" s="47" t="s">
        <v>165</v>
      </c>
      <c r="C139" s="47" t="s">
        <v>92</v>
      </c>
      <c r="E139" s="44">
        <v>9993431</v>
      </c>
      <c r="F139" s="44"/>
      <c r="G139" s="44">
        <v>4216162</v>
      </c>
      <c r="H139" s="44"/>
      <c r="I139" s="44">
        <v>1196464</v>
      </c>
      <c r="J139" s="44"/>
      <c r="K139" s="44">
        <f>1637370+2203325+2085698</f>
        <v>5926393</v>
      </c>
      <c r="L139" s="44"/>
      <c r="M139" s="44">
        <v>30895408</v>
      </c>
      <c r="N139" s="44"/>
      <c r="O139" s="44">
        <f>437875+230725</f>
        <v>668600</v>
      </c>
      <c r="P139" s="44"/>
      <c r="Q139" s="44">
        <v>7115438</v>
      </c>
      <c r="R139" s="44"/>
      <c r="S139" s="44">
        <v>982759</v>
      </c>
      <c r="T139" s="44"/>
      <c r="U139" s="44">
        <v>49798</v>
      </c>
      <c r="V139" s="44"/>
      <c r="W139" s="44">
        <v>0</v>
      </c>
      <c r="X139" s="44"/>
      <c r="Y139" s="44">
        <v>0</v>
      </c>
      <c r="Z139" s="44"/>
      <c r="AA139" s="44">
        <f t="shared" si="7"/>
        <v>45638396</v>
      </c>
      <c r="AB139" s="44"/>
      <c r="AC139" s="44">
        <f t="shared" si="6"/>
        <v>61044453</v>
      </c>
    </row>
    <row r="140" spans="1:29" s="47" customFormat="1" ht="12.75" customHeight="1">
      <c r="A140" s="47" t="s">
        <v>166</v>
      </c>
      <c r="C140" s="47" t="s">
        <v>92</v>
      </c>
      <c r="E140" s="44">
        <v>589872</v>
      </c>
      <c r="F140" s="44"/>
      <c r="G140" s="44">
        <v>312551</v>
      </c>
      <c r="H140" s="44"/>
      <c r="I140" s="44">
        <v>258460</v>
      </c>
      <c r="J140" s="44"/>
      <c r="K140" s="44">
        <f>334204+421+1280131</f>
        <v>1614756</v>
      </c>
      <c r="L140" s="44"/>
      <c r="M140" s="44">
        <v>819833</v>
      </c>
      <c r="N140" s="44"/>
      <c r="O140" s="44">
        <v>0</v>
      </c>
      <c r="P140" s="44"/>
      <c r="Q140" s="44">
        <v>779226</v>
      </c>
      <c r="R140" s="44"/>
      <c r="S140" s="44">
        <v>1706</v>
      </c>
      <c r="T140" s="44"/>
      <c r="U140" s="44">
        <f>1283+27934</f>
        <v>29217</v>
      </c>
      <c r="V140" s="44"/>
      <c r="W140" s="44">
        <v>0</v>
      </c>
      <c r="X140" s="44"/>
      <c r="Y140" s="44">
        <v>0</v>
      </c>
      <c r="Z140" s="44"/>
      <c r="AA140" s="44">
        <f t="shared" si="7"/>
        <v>3244738</v>
      </c>
      <c r="AB140" s="44"/>
      <c r="AC140" s="44">
        <f t="shared" si="6"/>
        <v>4405621</v>
      </c>
    </row>
    <row r="141" spans="1:29" s="47" customFormat="1" ht="12.75" customHeight="1">
      <c r="A141" s="47" t="s">
        <v>167</v>
      </c>
      <c r="C141" s="47" t="s">
        <v>66</v>
      </c>
      <c r="E141" s="44">
        <v>4059269</v>
      </c>
      <c r="F141" s="44"/>
      <c r="G141" s="44">
        <v>1327836</v>
      </c>
      <c r="H141" s="44"/>
      <c r="I141" s="44">
        <v>310624</v>
      </c>
      <c r="J141" s="44"/>
      <c r="K141" s="44">
        <f>1669722+57912+1352191+267287</f>
        <v>3347112</v>
      </c>
      <c r="L141" s="44"/>
      <c r="M141" s="44">
        <f>7931747+1509858</f>
        <v>9441605</v>
      </c>
      <c r="N141" s="44"/>
      <c r="O141" s="44">
        <v>22241</v>
      </c>
      <c r="P141" s="44"/>
      <c r="Q141" s="44">
        <v>2137921</v>
      </c>
      <c r="R141" s="44"/>
      <c r="S141" s="44">
        <v>278303</v>
      </c>
      <c r="T141" s="44"/>
      <c r="U141" s="44">
        <v>815670</v>
      </c>
      <c r="V141" s="44"/>
      <c r="W141" s="44">
        <v>-229442</v>
      </c>
      <c r="X141" s="44"/>
      <c r="Y141" s="44">
        <v>0</v>
      </c>
      <c r="Z141" s="44"/>
      <c r="AA141" s="44">
        <f t="shared" si="7"/>
        <v>15813410</v>
      </c>
      <c r="AB141" s="44"/>
      <c r="AC141" s="44">
        <f t="shared" si="6"/>
        <v>21511139</v>
      </c>
    </row>
    <row r="142" spans="1:29" s="47" customFormat="1" ht="12.75" customHeight="1">
      <c r="A142" s="44" t="s">
        <v>168</v>
      </c>
      <c r="C142" s="44" t="s">
        <v>27</v>
      </c>
      <c r="D142" s="44"/>
      <c r="E142" s="44">
        <v>2663312</v>
      </c>
      <c r="F142" s="44"/>
      <c r="G142" s="44">
        <v>862290</v>
      </c>
      <c r="H142" s="44"/>
      <c r="I142" s="44">
        <v>1183203</v>
      </c>
      <c r="J142" s="44"/>
      <c r="K142" s="44">
        <f>1946835+418706+291830+160477</f>
        <v>2817848</v>
      </c>
      <c r="L142" s="44"/>
      <c r="M142" s="44">
        <f>11350197+1679911+1690513+1591385</f>
        <v>16312006</v>
      </c>
      <c r="N142" s="44"/>
      <c r="O142" s="44">
        <v>0</v>
      </c>
      <c r="P142" s="44"/>
      <c r="Q142" s="44">
        <v>2244208</v>
      </c>
      <c r="R142" s="44"/>
      <c r="S142" s="44">
        <v>62294</v>
      </c>
      <c r="T142" s="44"/>
      <c r="U142" s="44">
        <v>366607</v>
      </c>
      <c r="V142" s="44"/>
      <c r="W142" s="44">
        <v>0</v>
      </c>
      <c r="X142" s="44"/>
      <c r="Y142" s="44">
        <v>0</v>
      </c>
      <c r="Z142" s="44"/>
      <c r="AA142" s="44">
        <f t="shared" si="7"/>
        <v>21802963</v>
      </c>
      <c r="AB142" s="44"/>
      <c r="AC142" s="44">
        <f t="shared" si="6"/>
        <v>26511768</v>
      </c>
    </row>
    <row r="143" spans="1:29" s="47" customFormat="1" ht="12.75" customHeight="1">
      <c r="A143" s="47" t="s">
        <v>169</v>
      </c>
      <c r="C143" s="47" t="s">
        <v>103</v>
      </c>
      <c r="E143" s="44">
        <v>7490796</v>
      </c>
      <c r="F143" s="44"/>
      <c r="G143" s="44">
        <v>13471712</v>
      </c>
      <c r="H143" s="44"/>
      <c r="I143" s="44">
        <v>2708492</v>
      </c>
      <c r="J143" s="44"/>
      <c r="K143" s="44">
        <v>4479650</v>
      </c>
      <c r="L143" s="44"/>
      <c r="M143" s="44">
        <v>20344873</v>
      </c>
      <c r="N143" s="44"/>
      <c r="O143" s="44">
        <f>2948586+425760</f>
        <v>3374346</v>
      </c>
      <c r="P143" s="44"/>
      <c r="Q143" s="44">
        <v>4851745</v>
      </c>
      <c r="R143" s="44"/>
      <c r="S143" s="44">
        <v>111409</v>
      </c>
      <c r="T143" s="44"/>
      <c r="U143" s="44">
        <v>516198</v>
      </c>
      <c r="V143" s="44"/>
      <c r="W143" s="44">
        <v>84690</v>
      </c>
      <c r="X143" s="44"/>
      <c r="Y143" s="44">
        <v>0</v>
      </c>
      <c r="Z143" s="44"/>
      <c r="AA143" s="44">
        <f t="shared" si="7"/>
        <v>33762911</v>
      </c>
      <c r="AB143" s="44"/>
      <c r="AC143" s="44">
        <f t="shared" si="6"/>
        <v>57433911</v>
      </c>
    </row>
    <row r="144" spans="1:29" s="47" customFormat="1" ht="12.75" customHeight="1">
      <c r="A144" s="47" t="s">
        <v>170</v>
      </c>
      <c r="C144" s="47" t="s">
        <v>171</v>
      </c>
      <c r="E144" s="44">
        <v>370819</v>
      </c>
      <c r="F144" s="44"/>
      <c r="G144" s="44">
        <v>413394</v>
      </c>
      <c r="H144" s="44"/>
      <c r="I144" s="44">
        <v>0</v>
      </c>
      <c r="J144" s="44"/>
      <c r="K144" s="44">
        <v>1987427</v>
      </c>
      <c r="L144" s="44"/>
      <c r="M144" s="44">
        <v>2141991</v>
      </c>
      <c r="N144" s="44"/>
      <c r="O144" s="44">
        <f>13689+89112+145715+64626+917878+90337</f>
        <v>1321357</v>
      </c>
      <c r="P144" s="44"/>
      <c r="Q144" s="44">
        <v>735293</v>
      </c>
      <c r="R144" s="44"/>
      <c r="S144" s="44">
        <v>32375</v>
      </c>
      <c r="T144" s="44"/>
      <c r="U144" s="44">
        <v>63836</v>
      </c>
      <c r="V144" s="44"/>
      <c r="W144" s="44">
        <v>-71864</v>
      </c>
      <c r="X144" s="44"/>
      <c r="Y144" s="44">
        <v>0</v>
      </c>
      <c r="Z144" s="44"/>
      <c r="AA144" s="44">
        <f t="shared" si="7"/>
        <v>6210415</v>
      </c>
      <c r="AB144" s="44"/>
      <c r="AC144" s="44">
        <f t="shared" si="6"/>
        <v>6994628</v>
      </c>
    </row>
    <row r="145" spans="1:31" s="47" customFormat="1" ht="12.75" customHeight="1">
      <c r="A145" s="47" t="s">
        <v>172</v>
      </c>
      <c r="C145" s="47" t="s">
        <v>103</v>
      </c>
      <c r="E145" s="44">
        <v>2059779</v>
      </c>
      <c r="F145" s="44"/>
      <c r="G145" s="44">
        <v>419319</v>
      </c>
      <c r="H145" s="44"/>
      <c r="I145" s="44">
        <v>228952</v>
      </c>
      <c r="J145" s="44"/>
      <c r="K145" s="44">
        <v>1863360</v>
      </c>
      <c r="L145" s="44"/>
      <c r="M145" s="44">
        <v>5575320</v>
      </c>
      <c r="N145" s="44"/>
      <c r="O145" s="44">
        <f>663248+145086+56778+2415620+94965</f>
        <v>3375697</v>
      </c>
      <c r="P145" s="44"/>
      <c r="Q145" s="44">
        <v>947508</v>
      </c>
      <c r="R145" s="44"/>
      <c r="S145" s="44">
        <v>137047</v>
      </c>
      <c r="T145" s="44"/>
      <c r="U145" s="44">
        <v>37194</v>
      </c>
      <c r="V145" s="44"/>
      <c r="W145" s="44">
        <v>0</v>
      </c>
      <c r="X145" s="44"/>
      <c r="Y145" s="44">
        <v>0</v>
      </c>
      <c r="Z145" s="44"/>
      <c r="AA145" s="44">
        <f t="shared" si="7"/>
        <v>11936126</v>
      </c>
      <c r="AB145" s="44"/>
      <c r="AC145" s="44">
        <f t="shared" si="6"/>
        <v>14644176</v>
      </c>
    </row>
    <row r="146" spans="1:31" s="47" customFormat="1" ht="12.75" customHeight="1">
      <c r="A146" s="47" t="s">
        <v>66</v>
      </c>
      <c r="C146" s="47" t="s">
        <v>45</v>
      </c>
      <c r="E146" s="44">
        <v>1128070</v>
      </c>
      <c r="F146" s="44"/>
      <c r="G146" s="44">
        <v>533729</v>
      </c>
      <c r="H146" s="44"/>
      <c r="I146" s="44">
        <v>117265</v>
      </c>
      <c r="J146" s="44"/>
      <c r="K146" s="44">
        <v>5264702</v>
      </c>
      <c r="L146" s="44"/>
      <c r="M146" s="44">
        <v>7126510</v>
      </c>
      <c r="N146" s="44"/>
      <c r="O146" s="44">
        <v>1070266</v>
      </c>
      <c r="P146" s="44"/>
      <c r="Q146" s="44">
        <v>953694</v>
      </c>
      <c r="R146" s="44"/>
      <c r="S146" s="44">
        <v>275677</v>
      </c>
      <c r="T146" s="44"/>
      <c r="U146" s="44">
        <v>172085</v>
      </c>
      <c r="V146" s="44"/>
      <c r="W146" s="44">
        <v>0</v>
      </c>
      <c r="X146" s="44"/>
      <c r="Y146" s="44">
        <v>0</v>
      </c>
      <c r="Z146" s="44"/>
      <c r="AA146" s="44">
        <f t="shared" si="7"/>
        <v>14862934</v>
      </c>
      <c r="AB146" s="44"/>
      <c r="AC146" s="44">
        <f t="shared" si="6"/>
        <v>16641998</v>
      </c>
    </row>
    <row r="147" spans="1:31" s="47" customFormat="1" ht="12.75" customHeight="1">
      <c r="A147" s="47" t="s">
        <v>173</v>
      </c>
      <c r="C147" s="47" t="s">
        <v>66</v>
      </c>
      <c r="E147" s="44">
        <v>782194</v>
      </c>
      <c r="F147" s="44"/>
      <c r="G147" s="44">
        <v>350772</v>
      </c>
      <c r="H147" s="44"/>
      <c r="I147" s="44">
        <v>1043863</v>
      </c>
      <c r="J147" s="44"/>
      <c r="K147" s="44">
        <f>387971+90314+90314</f>
        <v>568599</v>
      </c>
      <c r="L147" s="44"/>
      <c r="M147" s="44">
        <v>9852558</v>
      </c>
      <c r="N147" s="44"/>
      <c r="O147" s="44">
        <f>18380+41288</f>
        <v>59668</v>
      </c>
      <c r="P147" s="44"/>
      <c r="Q147" s="44">
        <f>718455+443766</f>
        <v>1162221</v>
      </c>
      <c r="R147" s="44"/>
      <c r="S147" s="44">
        <v>409605</v>
      </c>
      <c r="T147" s="44"/>
      <c r="U147" s="44">
        <f>529677+47405</f>
        <v>577082</v>
      </c>
      <c r="V147" s="44"/>
      <c r="W147" s="44">
        <v>0</v>
      </c>
      <c r="X147" s="44"/>
      <c r="Y147" s="44">
        <v>0</v>
      </c>
      <c r="Z147" s="44"/>
      <c r="AA147" s="44">
        <f t="shared" si="7"/>
        <v>12629733</v>
      </c>
      <c r="AB147" s="44"/>
      <c r="AC147" s="44">
        <f t="shared" ref="AC147:AC194" si="8">SUM(E147:Y147)</f>
        <v>14806562</v>
      </c>
    </row>
    <row r="148" spans="1:31" s="47" customFormat="1" ht="12.75" customHeight="1">
      <c r="A148" s="47" t="s">
        <v>174</v>
      </c>
      <c r="C148" s="47" t="s">
        <v>45</v>
      </c>
      <c r="E148" s="44">
        <v>798923</v>
      </c>
      <c r="F148" s="44"/>
      <c r="G148" s="44">
        <v>361091</v>
      </c>
      <c r="H148" s="44"/>
      <c r="I148" s="44">
        <v>958568</v>
      </c>
      <c r="J148" s="44"/>
      <c r="K148" s="44">
        <f>362891+103348+376560</f>
        <v>842799</v>
      </c>
      <c r="L148" s="44"/>
      <c r="M148" s="44">
        <v>1390974</v>
      </c>
      <c r="N148" s="44"/>
      <c r="O148" s="44">
        <v>64220</v>
      </c>
      <c r="P148" s="44"/>
      <c r="Q148" s="44">
        <v>219977</v>
      </c>
      <c r="R148" s="44"/>
      <c r="S148" s="44">
        <v>1004</v>
      </c>
      <c r="T148" s="44"/>
      <c r="U148" s="44">
        <v>92856</v>
      </c>
      <c r="V148" s="44"/>
      <c r="W148" s="44">
        <v>0</v>
      </c>
      <c r="X148" s="44"/>
      <c r="Y148" s="44">
        <v>0</v>
      </c>
      <c r="Z148" s="44"/>
      <c r="AA148" s="44">
        <f t="shared" si="7"/>
        <v>2611830</v>
      </c>
      <c r="AB148" s="44"/>
      <c r="AC148" s="44">
        <f t="shared" si="8"/>
        <v>4730412</v>
      </c>
    </row>
    <row r="149" spans="1:31" s="47" customFormat="1" ht="12.75" customHeight="1">
      <c r="A149" s="47" t="s">
        <v>175</v>
      </c>
      <c r="C149" s="47" t="s">
        <v>176</v>
      </c>
      <c r="E149" s="44">
        <v>2502036</v>
      </c>
      <c r="F149" s="44"/>
      <c r="G149" s="44">
        <v>1807522</v>
      </c>
      <c r="H149" s="44"/>
      <c r="I149" s="44">
        <v>880033</v>
      </c>
      <c r="J149" s="44"/>
      <c r="K149" s="44">
        <f>589285+167876+1381766</f>
        <v>2138927</v>
      </c>
      <c r="L149" s="44"/>
      <c r="M149" s="44">
        <v>8688085</v>
      </c>
      <c r="N149" s="44"/>
      <c r="O149" s="44">
        <v>87796</v>
      </c>
      <c r="P149" s="44"/>
      <c r="Q149" s="44">
        <v>1087350</v>
      </c>
      <c r="R149" s="44"/>
      <c r="S149" s="44">
        <v>60858</v>
      </c>
      <c r="T149" s="44"/>
      <c r="U149" s="44">
        <v>180599</v>
      </c>
      <c r="V149" s="44"/>
      <c r="W149" s="44">
        <v>0</v>
      </c>
      <c r="X149" s="44"/>
      <c r="Y149" s="44">
        <v>0</v>
      </c>
      <c r="Z149" s="44"/>
      <c r="AA149" s="44">
        <f t="shared" si="7"/>
        <v>12243615</v>
      </c>
      <c r="AB149" s="44"/>
      <c r="AC149" s="44">
        <f t="shared" si="8"/>
        <v>17433206</v>
      </c>
    </row>
    <row r="150" spans="1:31" s="47" customFormat="1" ht="12.75" customHeight="1">
      <c r="A150" s="47" t="s">
        <v>177</v>
      </c>
      <c r="C150" s="47" t="s">
        <v>13</v>
      </c>
      <c r="E150" s="44">
        <v>308895</v>
      </c>
      <c r="F150" s="44"/>
      <c r="G150" s="44">
        <v>368261</v>
      </c>
      <c r="H150" s="44"/>
      <c r="I150" s="44">
        <v>294672</v>
      </c>
      <c r="J150" s="44"/>
      <c r="K150" s="44">
        <f>262362+160390+181776+196813</f>
        <v>801341</v>
      </c>
      <c r="L150" s="44"/>
      <c r="M150" s="44">
        <f>903583+145749</f>
        <v>1049332</v>
      </c>
      <c r="N150" s="44"/>
      <c r="O150" s="44">
        <v>0</v>
      </c>
      <c r="P150" s="44"/>
      <c r="Q150" s="44">
        <v>397544</v>
      </c>
      <c r="R150" s="44"/>
      <c r="S150" s="44">
        <v>27788</v>
      </c>
      <c r="T150" s="44"/>
      <c r="U150" s="44">
        <v>78093</v>
      </c>
      <c r="V150" s="44"/>
      <c r="W150" s="44">
        <v>1382</v>
      </c>
      <c r="X150" s="44"/>
      <c r="Y150" s="44">
        <v>0</v>
      </c>
      <c r="Z150" s="44"/>
      <c r="AA150" s="44">
        <f t="shared" si="7"/>
        <v>2355480</v>
      </c>
      <c r="AB150" s="44"/>
      <c r="AC150" s="44">
        <f t="shared" si="8"/>
        <v>3327308</v>
      </c>
    </row>
    <row r="151" spans="1:31" s="47" customFormat="1" ht="12.75" customHeight="1">
      <c r="A151" s="47" t="s">
        <v>178</v>
      </c>
      <c r="C151" s="47" t="s">
        <v>179</v>
      </c>
      <c r="E151" s="44">
        <v>1482692</v>
      </c>
      <c r="F151" s="44"/>
      <c r="G151" s="44">
        <v>894469</v>
      </c>
      <c r="H151" s="44"/>
      <c r="I151" s="44">
        <v>157440</v>
      </c>
      <c r="J151" s="44"/>
      <c r="K151" s="44">
        <v>386482</v>
      </c>
      <c r="L151" s="44"/>
      <c r="M151" s="44">
        <v>2796692</v>
      </c>
      <c r="N151" s="44"/>
      <c r="O151" s="44">
        <v>515545</v>
      </c>
      <c r="P151" s="44"/>
      <c r="Q151" s="44">
        <v>629483</v>
      </c>
      <c r="R151" s="44"/>
      <c r="S151" s="44">
        <v>90378</v>
      </c>
      <c r="T151" s="44"/>
      <c r="U151" s="44">
        <v>128298</v>
      </c>
      <c r="V151" s="44"/>
      <c r="W151" s="44">
        <v>0</v>
      </c>
      <c r="X151" s="44"/>
      <c r="Y151" s="44">
        <v>0</v>
      </c>
      <c r="Z151" s="44"/>
      <c r="AA151" s="44">
        <f t="shared" si="7"/>
        <v>4546878</v>
      </c>
      <c r="AB151" s="44"/>
      <c r="AC151" s="44">
        <f t="shared" si="8"/>
        <v>7081479</v>
      </c>
    </row>
    <row r="152" spans="1:31" s="47" customFormat="1" ht="12.75" customHeight="1">
      <c r="A152" s="47" t="s">
        <v>180</v>
      </c>
      <c r="C152" s="47" t="s">
        <v>20</v>
      </c>
      <c r="E152" s="44">
        <v>180136</v>
      </c>
      <c r="F152" s="44"/>
      <c r="G152" s="44">
        <v>292489</v>
      </c>
      <c r="H152" s="44"/>
      <c r="I152" s="44">
        <v>38000</v>
      </c>
      <c r="J152" s="44"/>
      <c r="K152" s="44">
        <f>189624+239172+18355</f>
        <v>447151</v>
      </c>
      <c r="L152" s="44"/>
      <c r="M152" s="44">
        <f>1152645+248551+330323</f>
        <v>1731519</v>
      </c>
      <c r="N152" s="44"/>
      <c r="O152" s="44">
        <v>0</v>
      </c>
      <c r="P152" s="44"/>
      <c r="Q152" s="44">
        <v>69263</v>
      </c>
      <c r="R152" s="44"/>
      <c r="S152" s="44">
        <v>64634</v>
      </c>
      <c r="T152" s="44"/>
      <c r="U152" s="44">
        <v>77588</v>
      </c>
      <c r="V152" s="44"/>
      <c r="W152" s="44">
        <v>-40000</v>
      </c>
      <c r="X152" s="44"/>
      <c r="Y152" s="44">
        <v>0</v>
      </c>
      <c r="Z152" s="44"/>
      <c r="AA152" s="44">
        <f t="shared" si="7"/>
        <v>2350155</v>
      </c>
      <c r="AB152" s="44"/>
      <c r="AC152" s="44">
        <f t="shared" si="8"/>
        <v>2860780</v>
      </c>
    </row>
    <row r="153" spans="1:31" s="47" customFormat="1" ht="12.75" customHeight="1">
      <c r="A153" s="47" t="s">
        <v>182</v>
      </c>
      <c r="C153" s="47" t="s">
        <v>183</v>
      </c>
      <c r="E153" s="44">
        <v>766507</v>
      </c>
      <c r="F153" s="44"/>
      <c r="G153" s="44">
        <v>384431</v>
      </c>
      <c r="H153" s="44"/>
      <c r="I153" s="44">
        <v>340178</v>
      </c>
      <c r="J153" s="44"/>
      <c r="K153" s="44">
        <v>521674</v>
      </c>
      <c r="L153" s="44"/>
      <c r="M153" s="44">
        <v>1127383</v>
      </c>
      <c r="N153" s="44"/>
      <c r="O153" s="44">
        <v>50801</v>
      </c>
      <c r="P153" s="44"/>
      <c r="Q153" s="44">
        <v>110618</v>
      </c>
      <c r="R153" s="44"/>
      <c r="S153" s="44">
        <v>0</v>
      </c>
      <c r="T153" s="44"/>
      <c r="U153" s="44">
        <v>0</v>
      </c>
      <c r="V153" s="44"/>
      <c r="W153" s="44">
        <v>-25000</v>
      </c>
      <c r="X153" s="44"/>
      <c r="Y153" s="44">
        <v>0</v>
      </c>
      <c r="Z153" s="44"/>
      <c r="AA153" s="44">
        <f t="shared" si="7"/>
        <v>1785476</v>
      </c>
      <c r="AB153" s="44"/>
      <c r="AC153" s="44">
        <f t="shared" si="8"/>
        <v>3276592</v>
      </c>
    </row>
    <row r="154" spans="1:31" s="47" customFormat="1" ht="12.75" customHeight="1">
      <c r="A154" s="47" t="s">
        <v>487</v>
      </c>
      <c r="C154" s="47" t="s">
        <v>13</v>
      </c>
      <c r="E154" s="44">
        <v>478186</v>
      </c>
      <c r="F154" s="44"/>
      <c r="G154" s="44">
        <v>965153</v>
      </c>
      <c r="H154" s="44"/>
      <c r="I154" s="44">
        <v>0</v>
      </c>
      <c r="J154" s="44"/>
      <c r="K154" s="44">
        <f>161086+398580+2527177</f>
        <v>3086843</v>
      </c>
      <c r="L154" s="44"/>
      <c r="M154" s="44">
        <f>817558+29524</f>
        <v>847082</v>
      </c>
      <c r="N154" s="44"/>
      <c r="O154" s="44">
        <v>0</v>
      </c>
      <c r="P154" s="44"/>
      <c r="Q154" s="44">
        <v>1147106</v>
      </c>
      <c r="R154" s="44"/>
      <c r="S154" s="44">
        <v>6768</v>
      </c>
      <c r="T154" s="44"/>
      <c r="U154" s="44">
        <v>80195</v>
      </c>
      <c r="V154" s="44"/>
      <c r="W154" s="44">
        <v>0</v>
      </c>
      <c r="X154" s="44"/>
      <c r="Y154" s="44">
        <v>0</v>
      </c>
      <c r="Z154" s="44"/>
      <c r="AA154" s="44">
        <f t="shared" si="7"/>
        <v>5167994</v>
      </c>
      <c r="AB154" s="44"/>
      <c r="AC154" s="44">
        <f t="shared" si="8"/>
        <v>6611333</v>
      </c>
    </row>
    <row r="155" spans="1:31" s="47" customFormat="1" ht="12.75" customHeight="1">
      <c r="A155" s="47" t="s">
        <v>184</v>
      </c>
      <c r="C155" s="47" t="s">
        <v>89</v>
      </c>
      <c r="E155" s="44">
        <v>1989468</v>
      </c>
      <c r="F155" s="44"/>
      <c r="G155" s="44">
        <v>1486055</v>
      </c>
      <c r="H155" s="44"/>
      <c r="I155" s="44">
        <v>1959472</v>
      </c>
      <c r="J155" s="44"/>
      <c r="K155" s="44">
        <v>1109737</v>
      </c>
      <c r="L155" s="44"/>
      <c r="M155" s="44">
        <v>6095136</v>
      </c>
      <c r="N155" s="44"/>
      <c r="O155" s="44">
        <v>0</v>
      </c>
      <c r="P155" s="44"/>
      <c r="Q155" s="44">
        <v>1453277</v>
      </c>
      <c r="R155" s="44"/>
      <c r="S155" s="44">
        <v>5905</v>
      </c>
      <c r="T155" s="44"/>
      <c r="U155" s="44">
        <v>104402</v>
      </c>
      <c r="V155" s="44"/>
      <c r="W155" s="44">
        <v>-225411</v>
      </c>
      <c r="X155" s="44"/>
      <c r="Y155" s="44">
        <v>0</v>
      </c>
      <c r="Z155" s="44"/>
      <c r="AA155" s="44">
        <f t="shared" si="7"/>
        <v>8543046</v>
      </c>
      <c r="AB155" s="44"/>
      <c r="AC155" s="44">
        <f t="shared" si="8"/>
        <v>13978041</v>
      </c>
    </row>
    <row r="156" spans="1:31" s="47" customFormat="1" ht="12.75" customHeight="1">
      <c r="A156" s="47" t="s">
        <v>181</v>
      </c>
      <c r="C156" s="47" t="s">
        <v>125</v>
      </c>
      <c r="E156" s="44">
        <v>4337451</v>
      </c>
      <c r="F156" s="44"/>
      <c r="G156" s="44">
        <v>5745895</v>
      </c>
      <c r="H156" s="44"/>
      <c r="I156" s="44">
        <v>295531</v>
      </c>
      <c r="J156" s="44"/>
      <c r="K156" s="44">
        <f>2126951+421153+265668</f>
        <v>2813772</v>
      </c>
      <c r="L156" s="44"/>
      <c r="M156" s="44">
        <v>18880522</v>
      </c>
      <c r="N156" s="44"/>
      <c r="O156" s="44">
        <v>361444</v>
      </c>
      <c r="P156" s="44"/>
      <c r="Q156" s="44">
        <v>3554614</v>
      </c>
      <c r="R156" s="44"/>
      <c r="S156" s="44">
        <v>219412</v>
      </c>
      <c r="T156" s="44"/>
      <c r="U156" s="44">
        <v>658189</v>
      </c>
      <c r="V156" s="44"/>
      <c r="W156" s="44">
        <v>82637</v>
      </c>
      <c r="X156" s="44"/>
      <c r="Y156" s="44">
        <v>0</v>
      </c>
      <c r="Z156" s="44"/>
      <c r="AA156" s="44">
        <f t="shared" si="7"/>
        <v>26570590</v>
      </c>
      <c r="AB156" s="44"/>
      <c r="AC156" s="44">
        <f t="shared" si="8"/>
        <v>36949467</v>
      </c>
    </row>
    <row r="157" spans="1:31" s="47" customFormat="1" ht="12.75" customHeight="1">
      <c r="A157" s="47" t="s">
        <v>185</v>
      </c>
      <c r="C157" s="47" t="s">
        <v>80</v>
      </c>
      <c r="E157" s="44">
        <v>2376152</v>
      </c>
      <c r="F157" s="44"/>
      <c r="G157" s="44">
        <v>1936267</v>
      </c>
      <c r="H157" s="44"/>
      <c r="I157" s="44">
        <v>1372550</v>
      </c>
      <c r="J157" s="44"/>
      <c r="K157" s="44">
        <f>1120477+341425</f>
        <v>1461902</v>
      </c>
      <c r="L157" s="44"/>
      <c r="M157" s="44">
        <f>3721880+1777167</f>
        <v>5499047</v>
      </c>
      <c r="N157" s="44"/>
      <c r="O157" s="44">
        <v>0</v>
      </c>
      <c r="P157" s="44"/>
      <c r="Q157" s="44">
        <v>589224</v>
      </c>
      <c r="R157" s="44"/>
      <c r="S157" s="44">
        <v>31241</v>
      </c>
      <c r="T157" s="44"/>
      <c r="U157" s="44">
        <v>369953</v>
      </c>
      <c r="V157" s="44"/>
      <c r="W157" s="44">
        <v>0</v>
      </c>
      <c r="X157" s="44"/>
      <c r="Y157" s="44">
        <v>0</v>
      </c>
      <c r="Z157" s="44"/>
      <c r="AA157" s="44">
        <f t="shared" si="7"/>
        <v>7951367</v>
      </c>
      <c r="AB157" s="44"/>
      <c r="AC157" s="44">
        <f t="shared" si="8"/>
        <v>13636336</v>
      </c>
      <c r="AE157" s="47">
        <f>7951367+2376152+1936267+1372550</f>
        <v>13636336</v>
      </c>
    </row>
    <row r="158" spans="1:31" s="47" customFormat="1" ht="12.75" customHeight="1">
      <c r="A158" s="47" t="s">
        <v>186</v>
      </c>
      <c r="C158" s="47" t="s">
        <v>15</v>
      </c>
      <c r="E158" s="44">
        <v>1342464</v>
      </c>
      <c r="F158" s="44"/>
      <c r="G158" s="44">
        <v>985241</v>
      </c>
      <c r="H158" s="44"/>
      <c r="I158" s="44">
        <v>374281</v>
      </c>
      <c r="J158" s="44"/>
      <c r="K158" s="44">
        <f>782658+84225+159739+327430+366943</f>
        <v>1720995</v>
      </c>
      <c r="L158" s="44"/>
      <c r="M158" s="44">
        <f>4342052+1274696</f>
        <v>5616748</v>
      </c>
      <c r="N158" s="44"/>
      <c r="O158" s="44">
        <v>0</v>
      </c>
      <c r="P158" s="44"/>
      <c r="Q158" s="44">
        <v>1606528</v>
      </c>
      <c r="R158" s="44"/>
      <c r="S158" s="44">
        <v>11782</v>
      </c>
      <c r="T158" s="44"/>
      <c r="U158" s="44">
        <v>37139</v>
      </c>
      <c r="V158" s="44"/>
      <c r="W158" s="44">
        <v>15078</v>
      </c>
      <c r="X158" s="44"/>
      <c r="Y158" s="44">
        <v>0</v>
      </c>
      <c r="Z158" s="44"/>
      <c r="AA158" s="44">
        <f t="shared" si="7"/>
        <v>9008270</v>
      </c>
      <c r="AB158" s="44"/>
      <c r="AC158" s="44">
        <f t="shared" si="8"/>
        <v>11710256</v>
      </c>
    </row>
    <row r="159" spans="1:31" s="44" customFormat="1" ht="12.75" customHeight="1">
      <c r="A159" s="44" t="s">
        <v>187</v>
      </c>
      <c r="C159" s="44" t="s">
        <v>27</v>
      </c>
      <c r="E159" s="44">
        <v>3898794</v>
      </c>
      <c r="G159" s="44">
        <v>1857890</v>
      </c>
      <c r="I159" s="44">
        <v>8162080</v>
      </c>
      <c r="K159" s="44">
        <f>4892614+869808+217415+219520+3696243</f>
        <v>9895600</v>
      </c>
      <c r="M159" s="44">
        <f>8500685+1820763+1820764</f>
        <v>12142212</v>
      </c>
      <c r="O159" s="44">
        <v>0</v>
      </c>
      <c r="Q159" s="44">
        <v>3954223</v>
      </c>
      <c r="S159" s="44">
        <v>62463</v>
      </c>
      <c r="U159" s="44">
        <v>22728</v>
      </c>
      <c r="W159" s="44">
        <v>-75800</v>
      </c>
      <c r="Y159" s="44">
        <v>0</v>
      </c>
      <c r="AA159" s="44">
        <f t="shared" si="7"/>
        <v>26001426</v>
      </c>
      <c r="AC159" s="44">
        <f t="shared" si="8"/>
        <v>39920190</v>
      </c>
    </row>
    <row r="160" spans="1:31" s="47" customFormat="1" ht="12.75" customHeight="1">
      <c r="A160" s="47" t="s">
        <v>189</v>
      </c>
      <c r="C160" s="47" t="s">
        <v>17</v>
      </c>
      <c r="E160" s="44">
        <v>4538232</v>
      </c>
      <c r="F160" s="44"/>
      <c r="G160" s="44">
        <v>2108730</v>
      </c>
      <c r="H160" s="44"/>
      <c r="I160" s="44">
        <v>2147642</v>
      </c>
      <c r="J160" s="44"/>
      <c r="K160" s="44">
        <f>1090355+4634283</f>
        <v>5724638</v>
      </c>
      <c r="L160" s="44"/>
      <c r="M160" s="44">
        <v>7668674</v>
      </c>
      <c r="N160" s="44"/>
      <c r="O160" s="44">
        <v>0</v>
      </c>
      <c r="P160" s="44"/>
      <c r="Q160" s="44">
        <v>2310187</v>
      </c>
      <c r="R160" s="44"/>
      <c r="S160" s="44">
        <v>56592</v>
      </c>
      <c r="T160" s="44"/>
      <c r="U160" s="44">
        <v>262780</v>
      </c>
      <c r="V160" s="44"/>
      <c r="W160" s="44">
        <v>0</v>
      </c>
      <c r="X160" s="44"/>
      <c r="Y160" s="44">
        <v>0</v>
      </c>
      <c r="Z160" s="44"/>
      <c r="AA160" s="44">
        <f t="shared" si="7"/>
        <v>16022871</v>
      </c>
      <c r="AB160" s="44"/>
      <c r="AC160" s="44">
        <f t="shared" si="8"/>
        <v>24817475</v>
      </c>
    </row>
    <row r="161" spans="1:30" s="47" customFormat="1" ht="12.75" customHeight="1">
      <c r="A161" s="47" t="s">
        <v>188</v>
      </c>
      <c r="C161" s="47" t="s">
        <v>27</v>
      </c>
      <c r="E161" s="44">
        <v>1987054</v>
      </c>
      <c r="F161" s="44"/>
      <c r="G161" s="44">
        <v>2365216</v>
      </c>
      <c r="H161" s="44"/>
      <c r="I161" s="44">
        <v>1078458</v>
      </c>
      <c r="J161" s="44"/>
      <c r="K161" s="44">
        <f>761743+3252082+679198</f>
        <v>4693023</v>
      </c>
      <c r="L161" s="44"/>
      <c r="M161" s="44">
        <v>11333806</v>
      </c>
      <c r="N161" s="44"/>
      <c r="O161" s="44">
        <v>0</v>
      </c>
      <c r="P161" s="44"/>
      <c r="Q161" s="44">
        <v>2057028</v>
      </c>
      <c r="R161" s="44"/>
      <c r="S161" s="44">
        <v>46941</v>
      </c>
      <c r="T161" s="44"/>
      <c r="U161" s="44">
        <v>263500</v>
      </c>
      <c r="V161" s="44"/>
      <c r="W161" s="44">
        <v>68015</v>
      </c>
      <c r="X161" s="44"/>
      <c r="Y161" s="44">
        <v>0</v>
      </c>
      <c r="Z161" s="44"/>
      <c r="AA161" s="44">
        <f t="shared" si="7"/>
        <v>18462313</v>
      </c>
      <c r="AB161" s="44"/>
      <c r="AC161" s="44">
        <f t="shared" si="8"/>
        <v>23893041</v>
      </c>
    </row>
    <row r="162" spans="1:30" s="47" customFormat="1" ht="12.75" customHeight="1">
      <c r="A162" s="47" t="s">
        <v>190</v>
      </c>
      <c r="C162" s="47" t="s">
        <v>47</v>
      </c>
      <c r="E162" s="44">
        <v>803207</v>
      </c>
      <c r="F162" s="44"/>
      <c r="G162" s="44">
        <v>770000</v>
      </c>
      <c r="H162" s="44"/>
      <c r="I162" s="44">
        <v>8120</v>
      </c>
      <c r="J162" s="44"/>
      <c r="K162" s="44">
        <v>476377</v>
      </c>
      <c r="L162" s="44"/>
      <c r="M162" s="44">
        <v>3945769</v>
      </c>
      <c r="N162" s="44"/>
      <c r="O162" s="44">
        <v>39035</v>
      </c>
      <c r="P162" s="44"/>
      <c r="Q162" s="44">
        <v>552730</v>
      </c>
      <c r="R162" s="44"/>
      <c r="S162" s="44">
        <v>9273</v>
      </c>
      <c r="T162" s="44"/>
      <c r="U162" s="44">
        <v>16365</v>
      </c>
      <c r="V162" s="44"/>
      <c r="W162" s="44">
        <v>0</v>
      </c>
      <c r="X162" s="44"/>
      <c r="Y162" s="44">
        <v>0</v>
      </c>
      <c r="Z162" s="44"/>
      <c r="AA162" s="44">
        <f t="shared" si="7"/>
        <v>5039549</v>
      </c>
      <c r="AB162" s="44"/>
      <c r="AC162" s="44">
        <f t="shared" si="8"/>
        <v>6620876</v>
      </c>
    </row>
    <row r="163" spans="1:30" s="47" customFormat="1" ht="12.75" customHeight="1">
      <c r="A163" s="47" t="s">
        <v>191</v>
      </c>
      <c r="C163" s="47" t="s">
        <v>13</v>
      </c>
      <c r="E163" s="44">
        <v>1302477</v>
      </c>
      <c r="F163" s="44"/>
      <c r="G163" s="44">
        <v>1472638</v>
      </c>
      <c r="H163" s="44"/>
      <c r="I163" s="44">
        <v>1263045</v>
      </c>
      <c r="J163" s="44"/>
      <c r="K163" s="44">
        <f>379153+320570+266321+88107+699056</f>
        <v>1753207</v>
      </c>
      <c r="L163" s="44"/>
      <c r="M163" s="44">
        <f>3745475+113273+310855</f>
        <v>4169603</v>
      </c>
      <c r="N163" s="44"/>
      <c r="O163" s="44">
        <v>0</v>
      </c>
      <c r="P163" s="44"/>
      <c r="Q163" s="44">
        <v>908310</v>
      </c>
      <c r="R163" s="44"/>
      <c r="S163" s="44">
        <v>9242</v>
      </c>
      <c r="T163" s="44"/>
      <c r="U163" s="44">
        <v>261188</v>
      </c>
      <c r="V163" s="44"/>
      <c r="W163" s="44">
        <v>0</v>
      </c>
      <c r="X163" s="44"/>
      <c r="Y163" s="44">
        <v>0</v>
      </c>
      <c r="Z163" s="44"/>
      <c r="AA163" s="44">
        <f t="shared" si="7"/>
        <v>7101550</v>
      </c>
      <c r="AB163" s="44"/>
      <c r="AC163" s="44">
        <f t="shared" si="8"/>
        <v>11139710</v>
      </c>
    </row>
    <row r="164" spans="1:30" s="47" customFormat="1" ht="12.75" customHeight="1">
      <c r="A164" s="47" t="s">
        <v>192</v>
      </c>
      <c r="C164" s="47" t="s">
        <v>38</v>
      </c>
      <c r="E164" s="44">
        <v>1934244</v>
      </c>
      <c r="F164" s="44"/>
      <c r="G164" s="44">
        <v>742131</v>
      </c>
      <c r="H164" s="44"/>
      <c r="I164" s="44">
        <v>416107</v>
      </c>
      <c r="J164" s="44"/>
      <c r="K164" s="44">
        <f>765933+610040</f>
        <v>1375973</v>
      </c>
      <c r="L164" s="44"/>
      <c r="M164" s="44">
        <v>5018697</v>
      </c>
      <c r="N164" s="44"/>
      <c r="O164" s="44">
        <v>0</v>
      </c>
      <c r="P164" s="44"/>
      <c r="Q164" s="44">
        <v>1855455</v>
      </c>
      <c r="R164" s="44"/>
      <c r="S164" s="44">
        <v>207079</v>
      </c>
      <c r="T164" s="44"/>
      <c r="U164" s="44">
        <v>110237</v>
      </c>
      <c r="V164" s="44"/>
      <c r="W164" s="44">
        <v>0</v>
      </c>
      <c r="X164" s="44"/>
      <c r="Y164" s="44">
        <v>0</v>
      </c>
      <c r="Z164" s="44"/>
      <c r="AA164" s="44">
        <f t="shared" si="7"/>
        <v>8567441</v>
      </c>
      <c r="AB164" s="44"/>
      <c r="AC164" s="44">
        <f t="shared" si="8"/>
        <v>11659923</v>
      </c>
    </row>
    <row r="165" spans="1:30" s="47" customFormat="1" ht="12.75" customHeight="1">
      <c r="A165" s="47" t="s">
        <v>193</v>
      </c>
      <c r="C165" s="47" t="s">
        <v>45</v>
      </c>
      <c r="E165" s="44">
        <v>1389580</v>
      </c>
      <c r="F165" s="44"/>
      <c r="G165" s="44">
        <v>1042860</v>
      </c>
      <c r="H165" s="44"/>
      <c r="I165" s="44">
        <v>0</v>
      </c>
      <c r="J165" s="44"/>
      <c r="K165" s="44">
        <v>2620666</v>
      </c>
      <c r="L165" s="44"/>
      <c r="M165" s="44">
        <v>14286726</v>
      </c>
      <c r="N165" s="44"/>
      <c r="O165" s="44">
        <f>418657+1218770</f>
        <v>1637427</v>
      </c>
      <c r="P165" s="44"/>
      <c r="Q165" s="44">
        <v>1661157</v>
      </c>
      <c r="R165" s="44"/>
      <c r="S165" s="44">
        <v>163732</v>
      </c>
      <c r="T165" s="44"/>
      <c r="U165" s="44">
        <f>77663+58076</f>
        <v>135739</v>
      </c>
      <c r="V165" s="44"/>
      <c r="W165" s="44">
        <v>0</v>
      </c>
      <c r="X165" s="44"/>
      <c r="Y165" s="44">
        <v>0</v>
      </c>
      <c r="Z165" s="44"/>
      <c r="AA165" s="44">
        <f t="shared" si="7"/>
        <v>20505447</v>
      </c>
      <c r="AB165" s="44"/>
      <c r="AC165" s="44">
        <f t="shared" si="8"/>
        <v>22937887</v>
      </c>
      <c r="AD165" s="44"/>
    </row>
    <row r="166" spans="1:30" s="47" customFormat="1" ht="12.75" customHeight="1">
      <c r="A166" s="47" t="s">
        <v>194</v>
      </c>
      <c r="C166" s="47" t="s">
        <v>66</v>
      </c>
      <c r="E166" s="44">
        <v>1678099</v>
      </c>
      <c r="F166" s="44"/>
      <c r="G166" s="44">
        <v>15011</v>
      </c>
      <c r="H166" s="44"/>
      <c r="I166" s="44">
        <v>184209</v>
      </c>
      <c r="J166" s="44"/>
      <c r="K166" s="44">
        <f>1472986+83383</f>
        <v>1556369</v>
      </c>
      <c r="L166" s="44"/>
      <c r="M166" s="44">
        <v>5699607</v>
      </c>
      <c r="N166" s="44"/>
      <c r="O166" s="44">
        <v>0</v>
      </c>
      <c r="P166" s="44"/>
      <c r="Q166" s="44">
        <v>727026</v>
      </c>
      <c r="R166" s="44"/>
      <c r="S166" s="44">
        <v>119354</v>
      </c>
      <c r="T166" s="44"/>
      <c r="U166" s="44">
        <v>87473</v>
      </c>
      <c r="V166" s="44"/>
      <c r="W166" s="44">
        <v>0</v>
      </c>
      <c r="X166" s="44"/>
      <c r="Y166" s="44">
        <v>0</v>
      </c>
      <c r="Z166" s="44"/>
      <c r="AA166" s="44">
        <f t="shared" si="7"/>
        <v>8189829</v>
      </c>
      <c r="AB166" s="44"/>
      <c r="AC166" s="44">
        <f t="shared" si="8"/>
        <v>10067148</v>
      </c>
    </row>
    <row r="167" spans="1:30" s="47" customFormat="1" ht="12.75" customHeight="1">
      <c r="A167" s="47" t="s">
        <v>195</v>
      </c>
      <c r="C167" s="47" t="s">
        <v>17</v>
      </c>
      <c r="E167" s="44">
        <v>1524964</v>
      </c>
      <c r="F167" s="44"/>
      <c r="G167" s="44">
        <v>236823</v>
      </c>
      <c r="H167" s="44"/>
      <c r="I167" s="44">
        <v>295174</v>
      </c>
      <c r="J167" s="44"/>
      <c r="K167" s="44">
        <v>757501</v>
      </c>
      <c r="L167" s="44"/>
      <c r="M167" s="44">
        <v>5268838</v>
      </c>
      <c r="N167" s="44"/>
      <c r="O167" s="44">
        <v>0</v>
      </c>
      <c r="P167" s="44"/>
      <c r="Q167" s="44">
        <v>1771625</v>
      </c>
      <c r="R167" s="44"/>
      <c r="S167" s="44">
        <v>284574</v>
      </c>
      <c r="T167" s="44"/>
      <c r="U167" s="44">
        <v>877528</v>
      </c>
      <c r="V167" s="44"/>
      <c r="W167" s="44">
        <v>249290</v>
      </c>
      <c r="X167" s="44"/>
      <c r="Y167" s="44">
        <v>0</v>
      </c>
      <c r="Z167" s="44"/>
      <c r="AA167" s="44">
        <f t="shared" si="7"/>
        <v>9209356</v>
      </c>
      <c r="AB167" s="44"/>
      <c r="AC167" s="44">
        <f t="shared" si="8"/>
        <v>11266317</v>
      </c>
    </row>
    <row r="168" spans="1:30" s="47" customFormat="1" ht="12.75" customHeight="1">
      <c r="A168" s="44" t="s">
        <v>196</v>
      </c>
      <c r="C168" s="44" t="s">
        <v>27</v>
      </c>
      <c r="D168" s="44"/>
      <c r="E168" s="44">
        <v>689966</v>
      </c>
      <c r="F168" s="44"/>
      <c r="G168" s="44">
        <v>421705</v>
      </c>
      <c r="H168" s="44"/>
      <c r="I168" s="44">
        <v>5982348</v>
      </c>
      <c r="J168" s="44"/>
      <c r="K168" s="44">
        <f>438117+1034816+287220</f>
        <v>1760153</v>
      </c>
      <c r="L168" s="44"/>
      <c r="M168" s="44">
        <f>2394261+312471</f>
        <v>2706732</v>
      </c>
      <c r="N168" s="44"/>
      <c r="O168" s="44">
        <v>0</v>
      </c>
      <c r="P168" s="44"/>
      <c r="Q168" s="44">
        <v>701552</v>
      </c>
      <c r="R168" s="44"/>
      <c r="S168" s="44">
        <v>4936</v>
      </c>
      <c r="T168" s="44"/>
      <c r="U168" s="44">
        <v>63267</v>
      </c>
      <c r="V168" s="44"/>
      <c r="W168" s="44">
        <v>0</v>
      </c>
      <c r="X168" s="44"/>
      <c r="Y168" s="44">
        <v>0</v>
      </c>
      <c r="Z168" s="44"/>
      <c r="AA168" s="44">
        <f t="shared" si="7"/>
        <v>5236640</v>
      </c>
      <c r="AB168" s="44"/>
      <c r="AC168" s="44">
        <f t="shared" si="8"/>
        <v>12330659</v>
      </c>
    </row>
    <row r="169" spans="1:30" s="47" customFormat="1" ht="12.75" customHeight="1">
      <c r="A169" s="44" t="s">
        <v>402</v>
      </c>
      <c r="C169" s="44" t="s">
        <v>153</v>
      </c>
      <c r="D169" s="44"/>
      <c r="E169" s="44">
        <v>696111</v>
      </c>
      <c r="F169" s="44"/>
      <c r="G169" s="44">
        <v>449195</v>
      </c>
      <c r="H169" s="44"/>
      <c r="I169" s="44">
        <v>17729</v>
      </c>
      <c r="J169" s="44"/>
      <c r="K169" s="44">
        <f>471162+62817</f>
        <v>533979</v>
      </c>
      <c r="L169" s="44"/>
      <c r="M169" s="44">
        <f>2933298+554096+277048</f>
        <v>3764442</v>
      </c>
      <c r="N169" s="44"/>
      <c r="O169" s="44">
        <v>196011</v>
      </c>
      <c r="P169" s="44"/>
      <c r="Q169" s="44">
        <v>427412</v>
      </c>
      <c r="R169" s="44"/>
      <c r="S169" s="44">
        <v>146490</v>
      </c>
      <c r="T169" s="44"/>
      <c r="U169" s="44">
        <f>-18181+89725</f>
        <v>71544</v>
      </c>
      <c r="V169" s="44"/>
      <c r="W169" s="44">
        <v>-232347</v>
      </c>
      <c r="X169" s="44"/>
      <c r="Y169" s="44">
        <v>0</v>
      </c>
      <c r="Z169" s="44"/>
      <c r="AA169" s="44">
        <f t="shared" si="7"/>
        <v>4907531</v>
      </c>
      <c r="AB169" s="44"/>
      <c r="AC169" s="44">
        <f t="shared" si="8"/>
        <v>6070566</v>
      </c>
    </row>
    <row r="170" spans="1:30" s="47" customFormat="1" ht="12.75" customHeight="1">
      <c r="A170" s="47" t="s">
        <v>197</v>
      </c>
      <c r="C170" s="47" t="s">
        <v>163</v>
      </c>
      <c r="E170" s="44">
        <v>2557626</v>
      </c>
      <c r="F170" s="44"/>
      <c r="G170" s="44">
        <v>1314929</v>
      </c>
      <c r="H170" s="44"/>
      <c r="I170" s="44">
        <v>4331967</v>
      </c>
      <c r="J170" s="44"/>
      <c r="K170" s="44">
        <v>2175261</v>
      </c>
      <c r="L170" s="44"/>
      <c r="M170" s="44">
        <v>15583982</v>
      </c>
      <c r="N170" s="44"/>
      <c r="O170" s="44">
        <v>0</v>
      </c>
      <c r="P170" s="44"/>
      <c r="Q170" s="44">
        <v>1903204</v>
      </c>
      <c r="R170" s="44"/>
      <c r="S170" s="44">
        <v>700299</v>
      </c>
      <c r="T170" s="44"/>
      <c r="U170" s="44">
        <v>103797</v>
      </c>
      <c r="V170" s="44"/>
      <c r="W170" s="44">
        <v>-949813</v>
      </c>
      <c r="X170" s="44"/>
      <c r="Y170" s="44">
        <v>0</v>
      </c>
      <c r="Z170" s="44"/>
      <c r="AA170" s="44">
        <f t="shared" si="7"/>
        <v>19516730</v>
      </c>
      <c r="AB170" s="44"/>
      <c r="AC170" s="44">
        <f t="shared" si="8"/>
        <v>27721252</v>
      </c>
    </row>
    <row r="171" spans="1:30" s="47" customFormat="1" ht="12.75" customHeight="1">
      <c r="A171" s="47" t="s">
        <v>198</v>
      </c>
      <c r="C171" s="47" t="s">
        <v>199</v>
      </c>
      <c r="E171" s="44">
        <v>840783</v>
      </c>
      <c r="F171" s="44"/>
      <c r="G171" s="44">
        <v>499122</v>
      </c>
      <c r="H171" s="44"/>
      <c r="I171" s="44">
        <v>539436</v>
      </c>
      <c r="J171" s="44"/>
      <c r="K171" s="44">
        <v>477264</v>
      </c>
      <c r="L171" s="44"/>
      <c r="M171" s="44">
        <f>3474663+1092418</f>
        <v>4567081</v>
      </c>
      <c r="N171" s="44"/>
      <c r="O171" s="44">
        <v>880337</v>
      </c>
      <c r="P171" s="44"/>
      <c r="Q171" s="44">
        <v>722404</v>
      </c>
      <c r="R171" s="44"/>
      <c r="S171" s="44">
        <v>49763</v>
      </c>
      <c r="T171" s="44"/>
      <c r="U171" s="44">
        <v>74112</v>
      </c>
      <c r="V171" s="44"/>
      <c r="W171" s="44">
        <v>-880337</v>
      </c>
      <c r="X171" s="44"/>
      <c r="Y171" s="44">
        <v>0</v>
      </c>
      <c r="Z171" s="44"/>
      <c r="AA171" s="44">
        <f t="shared" si="7"/>
        <v>5890624</v>
      </c>
      <c r="AB171" s="44"/>
      <c r="AC171" s="44">
        <f t="shared" si="8"/>
        <v>7769965</v>
      </c>
    </row>
    <row r="172" spans="1:30" s="47" customFormat="1" ht="12.75" customHeight="1">
      <c r="A172" s="47" t="s">
        <v>200</v>
      </c>
      <c r="C172" s="47" t="s">
        <v>103</v>
      </c>
      <c r="E172" s="44">
        <v>2375911</v>
      </c>
      <c r="F172" s="44"/>
      <c r="G172" s="44">
        <v>442562</v>
      </c>
      <c r="H172" s="44"/>
      <c r="I172" s="44">
        <v>673231</v>
      </c>
      <c r="J172" s="44"/>
      <c r="K172" s="44">
        <v>1131365</v>
      </c>
      <c r="L172" s="44"/>
      <c r="M172" s="44">
        <v>6606050</v>
      </c>
      <c r="N172" s="44"/>
      <c r="O172" s="44">
        <v>0</v>
      </c>
      <c r="P172" s="44"/>
      <c r="Q172" s="44">
        <v>1162441</v>
      </c>
      <c r="R172" s="44"/>
      <c r="S172" s="44">
        <v>125014</v>
      </c>
      <c r="T172" s="44"/>
      <c r="U172" s="44">
        <v>824633</v>
      </c>
      <c r="V172" s="44"/>
      <c r="W172" s="44">
        <v>-20000</v>
      </c>
      <c r="X172" s="44"/>
      <c r="Y172" s="44">
        <v>0</v>
      </c>
      <c r="Z172" s="44"/>
      <c r="AA172" s="44">
        <f t="shared" si="7"/>
        <v>9829503</v>
      </c>
      <c r="AB172" s="44"/>
      <c r="AC172" s="44">
        <f t="shared" si="8"/>
        <v>13321207</v>
      </c>
    </row>
    <row r="173" spans="1:30" s="47" customFormat="1" ht="12.75" customHeight="1">
      <c r="A173" s="47" t="s">
        <v>201</v>
      </c>
      <c r="C173" s="47" t="s">
        <v>92</v>
      </c>
      <c r="E173" s="44">
        <v>2874400</v>
      </c>
      <c r="F173" s="44"/>
      <c r="G173" s="44">
        <v>863877</v>
      </c>
      <c r="H173" s="44"/>
      <c r="I173" s="44">
        <v>432405</v>
      </c>
      <c r="J173" s="44"/>
      <c r="K173" s="44">
        <v>1168067</v>
      </c>
      <c r="L173" s="44"/>
      <c r="M173" s="44">
        <v>7157251</v>
      </c>
      <c r="N173" s="44"/>
      <c r="O173" s="44">
        <v>13305</v>
      </c>
      <c r="P173" s="44"/>
      <c r="Q173" s="44">
        <v>1605729</v>
      </c>
      <c r="R173" s="44"/>
      <c r="S173" s="44">
        <v>451850</v>
      </c>
      <c r="T173" s="44"/>
      <c r="U173" s="44">
        <v>419245</v>
      </c>
      <c r="V173" s="44"/>
      <c r="W173" s="44">
        <v>1078891</v>
      </c>
      <c r="X173" s="44"/>
      <c r="Y173" s="44">
        <v>0</v>
      </c>
      <c r="Z173" s="44"/>
      <c r="AA173" s="44">
        <f t="shared" si="7"/>
        <v>11894338</v>
      </c>
      <c r="AB173" s="44"/>
      <c r="AC173" s="44">
        <f t="shared" si="8"/>
        <v>16065020</v>
      </c>
    </row>
    <row r="174" spans="1:30" s="47" customFormat="1" ht="12.75" customHeight="1">
      <c r="A174" s="47" t="s">
        <v>202</v>
      </c>
      <c r="C174" s="47" t="s">
        <v>27</v>
      </c>
      <c r="E174" s="44">
        <v>10476113</v>
      </c>
      <c r="F174" s="44"/>
      <c r="G174" s="44">
        <v>23729491</v>
      </c>
      <c r="H174" s="44"/>
      <c r="I174" s="44">
        <v>0</v>
      </c>
      <c r="J174" s="44"/>
      <c r="K174" s="44">
        <f>3742766+4894150+270322</f>
        <v>8907238</v>
      </c>
      <c r="L174" s="44"/>
      <c r="M174" s="44">
        <f>27144918+7324475</f>
        <v>34469393</v>
      </c>
      <c r="N174" s="44"/>
      <c r="O174" s="44">
        <v>0</v>
      </c>
      <c r="P174" s="44"/>
      <c r="Q174" s="44">
        <v>7119285</v>
      </c>
      <c r="R174" s="44"/>
      <c r="S174" s="44">
        <v>41756</v>
      </c>
      <c r="T174" s="44"/>
      <c r="U174" s="44">
        <v>0</v>
      </c>
      <c r="V174" s="44"/>
      <c r="W174" s="44">
        <v>0</v>
      </c>
      <c r="X174" s="44"/>
      <c r="Y174" s="44">
        <v>0</v>
      </c>
      <c r="Z174" s="44"/>
      <c r="AA174" s="44">
        <f t="shared" si="7"/>
        <v>50537672</v>
      </c>
      <c r="AB174" s="44"/>
      <c r="AC174" s="44">
        <f t="shared" si="8"/>
        <v>84743276</v>
      </c>
    </row>
    <row r="175" spans="1:30" s="47" customFormat="1" ht="12.75" customHeight="1">
      <c r="A175" s="47" t="s">
        <v>203</v>
      </c>
      <c r="C175" s="47" t="s">
        <v>27</v>
      </c>
      <c r="E175" s="44">
        <v>2122624</v>
      </c>
      <c r="F175" s="44"/>
      <c r="G175" s="44">
        <v>193546</v>
      </c>
      <c r="H175" s="44"/>
      <c r="I175" s="44">
        <v>5040736</v>
      </c>
      <c r="J175" s="44"/>
      <c r="K175" s="44">
        <f>2499562+345968+604812+152047</f>
        <v>3602389</v>
      </c>
      <c r="L175" s="44"/>
      <c r="M175" s="44">
        <v>7573534</v>
      </c>
      <c r="N175" s="44"/>
      <c r="O175" s="44">
        <v>0</v>
      </c>
      <c r="P175" s="44"/>
      <c r="Q175" s="44">
        <v>2326957</v>
      </c>
      <c r="R175" s="44"/>
      <c r="S175" s="44">
        <v>40817</v>
      </c>
      <c r="T175" s="44"/>
      <c r="U175" s="44">
        <v>558195</v>
      </c>
      <c r="V175" s="44"/>
      <c r="W175" s="44">
        <v>0</v>
      </c>
      <c r="X175" s="44"/>
      <c r="Y175" s="44">
        <v>0</v>
      </c>
      <c r="Z175" s="44"/>
      <c r="AA175" s="44">
        <f t="shared" si="7"/>
        <v>14101892</v>
      </c>
      <c r="AB175" s="44"/>
      <c r="AC175" s="44">
        <f t="shared" si="8"/>
        <v>21458798</v>
      </c>
    </row>
    <row r="176" spans="1:30" s="47" customFormat="1" ht="12.75" customHeight="1">
      <c r="A176" s="47" t="s">
        <v>204</v>
      </c>
      <c r="C176" s="47" t="s">
        <v>125</v>
      </c>
      <c r="E176" s="44">
        <v>547162</v>
      </c>
      <c r="F176" s="44"/>
      <c r="G176" s="44">
        <v>1103619</v>
      </c>
      <c r="H176" s="44"/>
      <c r="I176" s="44">
        <v>1031411</v>
      </c>
      <c r="J176" s="44"/>
      <c r="K176" s="44">
        <f>1063530+1259991</f>
        <v>2323521</v>
      </c>
      <c r="L176" s="44"/>
      <c r="M176" s="44">
        <f>272986+818953</f>
        <v>1091939</v>
      </c>
      <c r="N176" s="44"/>
      <c r="O176" s="44">
        <v>424161</v>
      </c>
      <c r="P176" s="44"/>
      <c r="Q176" s="44">
        <v>331221</v>
      </c>
      <c r="R176" s="44"/>
      <c r="S176" s="44">
        <v>4223</v>
      </c>
      <c r="T176" s="44"/>
      <c r="U176" s="44">
        <v>32346</v>
      </c>
      <c r="V176" s="44"/>
      <c r="W176" s="44">
        <v>0</v>
      </c>
      <c r="X176" s="44"/>
      <c r="Y176" s="44">
        <v>0</v>
      </c>
      <c r="Z176" s="44"/>
      <c r="AA176" s="44">
        <f t="shared" si="7"/>
        <v>4207411</v>
      </c>
      <c r="AB176" s="44"/>
      <c r="AC176" s="44">
        <f t="shared" si="8"/>
        <v>6889603</v>
      </c>
    </row>
    <row r="177" spans="1:29" s="122" customFormat="1" ht="12.75" hidden="1" customHeight="1">
      <c r="A177" s="122" t="s">
        <v>205</v>
      </c>
      <c r="C177" s="122" t="s">
        <v>27</v>
      </c>
      <c r="E177" s="121">
        <v>0</v>
      </c>
      <c r="F177" s="121"/>
      <c r="G177" s="121">
        <v>0</v>
      </c>
      <c r="H177" s="121"/>
      <c r="I177" s="121">
        <v>0</v>
      </c>
      <c r="J177" s="121"/>
      <c r="K177" s="121">
        <v>0</v>
      </c>
      <c r="L177" s="121"/>
      <c r="M177" s="121">
        <v>0</v>
      </c>
      <c r="N177" s="121"/>
      <c r="O177" s="121">
        <v>0</v>
      </c>
      <c r="P177" s="121"/>
      <c r="Q177" s="121">
        <v>0</v>
      </c>
      <c r="R177" s="121"/>
      <c r="S177" s="121">
        <v>0</v>
      </c>
      <c r="T177" s="121"/>
      <c r="U177" s="121">
        <v>0</v>
      </c>
      <c r="V177" s="121"/>
      <c r="W177" s="121">
        <v>0</v>
      </c>
      <c r="X177" s="121"/>
      <c r="Y177" s="121">
        <v>0</v>
      </c>
      <c r="Z177" s="121"/>
      <c r="AA177" s="121">
        <f t="shared" si="7"/>
        <v>0</v>
      </c>
      <c r="AB177" s="121"/>
      <c r="AC177" s="121">
        <f t="shared" si="8"/>
        <v>0</v>
      </c>
    </row>
    <row r="178" spans="1:29" s="47" customFormat="1" ht="12.75" customHeight="1">
      <c r="A178" s="47" t="s">
        <v>206</v>
      </c>
      <c r="C178" s="47" t="s">
        <v>47</v>
      </c>
      <c r="E178" s="44">
        <v>1864350</v>
      </c>
      <c r="F178" s="44"/>
      <c r="G178" s="44">
        <v>1379622</v>
      </c>
      <c r="H178" s="44"/>
      <c r="I178" s="44">
        <v>1355268</v>
      </c>
      <c r="J178" s="44"/>
      <c r="K178" s="44">
        <v>3124171</v>
      </c>
      <c r="L178" s="44"/>
      <c r="M178" s="44">
        <v>13465288</v>
      </c>
      <c r="N178" s="44"/>
      <c r="O178" s="44">
        <v>0</v>
      </c>
      <c r="P178" s="44"/>
      <c r="Q178" s="44">
        <v>1909481</v>
      </c>
      <c r="R178" s="44"/>
      <c r="S178" s="44">
        <v>93435</v>
      </c>
      <c r="T178" s="44"/>
      <c r="U178" s="44">
        <v>320369</v>
      </c>
      <c r="V178" s="44"/>
      <c r="W178" s="44">
        <v>-184867</v>
      </c>
      <c r="X178" s="44"/>
      <c r="Y178" s="44">
        <v>0</v>
      </c>
      <c r="Z178" s="44"/>
      <c r="AA178" s="44">
        <f t="shared" si="7"/>
        <v>18727877</v>
      </c>
      <c r="AB178" s="44"/>
      <c r="AC178" s="44">
        <f t="shared" si="8"/>
        <v>23327117</v>
      </c>
    </row>
    <row r="179" spans="1:29" s="47" customFormat="1" ht="12.75" customHeight="1">
      <c r="A179" s="47" t="s">
        <v>207</v>
      </c>
      <c r="C179" s="47" t="s">
        <v>102</v>
      </c>
      <c r="E179" s="44">
        <v>1334064</v>
      </c>
      <c r="F179" s="44"/>
      <c r="G179" s="44">
        <v>969941</v>
      </c>
      <c r="H179" s="44"/>
      <c r="I179" s="44">
        <v>1351949</v>
      </c>
      <c r="J179" s="44"/>
      <c r="K179" s="44">
        <f>984192+1453677</f>
        <v>2437869</v>
      </c>
      <c r="L179" s="44"/>
      <c r="M179" s="44">
        <v>4643326</v>
      </c>
      <c r="N179" s="44"/>
      <c r="O179" s="44">
        <f>245377+738217</f>
        <v>983594</v>
      </c>
      <c r="P179" s="44"/>
      <c r="Q179" s="44">
        <v>496743</v>
      </c>
      <c r="R179" s="44"/>
      <c r="S179" s="44">
        <v>92724</v>
      </c>
      <c r="T179" s="44"/>
      <c r="U179" s="44">
        <f>264926+244404</f>
        <v>509330</v>
      </c>
      <c r="V179" s="44"/>
      <c r="W179" s="44">
        <v>-2894017</v>
      </c>
      <c r="X179" s="44"/>
      <c r="Y179" s="44">
        <v>0</v>
      </c>
      <c r="Z179" s="44"/>
      <c r="AA179" s="44">
        <f t="shared" si="7"/>
        <v>6269569</v>
      </c>
      <c r="AB179" s="44"/>
      <c r="AC179" s="44">
        <f t="shared" si="8"/>
        <v>9925523</v>
      </c>
    </row>
    <row r="180" spans="1:29" s="47" customFormat="1" ht="12.75" customHeight="1">
      <c r="A180" s="47" t="s">
        <v>208</v>
      </c>
      <c r="C180" s="47" t="s">
        <v>209</v>
      </c>
      <c r="E180" s="44">
        <v>1548134</v>
      </c>
      <c r="F180" s="44"/>
      <c r="G180" s="44">
        <v>1414559</v>
      </c>
      <c r="H180" s="44"/>
      <c r="I180" s="44">
        <v>392849</v>
      </c>
      <c r="J180" s="44"/>
      <c r="K180" s="44">
        <v>1402952</v>
      </c>
      <c r="L180" s="44"/>
      <c r="M180" s="44">
        <v>7256729</v>
      </c>
      <c r="N180" s="44"/>
      <c r="O180" s="44">
        <v>1173438</v>
      </c>
      <c r="P180" s="44"/>
      <c r="Q180" s="44">
        <v>2992428</v>
      </c>
      <c r="R180" s="44"/>
      <c r="S180" s="44">
        <v>159445</v>
      </c>
      <c r="T180" s="44"/>
      <c r="U180" s="44">
        <v>56482</v>
      </c>
      <c r="V180" s="44"/>
      <c r="W180" s="44">
        <v>-309093</v>
      </c>
      <c r="X180" s="44"/>
      <c r="Y180" s="44">
        <v>0</v>
      </c>
      <c r="Z180" s="44"/>
      <c r="AA180" s="44">
        <f t="shared" si="7"/>
        <v>12732381</v>
      </c>
      <c r="AB180" s="44"/>
      <c r="AC180" s="44">
        <f t="shared" si="8"/>
        <v>16087923</v>
      </c>
    </row>
    <row r="181" spans="1:29" s="47" customFormat="1" ht="12.75" customHeight="1">
      <c r="A181" s="47" t="s">
        <v>210</v>
      </c>
      <c r="C181" s="47" t="s">
        <v>211</v>
      </c>
      <c r="E181" s="44">
        <v>501210</v>
      </c>
      <c r="F181" s="44"/>
      <c r="G181" s="44">
        <v>1071379</v>
      </c>
      <c r="H181" s="44"/>
      <c r="I181" s="44">
        <v>190239</v>
      </c>
      <c r="J181" s="44"/>
      <c r="K181" s="44">
        <f>570132+229425</f>
        <v>799557</v>
      </c>
      <c r="L181" s="44"/>
      <c r="M181" s="44">
        <v>2083235</v>
      </c>
      <c r="N181" s="44"/>
      <c r="O181" s="44">
        <f>156798+32890+50817</f>
        <v>240505</v>
      </c>
      <c r="P181" s="44"/>
      <c r="Q181" s="44">
        <v>564796</v>
      </c>
      <c r="R181" s="44"/>
      <c r="S181" s="44">
        <v>27780</v>
      </c>
      <c r="T181" s="44"/>
      <c r="U181" s="44">
        <v>40108</v>
      </c>
      <c r="V181" s="44"/>
      <c r="W181" s="44">
        <v>19196</v>
      </c>
      <c r="X181" s="44"/>
      <c r="Y181" s="44">
        <v>0</v>
      </c>
      <c r="Z181" s="44"/>
      <c r="AA181" s="44">
        <f t="shared" si="7"/>
        <v>3775177</v>
      </c>
      <c r="AB181" s="44"/>
      <c r="AC181" s="44">
        <f t="shared" si="8"/>
        <v>5538005</v>
      </c>
    </row>
    <row r="182" spans="1:29" s="47" customFormat="1" ht="12.75" customHeight="1">
      <c r="A182" s="47" t="s">
        <v>212</v>
      </c>
      <c r="C182" s="47" t="s">
        <v>213</v>
      </c>
      <c r="E182" s="44">
        <v>1810053</v>
      </c>
      <c r="F182" s="44"/>
      <c r="G182" s="44">
        <v>4186589</v>
      </c>
      <c r="H182" s="44"/>
      <c r="I182" s="44">
        <v>0</v>
      </c>
      <c r="J182" s="44"/>
      <c r="K182" s="44">
        <f>1735968+331289+638636</f>
        <v>2705893</v>
      </c>
      <c r="L182" s="44"/>
      <c r="M182" s="44">
        <v>6705817</v>
      </c>
      <c r="N182" s="44"/>
      <c r="O182" s="44">
        <v>279059</v>
      </c>
      <c r="P182" s="44"/>
      <c r="Q182" s="44">
        <v>1507566</v>
      </c>
      <c r="R182" s="44"/>
      <c r="S182" s="44">
        <v>686</v>
      </c>
      <c r="T182" s="44"/>
      <c r="U182" s="44">
        <v>274706</v>
      </c>
      <c r="V182" s="44"/>
      <c r="W182" s="44">
        <v>-817976</v>
      </c>
      <c r="X182" s="44"/>
      <c r="Y182" s="44">
        <v>0</v>
      </c>
      <c r="Z182" s="44"/>
      <c r="AA182" s="44">
        <f t="shared" si="7"/>
        <v>10655751</v>
      </c>
      <c r="AB182" s="44"/>
      <c r="AC182" s="44">
        <f t="shared" si="8"/>
        <v>16652393</v>
      </c>
    </row>
    <row r="183" spans="1:29" s="47" customFormat="1" ht="12.75" customHeight="1">
      <c r="A183" s="47" t="s">
        <v>214</v>
      </c>
      <c r="C183" s="47" t="s">
        <v>86</v>
      </c>
      <c r="E183" s="44">
        <v>1720876</v>
      </c>
      <c r="F183" s="44"/>
      <c r="G183" s="44">
        <v>564181</v>
      </c>
      <c r="H183" s="44"/>
      <c r="I183" s="44">
        <v>181434</v>
      </c>
      <c r="J183" s="44"/>
      <c r="K183" s="44">
        <v>1888454</v>
      </c>
      <c r="L183" s="44"/>
      <c r="M183" s="44">
        <v>3313296</v>
      </c>
      <c r="N183" s="44"/>
      <c r="O183" s="44">
        <v>545873</v>
      </c>
      <c r="P183" s="44"/>
      <c r="Q183" s="44">
        <v>533849</v>
      </c>
      <c r="R183" s="44"/>
      <c r="S183" s="44">
        <v>59413</v>
      </c>
      <c r="T183" s="44"/>
      <c r="U183" s="44">
        <v>336594</v>
      </c>
      <c r="V183" s="44"/>
      <c r="W183" s="44">
        <v>0</v>
      </c>
      <c r="X183" s="44"/>
      <c r="Y183" s="44">
        <v>0</v>
      </c>
      <c r="Z183" s="44"/>
      <c r="AA183" s="44">
        <f t="shared" si="7"/>
        <v>6677479</v>
      </c>
      <c r="AB183" s="44"/>
      <c r="AC183" s="44">
        <f t="shared" si="8"/>
        <v>9143970</v>
      </c>
    </row>
    <row r="184" spans="1:29" s="47" customFormat="1" ht="12.75" customHeight="1">
      <c r="A184" s="47" t="s">
        <v>215</v>
      </c>
      <c r="C184" s="47" t="s">
        <v>22</v>
      </c>
      <c r="E184" s="44">
        <v>1682797</v>
      </c>
      <c r="F184" s="44"/>
      <c r="G184" s="44">
        <v>1168582</v>
      </c>
      <c r="H184" s="44"/>
      <c r="I184" s="44">
        <v>430557</v>
      </c>
      <c r="J184" s="44"/>
      <c r="K184" s="44">
        <v>622372</v>
      </c>
      <c r="L184" s="44"/>
      <c r="M184" s="44">
        <f>4478339+536906+365242+292194+731946</f>
        <v>6404627</v>
      </c>
      <c r="N184" s="44"/>
      <c r="O184" s="44">
        <v>0</v>
      </c>
      <c r="P184" s="44"/>
      <c r="Q184" s="44">
        <v>1315129</v>
      </c>
      <c r="R184" s="44"/>
      <c r="S184" s="44">
        <v>115287</v>
      </c>
      <c r="T184" s="44"/>
      <c r="U184" s="44">
        <f>11000+12158+74792</f>
        <v>97950</v>
      </c>
      <c r="V184" s="44"/>
      <c r="W184" s="44">
        <v>-406441</v>
      </c>
      <c r="X184" s="44"/>
      <c r="Y184" s="44">
        <v>0</v>
      </c>
      <c r="Z184" s="44"/>
      <c r="AA184" s="44">
        <f t="shared" si="7"/>
        <v>8148924</v>
      </c>
      <c r="AB184" s="44"/>
      <c r="AC184" s="44">
        <f t="shared" si="8"/>
        <v>11430860</v>
      </c>
    </row>
    <row r="185" spans="1:29" s="47" customFormat="1" ht="12.75" customHeight="1">
      <c r="A185" s="47" t="s">
        <v>216</v>
      </c>
      <c r="C185" s="47" t="s">
        <v>45</v>
      </c>
      <c r="E185" s="44">
        <v>1439903</v>
      </c>
      <c r="F185" s="44"/>
      <c r="G185" s="44">
        <v>1605213</v>
      </c>
      <c r="H185" s="44"/>
      <c r="I185" s="44">
        <v>56500</v>
      </c>
      <c r="J185" s="44"/>
      <c r="K185" s="44">
        <f>447069+393377</f>
        <v>840446</v>
      </c>
      <c r="L185" s="44"/>
      <c r="M185" s="44">
        <v>5786374</v>
      </c>
      <c r="N185" s="44"/>
      <c r="O185" s="44">
        <v>0</v>
      </c>
      <c r="P185" s="44"/>
      <c r="Q185" s="44">
        <v>571845</v>
      </c>
      <c r="R185" s="44"/>
      <c r="S185" s="44">
        <v>7340</v>
      </c>
      <c r="T185" s="44"/>
      <c r="U185" s="44">
        <f>50+138728</f>
        <v>138778</v>
      </c>
      <c r="V185" s="44"/>
      <c r="W185" s="44">
        <v>0</v>
      </c>
      <c r="X185" s="44"/>
      <c r="Y185" s="44">
        <v>0</v>
      </c>
      <c r="Z185" s="44"/>
      <c r="AA185" s="44">
        <f t="shared" si="7"/>
        <v>7344783</v>
      </c>
      <c r="AB185" s="44"/>
      <c r="AC185" s="44">
        <f t="shared" si="8"/>
        <v>10446399</v>
      </c>
    </row>
    <row r="186" spans="1:29" s="47" customFormat="1" ht="12.75" customHeight="1">
      <c r="A186" s="47" t="s">
        <v>217</v>
      </c>
      <c r="C186" s="47" t="s">
        <v>43</v>
      </c>
      <c r="E186" s="44">
        <v>1297259</v>
      </c>
      <c r="F186" s="44"/>
      <c r="G186" s="44">
        <v>1831555</v>
      </c>
      <c r="H186" s="44"/>
      <c r="I186" s="44">
        <v>1755091</v>
      </c>
      <c r="J186" s="44"/>
      <c r="K186" s="44">
        <f>293689+202616+1818217</f>
        <v>2314522</v>
      </c>
      <c r="L186" s="44"/>
      <c r="M186" s="44">
        <v>9577833</v>
      </c>
      <c r="N186" s="44"/>
      <c r="O186" s="44">
        <v>424645</v>
      </c>
      <c r="P186" s="44"/>
      <c r="Q186" s="44">
        <v>1805443</v>
      </c>
      <c r="R186" s="44"/>
      <c r="S186" s="44">
        <v>197157</v>
      </c>
      <c r="T186" s="44"/>
      <c r="U186" s="44">
        <v>295126</v>
      </c>
      <c r="V186" s="44"/>
      <c r="W186" s="44">
        <v>0</v>
      </c>
      <c r="X186" s="44"/>
      <c r="Y186" s="44">
        <v>0</v>
      </c>
      <c r="Z186" s="44"/>
      <c r="AA186" s="44">
        <f t="shared" si="7"/>
        <v>14614726</v>
      </c>
      <c r="AB186" s="44"/>
      <c r="AC186" s="44">
        <f t="shared" si="8"/>
        <v>19498631</v>
      </c>
    </row>
    <row r="187" spans="1:29" s="122" customFormat="1" ht="12.75" hidden="1" customHeight="1">
      <c r="A187" s="122" t="s">
        <v>218</v>
      </c>
      <c r="C187" s="122" t="s">
        <v>27</v>
      </c>
      <c r="E187" s="121">
        <v>0</v>
      </c>
      <c r="F187" s="121"/>
      <c r="G187" s="121">
        <v>0</v>
      </c>
      <c r="H187" s="121"/>
      <c r="I187" s="121">
        <v>0</v>
      </c>
      <c r="J187" s="121"/>
      <c r="K187" s="121">
        <v>0</v>
      </c>
      <c r="L187" s="121"/>
      <c r="M187" s="121">
        <v>0</v>
      </c>
      <c r="N187" s="121"/>
      <c r="O187" s="121">
        <v>0</v>
      </c>
      <c r="P187" s="121"/>
      <c r="Q187" s="121">
        <v>0</v>
      </c>
      <c r="R187" s="121"/>
      <c r="S187" s="121">
        <v>0</v>
      </c>
      <c r="T187" s="121"/>
      <c r="U187" s="121">
        <v>0</v>
      </c>
      <c r="V187" s="121"/>
      <c r="W187" s="121">
        <v>0</v>
      </c>
      <c r="X187" s="121"/>
      <c r="Y187" s="121">
        <v>0</v>
      </c>
      <c r="Z187" s="121"/>
      <c r="AA187" s="121">
        <f t="shared" si="7"/>
        <v>0</v>
      </c>
      <c r="AB187" s="121"/>
      <c r="AC187" s="121">
        <f t="shared" si="8"/>
        <v>0</v>
      </c>
    </row>
    <row r="188" spans="1:29" s="47" customFormat="1" ht="12.75" customHeight="1">
      <c r="A188" s="47" t="s">
        <v>219</v>
      </c>
      <c r="C188" s="47" t="s">
        <v>199</v>
      </c>
      <c r="E188" s="44">
        <v>1207956</v>
      </c>
      <c r="F188" s="44"/>
      <c r="G188" s="44">
        <v>473450</v>
      </c>
      <c r="H188" s="44"/>
      <c r="I188" s="44">
        <v>104481</v>
      </c>
      <c r="J188" s="44"/>
      <c r="K188" s="44">
        <f>344960+238212</f>
        <v>583172</v>
      </c>
      <c r="L188" s="44"/>
      <c r="M188" s="44">
        <f>722650+361325</f>
        <v>1083975</v>
      </c>
      <c r="N188" s="44"/>
      <c r="O188" s="44">
        <v>0</v>
      </c>
      <c r="P188" s="44"/>
      <c r="Q188" s="44">
        <v>645568</v>
      </c>
      <c r="R188" s="44"/>
      <c r="S188" s="44">
        <v>46367</v>
      </c>
      <c r="T188" s="44"/>
      <c r="U188" s="44">
        <v>30518</v>
      </c>
      <c r="V188" s="44"/>
      <c r="W188" s="44">
        <v>0</v>
      </c>
      <c r="X188" s="44"/>
      <c r="Y188" s="44">
        <v>0</v>
      </c>
      <c r="Z188" s="44"/>
      <c r="AA188" s="44">
        <f t="shared" si="7"/>
        <v>2389600</v>
      </c>
      <c r="AB188" s="44"/>
      <c r="AC188" s="44">
        <f t="shared" si="8"/>
        <v>4175487</v>
      </c>
    </row>
    <row r="189" spans="1:29" s="47" customFormat="1" ht="12.75" customHeight="1">
      <c r="A189" s="47" t="s">
        <v>220</v>
      </c>
      <c r="C189" s="47" t="s">
        <v>66</v>
      </c>
      <c r="E189" s="44">
        <v>1997051</v>
      </c>
      <c r="F189" s="44"/>
      <c r="G189" s="44">
        <v>742821</v>
      </c>
      <c r="H189" s="44"/>
      <c r="I189" s="44">
        <v>4215974</v>
      </c>
      <c r="J189" s="44"/>
      <c r="K189" s="44">
        <f>471138+1771043</f>
        <v>2242181</v>
      </c>
      <c r="L189" s="44"/>
      <c r="M189" s="44">
        <v>4112928</v>
      </c>
      <c r="N189" s="44"/>
      <c r="O189" s="44">
        <f>254797+87785</f>
        <v>342582</v>
      </c>
      <c r="P189" s="44"/>
      <c r="Q189" s="44">
        <v>721433</v>
      </c>
      <c r="R189" s="44"/>
      <c r="S189" s="44">
        <v>27924</v>
      </c>
      <c r="T189" s="44"/>
      <c r="U189" s="44">
        <v>192812</v>
      </c>
      <c r="V189" s="44"/>
      <c r="W189" s="44">
        <v>0</v>
      </c>
      <c r="X189" s="44"/>
      <c r="Y189" s="44">
        <v>0</v>
      </c>
      <c r="Z189" s="44"/>
      <c r="AA189" s="44">
        <f t="shared" si="7"/>
        <v>7639860</v>
      </c>
      <c r="AB189" s="44"/>
      <c r="AC189" s="44">
        <f t="shared" si="8"/>
        <v>14595706</v>
      </c>
    </row>
    <row r="190" spans="1:29" s="47" customFormat="1" ht="12.75" customHeight="1">
      <c r="A190" s="47" t="s">
        <v>221</v>
      </c>
      <c r="C190" s="47" t="s">
        <v>27</v>
      </c>
      <c r="E190" s="44">
        <v>7294233</v>
      </c>
      <c r="F190" s="44"/>
      <c r="G190" s="44">
        <v>934386</v>
      </c>
      <c r="H190" s="44"/>
      <c r="I190" s="44">
        <v>1286700</v>
      </c>
      <c r="J190" s="44"/>
      <c r="K190" s="44">
        <f>3872423+307335+307335+614670+184401+184401+614670+599627</f>
        <v>6684862</v>
      </c>
      <c r="L190" s="44"/>
      <c r="M190" s="44">
        <v>7959539</v>
      </c>
      <c r="N190" s="44"/>
      <c r="O190" s="44">
        <f>236114+33855</f>
        <v>269969</v>
      </c>
      <c r="P190" s="44"/>
      <c r="Q190" s="44">
        <v>2477912</v>
      </c>
      <c r="R190" s="44"/>
      <c r="S190" s="44">
        <v>31050</v>
      </c>
      <c r="T190" s="44"/>
      <c r="U190" s="44">
        <v>41522</v>
      </c>
      <c r="V190" s="44"/>
      <c r="W190" s="44">
        <v>106197</v>
      </c>
      <c r="X190" s="44"/>
      <c r="Y190" s="44">
        <v>0</v>
      </c>
      <c r="Z190" s="44"/>
      <c r="AA190" s="44">
        <f t="shared" si="7"/>
        <v>17571051</v>
      </c>
      <c r="AB190" s="44"/>
      <c r="AC190" s="44">
        <f t="shared" si="8"/>
        <v>27086370</v>
      </c>
    </row>
    <row r="191" spans="1:29" s="47" customFormat="1" ht="12.75" customHeight="1">
      <c r="A191" s="47" t="s">
        <v>222</v>
      </c>
      <c r="C191" s="47" t="s">
        <v>47</v>
      </c>
      <c r="E191" s="44">
        <v>838130</v>
      </c>
      <c r="F191" s="44"/>
      <c r="G191" s="44">
        <v>378338</v>
      </c>
      <c r="H191" s="44"/>
      <c r="I191" s="44">
        <v>2000</v>
      </c>
      <c r="J191" s="44"/>
      <c r="K191" s="44">
        <f>651009+80007+206111</f>
        <v>937127</v>
      </c>
      <c r="L191" s="44"/>
      <c r="M191" s="44">
        <v>3427434</v>
      </c>
      <c r="N191" s="44"/>
      <c r="O191" s="44">
        <f>407236+873815</f>
        <v>1281051</v>
      </c>
      <c r="P191" s="44"/>
      <c r="Q191" s="44">
        <v>867975</v>
      </c>
      <c r="R191" s="44"/>
      <c r="S191" s="44">
        <v>16054</v>
      </c>
      <c r="T191" s="44"/>
      <c r="U191" s="44">
        <v>5787</v>
      </c>
      <c r="V191" s="44"/>
      <c r="W191" s="44">
        <v>-350510</v>
      </c>
      <c r="X191" s="44"/>
      <c r="Y191" s="44">
        <v>0</v>
      </c>
      <c r="Z191" s="44"/>
      <c r="AA191" s="44">
        <f t="shared" si="7"/>
        <v>6184918</v>
      </c>
      <c r="AB191" s="44"/>
      <c r="AC191" s="44">
        <f t="shared" si="8"/>
        <v>7403386</v>
      </c>
    </row>
    <row r="192" spans="1:29" s="47" customFormat="1" ht="12.75" customHeight="1">
      <c r="A192" s="47" t="s">
        <v>223</v>
      </c>
      <c r="C192" s="47" t="s">
        <v>94</v>
      </c>
      <c r="E192" s="44">
        <v>231796</v>
      </c>
      <c r="F192" s="44"/>
      <c r="G192" s="44">
        <v>1392013</v>
      </c>
      <c r="H192" s="44"/>
      <c r="I192" s="44">
        <v>242828</v>
      </c>
      <c r="J192" s="44"/>
      <c r="K192" s="44">
        <f>617987+497038+63129</f>
        <v>1178154</v>
      </c>
      <c r="L192" s="44"/>
      <c r="M192" s="44">
        <v>3989074</v>
      </c>
      <c r="N192" s="44"/>
      <c r="O192" s="44">
        <v>58042</v>
      </c>
      <c r="P192" s="44"/>
      <c r="Q192" s="44">
        <v>519430</v>
      </c>
      <c r="R192" s="44"/>
      <c r="S192" s="44">
        <v>244664</v>
      </c>
      <c r="T192" s="44"/>
      <c r="U192" s="44">
        <v>244903</v>
      </c>
      <c r="V192" s="44"/>
      <c r="W192" s="44">
        <v>-40137</v>
      </c>
      <c r="X192" s="44"/>
      <c r="Y192" s="44">
        <v>0</v>
      </c>
      <c r="Z192" s="44"/>
      <c r="AA192" s="44">
        <f t="shared" si="7"/>
        <v>6194130</v>
      </c>
      <c r="AB192" s="44"/>
      <c r="AC192" s="44">
        <f t="shared" si="8"/>
        <v>8060767</v>
      </c>
    </row>
    <row r="193" spans="1:31" s="47" customFormat="1" ht="12.75" customHeight="1">
      <c r="A193" s="47" t="s">
        <v>76</v>
      </c>
      <c r="C193" s="47" t="s">
        <v>132</v>
      </c>
      <c r="E193" s="44">
        <v>3999718</v>
      </c>
      <c r="F193" s="44"/>
      <c r="G193" s="44">
        <v>4514002</v>
      </c>
      <c r="H193" s="44"/>
      <c r="I193" s="44">
        <v>1509594</v>
      </c>
      <c r="J193" s="44"/>
      <c r="K193" s="44">
        <f>1670722+274602+452224</f>
        <v>2397548</v>
      </c>
      <c r="L193" s="44"/>
      <c r="M193" s="44">
        <f>6092961+404895+313797</f>
        <v>6811653</v>
      </c>
      <c r="N193" s="44"/>
      <c r="O193" s="44">
        <f>3823682+321254+546140</f>
        <v>4691076</v>
      </c>
      <c r="P193" s="44"/>
      <c r="Q193" s="44">
        <v>1774328</v>
      </c>
      <c r="R193" s="44"/>
      <c r="S193" s="44">
        <v>241382</v>
      </c>
      <c r="T193" s="44"/>
      <c r="U193" s="44">
        <v>987687</v>
      </c>
      <c r="V193" s="44"/>
      <c r="W193" s="44">
        <v>1097027</v>
      </c>
      <c r="X193" s="44"/>
      <c r="Y193" s="44">
        <v>0</v>
      </c>
      <c r="Z193" s="44"/>
      <c r="AA193" s="44">
        <f t="shared" si="7"/>
        <v>18000701</v>
      </c>
      <c r="AB193" s="44"/>
      <c r="AC193" s="44">
        <f t="shared" si="8"/>
        <v>28024015</v>
      </c>
      <c r="AE193" s="44"/>
    </row>
    <row r="194" spans="1:31" s="47" customFormat="1" ht="12.75" customHeight="1">
      <c r="A194" s="47" t="s">
        <v>224</v>
      </c>
      <c r="C194" s="47" t="s">
        <v>27</v>
      </c>
      <c r="E194" s="44">
        <v>1689438</v>
      </c>
      <c r="F194" s="44"/>
      <c r="G194" s="44">
        <v>755628</v>
      </c>
      <c r="H194" s="44"/>
      <c r="I194" s="44">
        <v>86182</v>
      </c>
      <c r="J194" s="44"/>
      <c r="K194" s="44">
        <f>892642+1244749+431924</f>
        <v>2569315</v>
      </c>
      <c r="L194" s="44"/>
      <c r="M194" s="44">
        <v>4098060</v>
      </c>
      <c r="N194" s="44"/>
      <c r="O194" s="44">
        <v>0</v>
      </c>
      <c r="P194" s="44"/>
      <c r="Q194" s="44">
        <v>1544318</v>
      </c>
      <c r="R194" s="44"/>
      <c r="S194" s="44">
        <f>149015+29743</f>
        <v>178758</v>
      </c>
      <c r="T194" s="44"/>
      <c r="U194" s="44">
        <v>27221</v>
      </c>
      <c r="V194" s="44"/>
      <c r="W194" s="44">
        <v>0</v>
      </c>
      <c r="X194" s="44"/>
      <c r="Y194" s="44">
        <v>0</v>
      </c>
      <c r="Z194" s="44"/>
      <c r="AA194" s="44">
        <f t="shared" si="7"/>
        <v>8417672</v>
      </c>
      <c r="AB194" s="44"/>
      <c r="AC194" s="44">
        <f t="shared" si="8"/>
        <v>10948920</v>
      </c>
    </row>
    <row r="195" spans="1:31" s="47" customFormat="1" ht="12.75" customHeight="1">
      <c r="A195" s="47" t="s">
        <v>225</v>
      </c>
      <c r="C195" s="47" t="s">
        <v>27</v>
      </c>
      <c r="E195" s="44">
        <v>10267001</v>
      </c>
      <c r="F195" s="44"/>
      <c r="G195" s="44">
        <v>4398389</v>
      </c>
      <c r="H195" s="44"/>
      <c r="I195" s="44">
        <v>53673</v>
      </c>
      <c r="J195" s="44"/>
      <c r="K195" s="44">
        <f>6567202+423436</f>
        <v>6990638</v>
      </c>
      <c r="L195" s="44"/>
      <c r="M195" s="44">
        <v>19724993</v>
      </c>
      <c r="N195" s="44"/>
      <c r="O195" s="44">
        <v>52721</v>
      </c>
      <c r="P195" s="44"/>
      <c r="Q195" s="44">
        <v>6721784</v>
      </c>
      <c r="R195" s="44"/>
      <c r="S195" s="44">
        <v>528639</v>
      </c>
      <c r="T195" s="44"/>
      <c r="U195" s="44">
        <v>485557</v>
      </c>
      <c r="V195" s="44"/>
      <c r="W195" s="44">
        <v>0</v>
      </c>
      <c r="X195" s="44"/>
      <c r="Y195" s="44">
        <v>0</v>
      </c>
      <c r="Z195" s="44"/>
      <c r="AA195" s="44">
        <f t="shared" ref="AA195:AA197" si="9">SUM(K195:Y195)</f>
        <v>34504332</v>
      </c>
      <c r="AB195" s="44"/>
      <c r="AC195" s="44">
        <f t="shared" ref="AC195:AC197" si="10">SUM(E195:Y195)</f>
        <v>49223395</v>
      </c>
    </row>
    <row r="196" spans="1:31" s="47" customFormat="1" ht="12.75" customHeight="1">
      <c r="A196" s="47" t="s">
        <v>471</v>
      </c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8" t="s">
        <v>484</v>
      </c>
    </row>
    <row r="197" spans="1:31" s="47" customFormat="1" ht="12.75" customHeight="1">
      <c r="A197" s="47" t="s">
        <v>226</v>
      </c>
      <c r="C197" s="47" t="s">
        <v>45</v>
      </c>
      <c r="E197" s="46">
        <v>1725144</v>
      </c>
      <c r="F197" s="46"/>
      <c r="G197" s="46">
        <v>2277689</v>
      </c>
      <c r="H197" s="46"/>
      <c r="I197" s="46">
        <v>2959518</v>
      </c>
      <c r="J197" s="46"/>
      <c r="K197" s="46">
        <v>0</v>
      </c>
      <c r="L197" s="46"/>
      <c r="M197" s="46">
        <v>18411406</v>
      </c>
      <c r="N197" s="46"/>
      <c r="O197" s="46">
        <v>800688</v>
      </c>
      <c r="P197" s="46"/>
      <c r="Q197" s="46">
        <v>1810874</v>
      </c>
      <c r="R197" s="46"/>
      <c r="S197" s="46">
        <v>21198</v>
      </c>
      <c r="T197" s="46"/>
      <c r="U197" s="46">
        <v>772748</v>
      </c>
      <c r="V197" s="46"/>
      <c r="W197" s="46">
        <v>0</v>
      </c>
      <c r="X197" s="46"/>
      <c r="Y197" s="46">
        <v>0</v>
      </c>
      <c r="Z197" s="46"/>
      <c r="AA197" s="46">
        <f t="shared" si="9"/>
        <v>21816914</v>
      </c>
      <c r="AB197" s="46"/>
      <c r="AC197" s="46">
        <f t="shared" si="10"/>
        <v>28779265</v>
      </c>
    </row>
    <row r="198" spans="1:31" s="46" customFormat="1" ht="12.75" customHeight="1">
      <c r="A198" s="46" t="s">
        <v>227</v>
      </c>
      <c r="C198" s="46" t="s">
        <v>17</v>
      </c>
      <c r="E198" s="44">
        <v>1156507</v>
      </c>
      <c r="F198" s="44"/>
      <c r="G198" s="44">
        <v>0</v>
      </c>
      <c r="H198" s="44"/>
      <c r="I198" s="44">
        <v>220237</v>
      </c>
      <c r="J198" s="44"/>
      <c r="K198" s="44">
        <f>364312+81641+882072</f>
        <v>1328025</v>
      </c>
      <c r="L198" s="44"/>
      <c r="M198" s="44">
        <f>1439868+342485</f>
        <v>1782353</v>
      </c>
      <c r="N198" s="44"/>
      <c r="O198" s="44">
        <v>0</v>
      </c>
      <c r="P198" s="44"/>
      <c r="Q198" s="44">
        <v>1690831</v>
      </c>
      <c r="R198" s="44"/>
      <c r="S198" s="44">
        <v>2825</v>
      </c>
      <c r="T198" s="44"/>
      <c r="U198" s="44">
        <v>563751</v>
      </c>
      <c r="V198" s="44"/>
      <c r="W198" s="44">
        <v>0</v>
      </c>
      <c r="X198" s="44"/>
      <c r="Y198" s="44">
        <v>0</v>
      </c>
      <c r="Z198" s="44"/>
      <c r="AA198" s="44">
        <f t="shared" ref="AA198:AA255" si="11">SUM(K198:Y198)</f>
        <v>5367785</v>
      </c>
      <c r="AB198" s="44"/>
      <c r="AC198" s="44">
        <f t="shared" ref="AC198:AC255" si="12">SUM(E198:Y198)</f>
        <v>6744529</v>
      </c>
    </row>
    <row r="199" spans="1:31" s="47" customFormat="1" ht="12.75" customHeight="1">
      <c r="A199" s="47" t="s">
        <v>228</v>
      </c>
      <c r="C199" s="47" t="s">
        <v>153</v>
      </c>
      <c r="E199" s="44">
        <v>864972</v>
      </c>
      <c r="F199" s="44"/>
      <c r="G199" s="44">
        <v>1459498</v>
      </c>
      <c r="H199" s="44"/>
      <c r="I199" s="44">
        <v>5645</v>
      </c>
      <c r="J199" s="44"/>
      <c r="K199" s="44">
        <f>2145099+677722+631040</f>
        <v>3453861</v>
      </c>
      <c r="L199" s="44"/>
      <c r="M199" s="44">
        <v>46213</v>
      </c>
      <c r="N199" s="44"/>
      <c r="O199" s="44">
        <v>420675</v>
      </c>
      <c r="P199" s="44"/>
      <c r="Q199" s="44">
        <v>645851</v>
      </c>
      <c r="R199" s="44"/>
      <c r="S199" s="44">
        <v>46300</v>
      </c>
      <c r="T199" s="44"/>
      <c r="U199" s="44">
        <v>175078</v>
      </c>
      <c r="V199" s="44"/>
      <c r="W199" s="44">
        <v>0</v>
      </c>
      <c r="X199" s="44"/>
      <c r="Y199" s="44">
        <v>0</v>
      </c>
      <c r="Z199" s="44"/>
      <c r="AA199" s="44">
        <f t="shared" si="11"/>
        <v>4787978</v>
      </c>
      <c r="AB199" s="44"/>
      <c r="AC199" s="44">
        <f t="shared" si="12"/>
        <v>7118093</v>
      </c>
    </row>
    <row r="200" spans="1:31" s="47" customFormat="1" ht="12.75" customHeight="1">
      <c r="A200" s="47" t="s">
        <v>229</v>
      </c>
      <c r="C200" s="47" t="s">
        <v>228</v>
      </c>
      <c r="E200" s="44">
        <v>2216941</v>
      </c>
      <c r="F200" s="44"/>
      <c r="G200" s="44">
        <v>1457552</v>
      </c>
      <c r="H200" s="44"/>
      <c r="I200" s="44">
        <v>1202189</v>
      </c>
      <c r="J200" s="44"/>
      <c r="K200" s="44">
        <v>1478089</v>
      </c>
      <c r="L200" s="44"/>
      <c r="M200" s="44">
        <v>12120834</v>
      </c>
      <c r="N200" s="44"/>
      <c r="O200" s="44">
        <v>637560</v>
      </c>
      <c r="P200" s="44"/>
      <c r="Q200" s="44">
        <v>977843</v>
      </c>
      <c r="R200" s="44"/>
      <c r="S200" s="44">
        <v>114967</v>
      </c>
      <c r="T200" s="44"/>
      <c r="U200" s="44">
        <f>31689+442446</f>
        <v>474135</v>
      </c>
      <c r="V200" s="44"/>
      <c r="W200" s="44">
        <v>-334993</v>
      </c>
      <c r="X200" s="44"/>
      <c r="Y200" s="44">
        <v>0</v>
      </c>
      <c r="Z200" s="44"/>
      <c r="AA200" s="44">
        <f t="shared" si="11"/>
        <v>15468435</v>
      </c>
      <c r="AB200" s="44"/>
      <c r="AC200" s="44">
        <f t="shared" si="12"/>
        <v>20345117</v>
      </c>
    </row>
    <row r="201" spans="1:31" s="47" customFormat="1" ht="12.75" customHeight="1">
      <c r="A201" s="47" t="s">
        <v>230</v>
      </c>
      <c r="C201" s="47" t="s">
        <v>45</v>
      </c>
      <c r="E201" s="44">
        <v>352642</v>
      </c>
      <c r="F201" s="44"/>
      <c r="G201" s="44">
        <v>308792</v>
      </c>
      <c r="H201" s="44"/>
      <c r="I201" s="44">
        <v>784158</v>
      </c>
      <c r="J201" s="44"/>
      <c r="K201" s="44">
        <v>693855</v>
      </c>
      <c r="L201" s="44"/>
      <c r="M201" s="44">
        <v>1306563</v>
      </c>
      <c r="N201" s="44"/>
      <c r="O201" s="44">
        <v>12436</v>
      </c>
      <c r="P201" s="44"/>
      <c r="Q201" s="44">
        <v>448542</v>
      </c>
      <c r="R201" s="44"/>
      <c r="S201" s="44">
        <v>21010</v>
      </c>
      <c r="T201" s="44"/>
      <c r="U201" s="44">
        <v>19214</v>
      </c>
      <c r="V201" s="44"/>
      <c r="W201" s="44">
        <v>0</v>
      </c>
      <c r="X201" s="44"/>
      <c r="Y201" s="44">
        <v>0</v>
      </c>
      <c r="Z201" s="44"/>
      <c r="AA201" s="44">
        <f t="shared" si="11"/>
        <v>2501620</v>
      </c>
      <c r="AB201" s="44"/>
      <c r="AC201" s="44">
        <f t="shared" si="12"/>
        <v>3947212</v>
      </c>
    </row>
    <row r="202" spans="1:31" s="47" customFormat="1" ht="12.75" customHeight="1">
      <c r="A202" s="47" t="s">
        <v>231</v>
      </c>
      <c r="C202" s="47" t="s">
        <v>27</v>
      </c>
      <c r="E202" s="44">
        <v>4690396</v>
      </c>
      <c r="F202" s="44"/>
      <c r="G202" s="44">
        <v>1512849</v>
      </c>
      <c r="H202" s="44"/>
      <c r="I202" s="44">
        <v>241789</v>
      </c>
      <c r="J202" s="44"/>
      <c r="K202" s="44">
        <f>847731+1928116+411492+616532+393218</f>
        <v>4197089</v>
      </c>
      <c r="L202" s="44"/>
      <c r="M202" s="44">
        <f>28336758+9120696+69329</f>
        <v>37526783</v>
      </c>
      <c r="N202" s="44"/>
      <c r="O202" s="44">
        <v>0</v>
      </c>
      <c r="P202" s="44"/>
      <c r="Q202" s="44">
        <v>1772443</v>
      </c>
      <c r="R202" s="44"/>
      <c r="S202" s="44">
        <v>895577</v>
      </c>
      <c r="T202" s="44"/>
      <c r="U202" s="44">
        <f>13894+814795</f>
        <v>828689</v>
      </c>
      <c r="V202" s="44"/>
      <c r="W202" s="44">
        <v>-214075</v>
      </c>
      <c r="X202" s="44"/>
      <c r="Y202" s="44">
        <v>0</v>
      </c>
      <c r="Z202" s="44"/>
      <c r="AA202" s="44">
        <f t="shared" si="11"/>
        <v>45006506</v>
      </c>
      <c r="AB202" s="44"/>
      <c r="AC202" s="44">
        <f t="shared" si="12"/>
        <v>51451540</v>
      </c>
    </row>
    <row r="203" spans="1:31" s="47" customFormat="1" ht="12.75" customHeight="1">
      <c r="A203" s="47" t="s">
        <v>232</v>
      </c>
      <c r="C203" s="47" t="s">
        <v>27</v>
      </c>
      <c r="E203" s="44">
        <v>4631318</v>
      </c>
      <c r="F203" s="44"/>
      <c r="G203" s="44">
        <v>1354082</v>
      </c>
      <c r="H203" s="44"/>
      <c r="I203" s="44">
        <v>1987926</v>
      </c>
      <c r="J203" s="44"/>
      <c r="K203" s="44">
        <f>3768986+407046+530252+209102</f>
        <v>4915386</v>
      </c>
      <c r="L203" s="44"/>
      <c r="M203" s="44">
        <v>8151305</v>
      </c>
      <c r="N203" s="44"/>
      <c r="O203" s="44">
        <v>0</v>
      </c>
      <c r="P203" s="44"/>
      <c r="Q203" s="44">
        <v>2344675</v>
      </c>
      <c r="R203" s="44"/>
      <c r="S203" s="44">
        <v>71301</v>
      </c>
      <c r="T203" s="44"/>
      <c r="U203" s="44">
        <f>6447+668973</f>
        <v>675420</v>
      </c>
      <c r="V203" s="44"/>
      <c r="W203" s="44">
        <v>0</v>
      </c>
      <c r="X203" s="44"/>
      <c r="Y203" s="44">
        <v>0</v>
      </c>
      <c r="Z203" s="44"/>
      <c r="AA203" s="44">
        <f t="shared" si="11"/>
        <v>16158087</v>
      </c>
      <c r="AB203" s="44"/>
      <c r="AC203" s="44">
        <f t="shared" si="12"/>
        <v>24131413</v>
      </c>
    </row>
    <row r="204" spans="1:31" s="47" customFormat="1" ht="12.75" customHeight="1">
      <c r="A204" s="47" t="s">
        <v>233</v>
      </c>
      <c r="C204" s="47" t="s">
        <v>111</v>
      </c>
      <c r="E204" s="44">
        <v>1883867</v>
      </c>
      <c r="F204" s="44"/>
      <c r="G204" s="44">
        <v>991710</v>
      </c>
      <c r="H204" s="44"/>
      <c r="I204" s="44">
        <v>1293808</v>
      </c>
      <c r="J204" s="44"/>
      <c r="K204" s="44">
        <v>702808</v>
      </c>
      <c r="L204" s="44"/>
      <c r="M204" s="44">
        <v>10481235</v>
      </c>
      <c r="N204" s="44"/>
      <c r="O204" s="44">
        <f>56322+550819</f>
        <v>607141</v>
      </c>
      <c r="P204" s="44"/>
      <c r="Q204" s="44">
        <v>505227</v>
      </c>
      <c r="R204" s="44"/>
      <c r="S204" s="44">
        <v>169589</v>
      </c>
      <c r="T204" s="44"/>
      <c r="U204" s="44">
        <f>385479+93974</f>
        <v>479453</v>
      </c>
      <c r="V204" s="44"/>
      <c r="W204" s="44">
        <v>-1365008</v>
      </c>
      <c r="X204" s="44"/>
      <c r="Y204" s="44">
        <v>0</v>
      </c>
      <c r="Z204" s="44"/>
      <c r="AA204" s="44">
        <f t="shared" si="11"/>
        <v>11580445</v>
      </c>
      <c r="AB204" s="44"/>
      <c r="AC204" s="44">
        <f t="shared" si="12"/>
        <v>15749830</v>
      </c>
    </row>
    <row r="205" spans="1:31" s="47" customFormat="1" ht="12.75" customHeight="1">
      <c r="A205" s="47" t="s">
        <v>234</v>
      </c>
      <c r="C205" s="47" t="s">
        <v>45</v>
      </c>
      <c r="E205" s="44">
        <v>1148446</v>
      </c>
      <c r="F205" s="44"/>
      <c r="G205" s="44">
        <v>111725</v>
      </c>
      <c r="H205" s="44"/>
      <c r="I205" s="44">
        <v>1137457</v>
      </c>
      <c r="J205" s="44"/>
      <c r="K205" s="44">
        <v>1520103</v>
      </c>
      <c r="L205" s="44"/>
      <c r="M205" s="44">
        <v>11720803</v>
      </c>
      <c r="N205" s="44"/>
      <c r="O205" s="44">
        <f>359032+103385</f>
        <v>462417</v>
      </c>
      <c r="P205" s="44"/>
      <c r="Q205" s="44">
        <v>2006063</v>
      </c>
      <c r="R205" s="44"/>
      <c r="S205" s="44">
        <v>23728</v>
      </c>
      <c r="T205" s="44"/>
      <c r="U205" s="44">
        <v>572298</v>
      </c>
      <c r="V205" s="44"/>
      <c r="W205" s="44">
        <v>0</v>
      </c>
      <c r="X205" s="44"/>
      <c r="Y205" s="44">
        <v>0</v>
      </c>
      <c r="Z205" s="44"/>
      <c r="AA205" s="44">
        <f t="shared" si="11"/>
        <v>16305412</v>
      </c>
      <c r="AB205" s="44"/>
      <c r="AC205" s="44">
        <f t="shared" si="12"/>
        <v>18703040</v>
      </c>
    </row>
    <row r="206" spans="1:31" s="47" customFormat="1" ht="12.75" customHeight="1">
      <c r="A206" s="47" t="s">
        <v>235</v>
      </c>
      <c r="C206" s="47" t="s">
        <v>183</v>
      </c>
      <c r="E206" s="44">
        <v>6944652</v>
      </c>
      <c r="F206" s="44"/>
      <c r="G206" s="44">
        <v>7257653</v>
      </c>
      <c r="H206" s="44"/>
      <c r="I206" s="44">
        <v>8643101</v>
      </c>
      <c r="J206" s="44"/>
      <c r="K206" s="44">
        <v>2750962</v>
      </c>
      <c r="L206" s="44"/>
      <c r="M206" s="44">
        <v>26997324</v>
      </c>
      <c r="N206" s="44"/>
      <c r="O206" s="44">
        <v>550208</v>
      </c>
      <c r="P206" s="44"/>
      <c r="Q206" s="44">
        <f>6959251+2844888</f>
        <v>9804139</v>
      </c>
      <c r="R206" s="44"/>
      <c r="S206" s="44">
        <v>476183</v>
      </c>
      <c r="T206" s="44"/>
      <c r="U206" s="44">
        <v>3573308</v>
      </c>
      <c r="V206" s="44"/>
      <c r="W206" s="44">
        <v>-102051</v>
      </c>
      <c r="X206" s="44"/>
      <c r="Y206" s="44">
        <v>0</v>
      </c>
      <c r="Z206" s="44"/>
      <c r="AA206" s="44">
        <f t="shared" si="11"/>
        <v>44050073</v>
      </c>
      <c r="AB206" s="44"/>
      <c r="AC206" s="44">
        <f t="shared" si="12"/>
        <v>66895479</v>
      </c>
    </row>
    <row r="207" spans="1:31" s="47" customFormat="1" ht="12.75" customHeight="1">
      <c r="A207" s="47" t="s">
        <v>236</v>
      </c>
      <c r="C207" s="47" t="s">
        <v>45</v>
      </c>
      <c r="E207" s="44">
        <v>371100</v>
      </c>
      <c r="F207" s="44"/>
      <c r="G207" s="44">
        <v>271203</v>
      </c>
      <c r="H207" s="44"/>
      <c r="I207" s="44">
        <v>1185437</v>
      </c>
      <c r="J207" s="44"/>
      <c r="K207" s="44">
        <v>10441347</v>
      </c>
      <c r="L207" s="44"/>
      <c r="M207" s="44">
        <v>0</v>
      </c>
      <c r="N207" s="44"/>
      <c r="O207" s="44">
        <v>0</v>
      </c>
      <c r="P207" s="44"/>
      <c r="Q207" s="44">
        <v>934529</v>
      </c>
      <c r="R207" s="44"/>
      <c r="S207" s="44">
        <v>95990</v>
      </c>
      <c r="T207" s="44"/>
      <c r="U207" s="44">
        <v>54682</v>
      </c>
      <c r="V207" s="44"/>
      <c r="W207" s="44">
        <v>0</v>
      </c>
      <c r="X207" s="44"/>
      <c r="Y207" s="44">
        <v>0</v>
      </c>
      <c r="Z207" s="44"/>
      <c r="AA207" s="44">
        <f t="shared" si="11"/>
        <v>11526548</v>
      </c>
      <c r="AB207" s="44"/>
      <c r="AC207" s="44">
        <f t="shared" si="12"/>
        <v>13354288</v>
      </c>
    </row>
    <row r="208" spans="1:31" s="47" customFormat="1" ht="12.75" customHeight="1">
      <c r="A208" s="47" t="s">
        <v>237</v>
      </c>
      <c r="C208" s="47" t="s">
        <v>33</v>
      </c>
      <c r="E208" s="44">
        <v>293231</v>
      </c>
      <c r="F208" s="44"/>
      <c r="G208" s="44">
        <v>785145</v>
      </c>
      <c r="H208" s="44"/>
      <c r="I208" s="44">
        <v>2703</v>
      </c>
      <c r="J208" s="44"/>
      <c r="K208" s="44">
        <f>494517+425661</f>
        <v>920178</v>
      </c>
      <c r="L208" s="44"/>
      <c r="M208" s="44">
        <v>0</v>
      </c>
      <c r="N208" s="44"/>
      <c r="O208" s="44">
        <v>0</v>
      </c>
      <c r="P208" s="44"/>
      <c r="Q208" s="44">
        <v>488909</v>
      </c>
      <c r="R208" s="44"/>
      <c r="S208" s="44">
        <v>57072</v>
      </c>
      <c r="T208" s="44"/>
      <c r="U208" s="44">
        <v>57335</v>
      </c>
      <c r="V208" s="44"/>
      <c r="W208" s="44">
        <v>162100</v>
      </c>
      <c r="X208" s="44"/>
      <c r="Y208" s="44">
        <v>0</v>
      </c>
      <c r="Z208" s="44"/>
      <c r="AA208" s="44">
        <f t="shared" si="11"/>
        <v>1685594</v>
      </c>
      <c r="AB208" s="44"/>
      <c r="AC208" s="44">
        <f t="shared" si="12"/>
        <v>2766673</v>
      </c>
    </row>
    <row r="209" spans="1:29" s="47" customFormat="1" ht="12.75" customHeight="1">
      <c r="A209" s="47" t="s">
        <v>238</v>
      </c>
      <c r="C209" s="47" t="s">
        <v>239</v>
      </c>
      <c r="E209" s="44">
        <v>704554</v>
      </c>
      <c r="F209" s="44"/>
      <c r="G209" s="44">
        <v>384057</v>
      </c>
      <c r="H209" s="44"/>
      <c r="I209" s="44">
        <v>269581</v>
      </c>
      <c r="J209" s="44"/>
      <c r="K209" s="44">
        <f>1140050+69810</f>
        <v>1209860</v>
      </c>
      <c r="L209" s="44"/>
      <c r="M209" s="44">
        <f>2205057+445826+1380898</f>
        <v>4031781</v>
      </c>
      <c r="N209" s="44"/>
      <c r="O209" s="44">
        <v>0</v>
      </c>
      <c r="P209" s="44"/>
      <c r="Q209" s="44">
        <v>862592</v>
      </c>
      <c r="R209" s="44"/>
      <c r="S209" s="44">
        <v>84483</v>
      </c>
      <c r="T209" s="44"/>
      <c r="U209" s="44">
        <v>211530</v>
      </c>
      <c r="V209" s="44"/>
      <c r="W209" s="44">
        <v>-832390</v>
      </c>
      <c r="X209" s="44"/>
      <c r="Y209" s="44">
        <v>171488</v>
      </c>
      <c r="Z209" s="44"/>
      <c r="AA209" s="44">
        <f t="shared" si="11"/>
        <v>5739344</v>
      </c>
      <c r="AB209" s="44"/>
      <c r="AC209" s="44">
        <f t="shared" si="12"/>
        <v>7097536</v>
      </c>
    </row>
    <row r="210" spans="1:29" s="47" customFormat="1" ht="12.75" customHeight="1">
      <c r="A210" s="47" t="s">
        <v>486</v>
      </c>
      <c r="C210" s="47" t="s">
        <v>249</v>
      </c>
      <c r="E210" s="44">
        <v>1429456</v>
      </c>
      <c r="F210" s="44"/>
      <c r="G210" s="44">
        <v>2651845</v>
      </c>
      <c r="H210" s="44"/>
      <c r="I210" s="44">
        <v>5745507</v>
      </c>
      <c r="J210" s="44"/>
      <c r="K210" s="44">
        <f>986308+211596</f>
        <v>1197904</v>
      </c>
      <c r="L210" s="44"/>
      <c r="M210" s="44">
        <f>7389061+679734+293627+97875</f>
        <v>8460297</v>
      </c>
      <c r="N210" s="44"/>
      <c r="O210" s="44">
        <v>181220</v>
      </c>
      <c r="P210" s="44"/>
      <c r="Q210" s="44">
        <v>2353784</v>
      </c>
      <c r="R210" s="44"/>
      <c r="S210" s="44">
        <v>40629</v>
      </c>
      <c r="T210" s="44"/>
      <c r="U210" s="44">
        <v>184657</v>
      </c>
      <c r="V210" s="44"/>
      <c r="W210" s="44">
        <v>-6238</v>
      </c>
      <c r="X210" s="44"/>
      <c r="Y210" s="44">
        <v>0</v>
      </c>
      <c r="Z210" s="44"/>
      <c r="AA210" s="44">
        <f t="shared" si="11"/>
        <v>12412253</v>
      </c>
      <c r="AB210" s="44"/>
      <c r="AC210" s="44">
        <f t="shared" si="12"/>
        <v>22239061</v>
      </c>
    </row>
    <row r="211" spans="1:29" s="47" customFormat="1" ht="12.75" customHeight="1">
      <c r="A211" s="47" t="s">
        <v>240</v>
      </c>
      <c r="C211" s="47" t="s">
        <v>13</v>
      </c>
      <c r="E211" s="44">
        <v>5386089</v>
      </c>
      <c r="F211" s="44"/>
      <c r="G211" s="44">
        <v>2480186</v>
      </c>
      <c r="H211" s="44"/>
      <c r="I211" s="44">
        <v>4694364</v>
      </c>
      <c r="J211" s="44"/>
      <c r="K211" s="44">
        <f>5103571+2430115</f>
        <v>7533686</v>
      </c>
      <c r="L211" s="44"/>
      <c r="M211" s="44">
        <v>11573713</v>
      </c>
      <c r="N211" s="44"/>
      <c r="O211" s="44">
        <v>0</v>
      </c>
      <c r="P211" s="44"/>
      <c r="Q211" s="44">
        <v>3933904</v>
      </c>
      <c r="R211" s="44"/>
      <c r="S211" s="44">
        <v>102494</v>
      </c>
      <c r="T211" s="44"/>
      <c r="U211" s="44">
        <v>612143</v>
      </c>
      <c r="V211" s="44"/>
      <c r="W211" s="44">
        <v>-215278</v>
      </c>
      <c r="X211" s="44"/>
      <c r="Y211" s="44">
        <v>0</v>
      </c>
      <c r="Z211" s="44"/>
      <c r="AA211" s="44">
        <f t="shared" si="11"/>
        <v>23540662</v>
      </c>
      <c r="AB211" s="44"/>
      <c r="AC211" s="44">
        <f t="shared" si="12"/>
        <v>36101301</v>
      </c>
    </row>
    <row r="212" spans="1:29" s="47" customFormat="1" ht="12.75" customHeight="1">
      <c r="A212" s="47" t="s">
        <v>241</v>
      </c>
      <c r="C212" s="47" t="s">
        <v>22</v>
      </c>
      <c r="E212" s="44">
        <v>1424034</v>
      </c>
      <c r="F212" s="44"/>
      <c r="G212" s="44">
        <v>921588</v>
      </c>
      <c r="H212" s="44"/>
      <c r="I212" s="44">
        <v>488274</v>
      </c>
      <c r="J212" s="44"/>
      <c r="K212" s="44">
        <f>463289+284048+120985+117733</f>
        <v>986055</v>
      </c>
      <c r="L212" s="44"/>
      <c r="M212" s="44">
        <f>9364354+1254902</f>
        <v>10619256</v>
      </c>
      <c r="N212" s="44"/>
      <c r="O212" s="44">
        <v>353028</v>
      </c>
      <c r="P212" s="44"/>
      <c r="Q212" s="44">
        <v>1156944</v>
      </c>
      <c r="R212" s="44"/>
      <c r="S212" s="44">
        <v>6964</v>
      </c>
      <c r="T212" s="44"/>
      <c r="U212" s="44">
        <v>131865</v>
      </c>
      <c r="V212" s="44"/>
      <c r="W212" s="44">
        <v>-35539</v>
      </c>
      <c r="X212" s="44"/>
      <c r="Y212" s="44">
        <v>0</v>
      </c>
      <c r="Z212" s="44"/>
      <c r="AA212" s="44">
        <f t="shared" si="11"/>
        <v>13218573</v>
      </c>
      <c r="AB212" s="44"/>
      <c r="AC212" s="44">
        <f t="shared" si="12"/>
        <v>16052469</v>
      </c>
    </row>
    <row r="213" spans="1:29" s="47" customFormat="1" ht="12.75" customHeight="1">
      <c r="A213" s="47" t="s">
        <v>242</v>
      </c>
      <c r="C213" s="47" t="s">
        <v>27</v>
      </c>
      <c r="E213" s="44">
        <v>6681349</v>
      </c>
      <c r="F213" s="44"/>
      <c r="G213" s="44">
        <v>1916860</v>
      </c>
      <c r="H213" s="44"/>
      <c r="I213" s="44">
        <v>5715992</v>
      </c>
      <c r="J213" s="44"/>
      <c r="K213" s="44">
        <v>9425087</v>
      </c>
      <c r="L213" s="44"/>
      <c r="M213" s="44">
        <v>25485849</v>
      </c>
      <c r="N213" s="44"/>
      <c r="O213" s="44">
        <v>1088855</v>
      </c>
      <c r="P213" s="44"/>
      <c r="Q213" s="44">
        <v>4135580</v>
      </c>
      <c r="R213" s="44"/>
      <c r="S213" s="44">
        <v>221886</v>
      </c>
      <c r="T213" s="44"/>
      <c r="U213" s="44">
        <v>0</v>
      </c>
      <c r="V213" s="44"/>
      <c r="W213" s="44">
        <v>650000</v>
      </c>
      <c r="X213" s="44"/>
      <c r="Y213" s="44">
        <v>0</v>
      </c>
      <c r="Z213" s="44"/>
      <c r="AA213" s="44">
        <f t="shared" si="11"/>
        <v>41007257</v>
      </c>
      <c r="AB213" s="44"/>
      <c r="AC213" s="44">
        <f t="shared" si="12"/>
        <v>55321458</v>
      </c>
    </row>
    <row r="214" spans="1:29" s="47" customFormat="1" ht="12.75" customHeight="1">
      <c r="A214" s="47" t="s">
        <v>243</v>
      </c>
      <c r="C214" s="47" t="s">
        <v>163</v>
      </c>
      <c r="E214" s="44">
        <v>1823909</v>
      </c>
      <c r="F214" s="44"/>
      <c r="G214" s="44">
        <v>2023550</v>
      </c>
      <c r="H214" s="44"/>
      <c r="I214" s="44">
        <v>307160</v>
      </c>
      <c r="J214" s="44"/>
      <c r="K214" s="44">
        <v>1345033</v>
      </c>
      <c r="L214" s="44"/>
      <c r="M214" s="44">
        <v>8340493</v>
      </c>
      <c r="N214" s="44"/>
      <c r="O214" s="44">
        <v>0</v>
      </c>
      <c r="P214" s="44"/>
      <c r="Q214" s="44">
        <v>1779736</v>
      </c>
      <c r="R214" s="44"/>
      <c r="S214" s="44">
        <v>280333</v>
      </c>
      <c r="T214" s="44"/>
      <c r="U214" s="44">
        <v>292871</v>
      </c>
      <c r="V214" s="44"/>
      <c r="W214" s="44">
        <v>169568</v>
      </c>
      <c r="X214" s="44"/>
      <c r="Y214" s="44">
        <v>0</v>
      </c>
      <c r="Z214" s="44"/>
      <c r="AA214" s="44">
        <f t="shared" si="11"/>
        <v>12208034</v>
      </c>
      <c r="AB214" s="44"/>
      <c r="AC214" s="44">
        <f t="shared" si="12"/>
        <v>16362653</v>
      </c>
    </row>
    <row r="215" spans="1:29" s="47" customFormat="1" ht="12.75" customHeight="1">
      <c r="A215" s="47" t="s">
        <v>244</v>
      </c>
      <c r="C215" s="47" t="s">
        <v>13</v>
      </c>
      <c r="E215" s="44">
        <v>2628647</v>
      </c>
      <c r="F215" s="44"/>
      <c r="G215" s="44">
        <v>932825</v>
      </c>
      <c r="H215" s="44"/>
      <c r="I215" s="44">
        <v>1465130</v>
      </c>
      <c r="J215" s="44"/>
      <c r="K215" s="44">
        <f>759648+1390985+108287</f>
        <v>2258920</v>
      </c>
      <c r="L215" s="44"/>
      <c r="M215" s="44">
        <v>7455553</v>
      </c>
      <c r="N215" s="44"/>
      <c r="O215" s="44">
        <v>0</v>
      </c>
      <c r="P215" s="44"/>
      <c r="Q215" s="44">
        <v>2148650</v>
      </c>
      <c r="R215" s="44"/>
      <c r="S215" s="44">
        <v>43871</v>
      </c>
      <c r="T215" s="44"/>
      <c r="U215" s="44">
        <v>47331</v>
      </c>
      <c r="V215" s="44"/>
      <c r="W215" s="44">
        <v>0</v>
      </c>
      <c r="X215" s="44"/>
      <c r="Y215" s="44">
        <v>0</v>
      </c>
      <c r="Z215" s="44"/>
      <c r="AA215" s="44">
        <f t="shared" si="11"/>
        <v>11954325</v>
      </c>
      <c r="AB215" s="44"/>
      <c r="AC215" s="44">
        <f t="shared" si="12"/>
        <v>16980927</v>
      </c>
    </row>
    <row r="216" spans="1:29" s="47" customFormat="1" ht="12.75" customHeight="1">
      <c r="A216" s="47" t="s">
        <v>245</v>
      </c>
      <c r="C216" s="47" t="s">
        <v>110</v>
      </c>
      <c r="E216" s="44">
        <v>1385223</v>
      </c>
      <c r="F216" s="44"/>
      <c r="G216" s="44">
        <v>1737207</v>
      </c>
      <c r="H216" s="44"/>
      <c r="I216" s="44">
        <v>1540107</v>
      </c>
      <c r="J216" s="44"/>
      <c r="K216" s="44">
        <f>1037604+90492+90492</f>
        <v>1218588</v>
      </c>
      <c r="L216" s="44"/>
      <c r="M216" s="44">
        <v>6708188</v>
      </c>
      <c r="N216" s="44"/>
      <c r="O216" s="44">
        <v>84151</v>
      </c>
      <c r="P216" s="44"/>
      <c r="Q216" s="44">
        <v>1403168</v>
      </c>
      <c r="R216" s="44"/>
      <c r="S216" s="44">
        <v>9813</v>
      </c>
      <c r="T216" s="44"/>
      <c r="U216" s="44">
        <f>22382+225335+101768</f>
        <v>349485</v>
      </c>
      <c r="V216" s="44"/>
      <c r="W216" s="44">
        <v>0</v>
      </c>
      <c r="X216" s="44"/>
      <c r="Y216" s="44">
        <v>0</v>
      </c>
      <c r="Z216" s="44"/>
      <c r="AA216" s="44">
        <f t="shared" si="11"/>
        <v>9773393</v>
      </c>
      <c r="AB216" s="44"/>
      <c r="AC216" s="44">
        <f t="shared" si="12"/>
        <v>14435930</v>
      </c>
    </row>
    <row r="217" spans="1:29" s="47" customFormat="1" ht="12.75" customHeight="1">
      <c r="A217" s="47" t="s">
        <v>246</v>
      </c>
      <c r="C217" s="47" t="s">
        <v>209</v>
      </c>
      <c r="E217" s="44">
        <v>1199593</v>
      </c>
      <c r="F217" s="44"/>
      <c r="G217" s="44">
        <v>651175</v>
      </c>
      <c r="H217" s="44"/>
      <c r="I217" s="44">
        <v>111123</v>
      </c>
      <c r="J217" s="44"/>
      <c r="K217" s="44">
        <v>323521</v>
      </c>
      <c r="L217" s="44"/>
      <c r="M217" s="44">
        <v>3449915</v>
      </c>
      <c r="N217" s="44"/>
      <c r="O217" s="44">
        <v>46875</v>
      </c>
      <c r="P217" s="44"/>
      <c r="Q217" s="44">
        <v>1327627</v>
      </c>
      <c r="R217" s="44"/>
      <c r="S217" s="44">
        <v>121044</v>
      </c>
      <c r="T217" s="44"/>
      <c r="U217" s="44">
        <v>931681</v>
      </c>
      <c r="V217" s="44"/>
      <c r="W217" s="44">
        <v>41943</v>
      </c>
      <c r="X217" s="44"/>
      <c r="Y217" s="44">
        <v>0</v>
      </c>
      <c r="Z217" s="44"/>
      <c r="AA217" s="44">
        <f t="shared" si="11"/>
        <v>6242606</v>
      </c>
      <c r="AB217" s="44"/>
      <c r="AC217" s="44">
        <f t="shared" si="12"/>
        <v>8204497</v>
      </c>
    </row>
    <row r="218" spans="1:29" s="47" customFormat="1" ht="12.75" customHeight="1">
      <c r="A218" s="47" t="s">
        <v>247</v>
      </c>
      <c r="C218" s="47" t="s">
        <v>163</v>
      </c>
      <c r="E218" s="44">
        <v>98831000</v>
      </c>
      <c r="F218" s="44"/>
      <c r="G218" s="44">
        <v>12675000</v>
      </c>
      <c r="H218" s="44"/>
      <c r="I218" s="44">
        <v>24482000</v>
      </c>
      <c r="J218" s="44"/>
      <c r="K218" s="44">
        <v>12465000</v>
      </c>
      <c r="L218" s="44"/>
      <c r="M218" s="44">
        <v>146886000</v>
      </c>
      <c r="N218" s="44"/>
      <c r="O218" s="44">
        <v>0</v>
      </c>
      <c r="P218" s="44"/>
      <c r="Q218" s="44">
        <v>0</v>
      </c>
      <c r="R218" s="44"/>
      <c r="S218" s="44">
        <v>1605000</v>
      </c>
      <c r="T218" s="44"/>
      <c r="U218" s="44">
        <f>4606000-34000</f>
        <v>4572000</v>
      </c>
      <c r="V218" s="44"/>
      <c r="W218" s="44">
        <v>534000</v>
      </c>
      <c r="X218" s="44"/>
      <c r="Y218" s="44">
        <v>0</v>
      </c>
      <c r="Z218" s="44"/>
      <c r="AA218" s="44">
        <f t="shared" si="11"/>
        <v>166062000</v>
      </c>
      <c r="AB218" s="44"/>
      <c r="AC218" s="44">
        <f t="shared" si="12"/>
        <v>302050000</v>
      </c>
    </row>
    <row r="219" spans="1:29" s="47" customFormat="1" ht="12.75" customHeight="1">
      <c r="A219" s="47" t="s">
        <v>248</v>
      </c>
      <c r="C219" s="47" t="s">
        <v>249</v>
      </c>
      <c r="E219" s="44">
        <v>141542</v>
      </c>
      <c r="F219" s="44"/>
      <c r="G219" s="44">
        <v>372952</v>
      </c>
      <c r="H219" s="44"/>
      <c r="I219" s="44">
        <v>47963</v>
      </c>
      <c r="J219" s="44"/>
      <c r="K219" s="44">
        <v>165225</v>
      </c>
      <c r="L219" s="44"/>
      <c r="M219" s="44">
        <v>1808770</v>
      </c>
      <c r="N219" s="44"/>
      <c r="O219" s="44">
        <v>46958</v>
      </c>
      <c r="P219" s="44"/>
      <c r="Q219" s="44">
        <v>315150</v>
      </c>
      <c r="R219" s="44"/>
      <c r="S219" s="44">
        <v>10935</v>
      </c>
      <c r="T219" s="44"/>
      <c r="U219" s="44">
        <v>48654</v>
      </c>
      <c r="V219" s="44"/>
      <c r="W219" s="44">
        <v>-115000</v>
      </c>
      <c r="X219" s="44"/>
      <c r="Y219" s="44">
        <v>0</v>
      </c>
      <c r="Z219" s="44"/>
      <c r="AA219" s="44">
        <f t="shared" si="11"/>
        <v>2280692</v>
      </c>
      <c r="AB219" s="44"/>
      <c r="AC219" s="44">
        <f t="shared" si="12"/>
        <v>2843149</v>
      </c>
    </row>
    <row r="220" spans="1:29" s="47" customFormat="1" ht="12.75" customHeight="1">
      <c r="A220" s="47" t="s">
        <v>250</v>
      </c>
      <c r="C220" s="47" t="s">
        <v>103</v>
      </c>
      <c r="E220" s="44">
        <v>550978</v>
      </c>
      <c r="F220" s="44"/>
      <c r="G220" s="44">
        <v>953396</v>
      </c>
      <c r="H220" s="44"/>
      <c r="I220" s="44">
        <v>492850</v>
      </c>
      <c r="J220" s="44"/>
      <c r="K220" s="44">
        <v>523128</v>
      </c>
      <c r="L220" s="44"/>
      <c r="M220" s="44">
        <v>1486032</v>
      </c>
      <c r="N220" s="44"/>
      <c r="O220" s="44">
        <f>29129+118463+337097+83367</f>
        <v>568056</v>
      </c>
      <c r="P220" s="44"/>
      <c r="Q220" s="44">
        <v>359651</v>
      </c>
      <c r="R220" s="44"/>
      <c r="S220" s="44">
        <v>69630</v>
      </c>
      <c r="T220" s="44"/>
      <c r="U220" s="44">
        <v>46575</v>
      </c>
      <c r="V220" s="44"/>
      <c r="W220" s="44">
        <v>0</v>
      </c>
      <c r="X220" s="44"/>
      <c r="Y220" s="44">
        <v>0</v>
      </c>
      <c r="Z220" s="44"/>
      <c r="AA220" s="44">
        <f t="shared" si="11"/>
        <v>3053072</v>
      </c>
      <c r="AB220" s="44"/>
      <c r="AC220" s="44">
        <f t="shared" si="12"/>
        <v>5050296</v>
      </c>
    </row>
    <row r="221" spans="1:29" s="122" customFormat="1" ht="12.75" hidden="1" customHeight="1">
      <c r="A221" s="122" t="s">
        <v>251</v>
      </c>
      <c r="C221" s="122" t="s">
        <v>66</v>
      </c>
      <c r="E221" s="121">
        <v>0</v>
      </c>
      <c r="F221" s="121"/>
      <c r="G221" s="121">
        <v>0</v>
      </c>
      <c r="H221" s="121"/>
      <c r="I221" s="121">
        <v>0</v>
      </c>
      <c r="J221" s="121"/>
      <c r="K221" s="121">
        <v>0</v>
      </c>
      <c r="L221" s="121"/>
      <c r="M221" s="121">
        <v>0</v>
      </c>
      <c r="N221" s="121"/>
      <c r="O221" s="121">
        <v>0</v>
      </c>
      <c r="P221" s="121"/>
      <c r="Q221" s="121">
        <v>0</v>
      </c>
      <c r="R221" s="121"/>
      <c r="S221" s="121">
        <v>0</v>
      </c>
      <c r="T221" s="121"/>
      <c r="U221" s="121">
        <v>0</v>
      </c>
      <c r="V221" s="121"/>
      <c r="W221" s="121">
        <v>0</v>
      </c>
      <c r="X221" s="121"/>
      <c r="Y221" s="121">
        <v>0</v>
      </c>
      <c r="Z221" s="121"/>
      <c r="AA221" s="121">
        <f t="shared" si="11"/>
        <v>0</v>
      </c>
      <c r="AB221" s="121"/>
      <c r="AC221" s="121">
        <f t="shared" si="12"/>
        <v>0</v>
      </c>
    </row>
    <row r="222" spans="1:29" s="47" customFormat="1" ht="12.75" customHeight="1">
      <c r="A222" s="47" t="s">
        <v>252</v>
      </c>
      <c r="C222" s="47" t="s">
        <v>209</v>
      </c>
      <c r="E222" s="44">
        <v>3808997</v>
      </c>
      <c r="F222" s="44"/>
      <c r="G222" s="44">
        <v>1454945</v>
      </c>
      <c r="H222" s="44"/>
      <c r="I222" s="44">
        <v>613524</v>
      </c>
      <c r="J222" s="44"/>
      <c r="K222" s="44">
        <f>1912221+1899601</f>
        <v>3811822</v>
      </c>
      <c r="L222" s="44"/>
      <c r="M222" s="44">
        <v>10942392</v>
      </c>
      <c r="N222" s="44"/>
      <c r="O222" s="44">
        <v>205798</v>
      </c>
      <c r="P222" s="44"/>
      <c r="Q222" s="44">
        <v>1918673</v>
      </c>
      <c r="R222" s="44"/>
      <c r="S222" s="44">
        <v>1192176</v>
      </c>
      <c r="T222" s="44"/>
      <c r="U222" s="44">
        <f>71000+330667</f>
        <v>401667</v>
      </c>
      <c r="V222" s="44"/>
      <c r="W222" s="44">
        <v>-509800</v>
      </c>
      <c r="X222" s="44"/>
      <c r="Y222" s="44">
        <v>0</v>
      </c>
      <c r="Z222" s="44"/>
      <c r="AA222" s="44">
        <f t="shared" si="11"/>
        <v>17962728</v>
      </c>
      <c r="AB222" s="44"/>
      <c r="AC222" s="44">
        <f t="shared" si="12"/>
        <v>23840194</v>
      </c>
    </row>
    <row r="223" spans="1:29" s="47" customFormat="1" ht="12.75" customHeight="1">
      <c r="A223" s="47" t="s">
        <v>253</v>
      </c>
      <c r="C223" s="47" t="s">
        <v>13</v>
      </c>
      <c r="E223" s="44">
        <v>2863206</v>
      </c>
      <c r="F223" s="44"/>
      <c r="G223" s="44">
        <v>47768</v>
      </c>
      <c r="H223" s="44"/>
      <c r="I223" s="44">
        <v>0</v>
      </c>
      <c r="J223" s="44"/>
      <c r="K223" s="44">
        <f>557883+693113</f>
        <v>1250996</v>
      </c>
      <c r="L223" s="44"/>
      <c r="M223" s="44">
        <v>19415922</v>
      </c>
      <c r="N223" s="44"/>
      <c r="O223" s="44">
        <v>0</v>
      </c>
      <c r="P223" s="44"/>
      <c r="Q223" s="44">
        <v>3494397</v>
      </c>
      <c r="R223" s="44"/>
      <c r="S223" s="44">
        <v>8452</v>
      </c>
      <c r="T223" s="44"/>
      <c r="U223" s="44">
        <v>79429</v>
      </c>
      <c r="V223" s="44"/>
      <c r="W223" s="44">
        <v>-379142</v>
      </c>
      <c r="X223" s="44"/>
      <c r="Y223" s="44">
        <v>0</v>
      </c>
      <c r="Z223" s="44"/>
      <c r="AA223" s="44">
        <f t="shared" si="11"/>
        <v>23870054</v>
      </c>
      <c r="AB223" s="44"/>
      <c r="AC223" s="44">
        <f t="shared" si="12"/>
        <v>26781028</v>
      </c>
    </row>
    <row r="224" spans="1:29" s="47" customFormat="1" ht="12.75" customHeight="1">
      <c r="A224" s="47" t="s">
        <v>254</v>
      </c>
      <c r="C224" s="47" t="s">
        <v>89</v>
      </c>
      <c r="E224" s="44">
        <v>252115</v>
      </c>
      <c r="F224" s="44"/>
      <c r="G224" s="44">
        <v>304491</v>
      </c>
      <c r="H224" s="44"/>
      <c r="I224" s="44">
        <v>572165</v>
      </c>
      <c r="J224" s="44"/>
      <c r="K224" s="44">
        <f>247508+97309+23613+57438+28060+11036</f>
        <v>464964</v>
      </c>
      <c r="L224" s="44"/>
      <c r="M224" s="44">
        <f>832353+227039</f>
        <v>1059392</v>
      </c>
      <c r="N224" s="44"/>
      <c r="O224" s="44">
        <v>0</v>
      </c>
      <c r="P224" s="44"/>
      <c r="Q224" s="44">
        <v>367601</v>
      </c>
      <c r="R224" s="44"/>
      <c r="S224" s="44">
        <v>26512</v>
      </c>
      <c r="T224" s="44"/>
      <c r="U224" s="44">
        <v>50230</v>
      </c>
      <c r="V224" s="44"/>
      <c r="W224" s="44">
        <v>-181488</v>
      </c>
      <c r="X224" s="44"/>
      <c r="Y224" s="44">
        <v>0</v>
      </c>
      <c r="Z224" s="44"/>
      <c r="AA224" s="44">
        <f t="shared" si="11"/>
        <v>1787211</v>
      </c>
      <c r="AB224" s="44"/>
      <c r="AC224" s="44">
        <f t="shared" si="12"/>
        <v>2915982</v>
      </c>
    </row>
    <row r="225" spans="1:31" s="47" customFormat="1" ht="12.75" customHeight="1">
      <c r="A225" s="47" t="s">
        <v>159</v>
      </c>
      <c r="C225" s="47" t="s">
        <v>66</v>
      </c>
      <c r="E225" s="44">
        <v>1427580</v>
      </c>
      <c r="F225" s="44"/>
      <c r="G225" s="44">
        <v>570560</v>
      </c>
      <c r="H225" s="44"/>
      <c r="I225" s="44">
        <v>37500</v>
      </c>
      <c r="J225" s="44"/>
      <c r="K225" s="44">
        <v>1582892</v>
      </c>
      <c r="L225" s="44"/>
      <c r="M225" s="44">
        <v>450708</v>
      </c>
      <c r="N225" s="44"/>
      <c r="O225" s="44">
        <v>0</v>
      </c>
      <c r="P225" s="44"/>
      <c r="Q225" s="44">
        <v>231156</v>
      </c>
      <c r="R225" s="44"/>
      <c r="S225" s="44">
        <v>2043</v>
      </c>
      <c r="T225" s="44"/>
      <c r="U225" s="44">
        <v>135100</v>
      </c>
      <c r="V225" s="44"/>
      <c r="W225" s="44">
        <v>0</v>
      </c>
      <c r="X225" s="44"/>
      <c r="Y225" s="44">
        <v>0</v>
      </c>
      <c r="Z225" s="44"/>
      <c r="AA225" s="44">
        <f t="shared" si="11"/>
        <v>2401899</v>
      </c>
      <c r="AB225" s="44"/>
      <c r="AC225" s="44">
        <f t="shared" si="12"/>
        <v>4437539</v>
      </c>
    </row>
    <row r="226" spans="1:31" s="47" customFormat="1" ht="12.75" customHeight="1">
      <c r="A226" s="47" t="s">
        <v>255</v>
      </c>
      <c r="C226" s="47" t="s">
        <v>27</v>
      </c>
      <c r="E226" s="44">
        <v>2335804</v>
      </c>
      <c r="F226" s="44"/>
      <c r="G226" s="44">
        <v>78229</v>
      </c>
      <c r="H226" s="44"/>
      <c r="I226" s="44">
        <v>1694702</v>
      </c>
      <c r="J226" s="44"/>
      <c r="K226" s="44">
        <f>2225800+129478+453174</f>
        <v>2808452</v>
      </c>
      <c r="L226" s="44"/>
      <c r="M226" s="44">
        <v>8943267</v>
      </c>
      <c r="N226" s="44"/>
      <c r="O226" s="44">
        <v>3681784</v>
      </c>
      <c r="P226" s="44"/>
      <c r="Q226" s="44">
        <v>1084721</v>
      </c>
      <c r="R226" s="44"/>
      <c r="S226" s="44">
        <v>2184</v>
      </c>
      <c r="T226" s="44"/>
      <c r="U226" s="44">
        <v>46064</v>
      </c>
      <c r="V226" s="44"/>
      <c r="W226" s="44">
        <v>0</v>
      </c>
      <c r="X226" s="44"/>
      <c r="Y226" s="44">
        <v>0</v>
      </c>
      <c r="Z226" s="44"/>
      <c r="AA226" s="44">
        <f t="shared" si="11"/>
        <v>16566472</v>
      </c>
      <c r="AB226" s="44"/>
      <c r="AC226" s="44">
        <f t="shared" si="12"/>
        <v>20675207</v>
      </c>
    </row>
    <row r="227" spans="1:31" s="44" customFormat="1" ht="12.75" customHeight="1">
      <c r="A227" s="44" t="s">
        <v>256</v>
      </c>
      <c r="C227" s="44" t="s">
        <v>43</v>
      </c>
      <c r="E227" s="44">
        <v>4221002</v>
      </c>
      <c r="G227" s="44">
        <v>2060117</v>
      </c>
      <c r="I227" s="44">
        <v>0</v>
      </c>
      <c r="K227" s="44">
        <v>9121989</v>
      </c>
      <c r="M227" s="44">
        <v>13165348</v>
      </c>
      <c r="O227" s="44">
        <v>4461866</v>
      </c>
      <c r="Q227" s="44">
        <v>4416591</v>
      </c>
      <c r="S227" s="44">
        <v>866063</v>
      </c>
      <c r="U227" s="44">
        <v>293267</v>
      </c>
      <c r="W227" s="44">
        <v>-1364823</v>
      </c>
      <c r="Y227" s="44">
        <v>0</v>
      </c>
      <c r="AA227" s="44">
        <f t="shared" si="11"/>
        <v>30960301</v>
      </c>
      <c r="AC227" s="44">
        <f t="shared" si="12"/>
        <v>37241420</v>
      </c>
    </row>
    <row r="228" spans="1:31" s="47" customFormat="1" ht="12.75" customHeight="1">
      <c r="A228" s="47" t="s">
        <v>257</v>
      </c>
      <c r="C228" s="47" t="s">
        <v>258</v>
      </c>
      <c r="E228" s="44">
        <v>382527</v>
      </c>
      <c r="F228" s="44"/>
      <c r="G228" s="44">
        <v>244690</v>
      </c>
      <c r="H228" s="44"/>
      <c r="I228" s="44">
        <v>76796</v>
      </c>
      <c r="J228" s="44"/>
      <c r="K228" s="44">
        <v>541003</v>
      </c>
      <c r="L228" s="44"/>
      <c r="M228" s="44">
        <v>1933992</v>
      </c>
      <c r="N228" s="44"/>
      <c r="O228" s="44">
        <v>0</v>
      </c>
      <c r="P228" s="44"/>
      <c r="Q228" s="44">
        <v>1001990</v>
      </c>
      <c r="R228" s="44"/>
      <c r="S228" s="44">
        <v>8983</v>
      </c>
      <c r="T228" s="44"/>
      <c r="U228" s="44">
        <f>94463+558147+23690</f>
        <v>676300</v>
      </c>
      <c r="V228" s="44"/>
      <c r="W228" s="44">
        <v>610381</v>
      </c>
      <c r="X228" s="44"/>
      <c r="Y228" s="44">
        <v>0</v>
      </c>
      <c r="Z228" s="44"/>
      <c r="AA228" s="44">
        <f t="shared" si="11"/>
        <v>4772649</v>
      </c>
      <c r="AB228" s="44"/>
      <c r="AC228" s="44">
        <f t="shared" si="12"/>
        <v>5476662</v>
      </c>
      <c r="AE228" s="47">
        <v>382527</v>
      </c>
    </row>
    <row r="229" spans="1:31" s="47" customFormat="1" ht="12.75" customHeight="1">
      <c r="A229" s="47" t="s">
        <v>259</v>
      </c>
      <c r="C229" s="47" t="s">
        <v>260</v>
      </c>
      <c r="E229" s="44">
        <v>2094967</v>
      </c>
      <c r="F229" s="44"/>
      <c r="G229" s="44">
        <v>1167975</v>
      </c>
      <c r="H229" s="44"/>
      <c r="I229" s="44">
        <v>1292859</v>
      </c>
      <c r="J229" s="44"/>
      <c r="K229" s="44">
        <v>669721</v>
      </c>
      <c r="L229" s="44"/>
      <c r="M229" s="44">
        <v>4698427</v>
      </c>
      <c r="N229" s="44"/>
      <c r="O229" s="44">
        <v>176651</v>
      </c>
      <c r="P229" s="44"/>
      <c r="Q229" s="44">
        <v>600819</v>
      </c>
      <c r="R229" s="44"/>
      <c r="S229" s="44">
        <v>59794</v>
      </c>
      <c r="T229" s="44"/>
      <c r="U229" s="44">
        <v>217167</v>
      </c>
      <c r="V229" s="44"/>
      <c r="W229" s="44">
        <v>84068</v>
      </c>
      <c r="X229" s="44"/>
      <c r="Y229" s="44">
        <v>0</v>
      </c>
      <c r="Z229" s="44"/>
      <c r="AA229" s="44">
        <f t="shared" si="11"/>
        <v>6506647</v>
      </c>
      <c r="AB229" s="44"/>
      <c r="AC229" s="44">
        <f t="shared" si="12"/>
        <v>11062448</v>
      </c>
      <c r="AE229" s="47">
        <v>244690</v>
      </c>
    </row>
    <row r="230" spans="1:31" s="47" customFormat="1" ht="12.75" customHeight="1">
      <c r="A230" s="47" t="s">
        <v>261</v>
      </c>
      <c r="C230" s="47" t="s">
        <v>66</v>
      </c>
      <c r="E230" s="44">
        <v>5350691</v>
      </c>
      <c r="F230" s="44"/>
      <c r="G230" s="44">
        <v>727898</v>
      </c>
      <c r="H230" s="44"/>
      <c r="I230" s="44">
        <v>2501327</v>
      </c>
      <c r="J230" s="44"/>
      <c r="K230" s="44">
        <v>1989379</v>
      </c>
      <c r="L230" s="44"/>
      <c r="M230" s="44">
        <v>10889271</v>
      </c>
      <c r="N230" s="44"/>
      <c r="O230" s="44">
        <v>108512</v>
      </c>
      <c r="P230" s="44"/>
      <c r="Q230" s="44">
        <v>1539008</v>
      </c>
      <c r="R230" s="44"/>
      <c r="S230" s="44">
        <v>254451</v>
      </c>
      <c r="T230" s="44"/>
      <c r="U230" s="44">
        <v>131464</v>
      </c>
      <c r="V230" s="44"/>
      <c r="W230" s="44">
        <v>-422575</v>
      </c>
      <c r="X230" s="44"/>
      <c r="Y230" s="44">
        <v>0</v>
      </c>
      <c r="Z230" s="44"/>
      <c r="AA230" s="44">
        <f t="shared" si="11"/>
        <v>14489510</v>
      </c>
      <c r="AB230" s="44"/>
      <c r="AC230" s="44">
        <f t="shared" si="12"/>
        <v>23069426</v>
      </c>
      <c r="AE230" s="47">
        <v>76796</v>
      </c>
    </row>
    <row r="231" spans="1:31" s="122" customFormat="1" ht="12.75" hidden="1" customHeight="1">
      <c r="A231" s="122" t="s">
        <v>262</v>
      </c>
      <c r="C231" s="122" t="s">
        <v>132</v>
      </c>
      <c r="E231" s="121">
        <v>0</v>
      </c>
      <c r="F231" s="121"/>
      <c r="G231" s="121">
        <v>0</v>
      </c>
      <c r="H231" s="121"/>
      <c r="I231" s="121">
        <v>0</v>
      </c>
      <c r="J231" s="121"/>
      <c r="K231" s="121">
        <v>0</v>
      </c>
      <c r="L231" s="121"/>
      <c r="M231" s="121">
        <v>0</v>
      </c>
      <c r="N231" s="121"/>
      <c r="O231" s="121">
        <v>0</v>
      </c>
      <c r="P231" s="121"/>
      <c r="Q231" s="121">
        <v>0</v>
      </c>
      <c r="R231" s="121"/>
      <c r="S231" s="121">
        <v>0</v>
      </c>
      <c r="T231" s="121"/>
      <c r="U231" s="121">
        <v>0</v>
      </c>
      <c r="V231" s="121"/>
      <c r="W231" s="121">
        <v>0</v>
      </c>
      <c r="X231" s="121"/>
      <c r="Y231" s="121">
        <v>0</v>
      </c>
      <c r="Z231" s="121"/>
      <c r="AA231" s="121">
        <f t="shared" si="11"/>
        <v>0</v>
      </c>
      <c r="AB231" s="121"/>
      <c r="AC231" s="121">
        <f t="shared" si="12"/>
        <v>0</v>
      </c>
      <c r="AE231" s="122">
        <f>SUM(AE228:AE230)</f>
        <v>704013</v>
      </c>
    </row>
    <row r="232" spans="1:31" s="47" customFormat="1" ht="12.75" customHeight="1">
      <c r="A232" s="47" t="s">
        <v>263</v>
      </c>
      <c r="C232" s="47" t="s">
        <v>53</v>
      </c>
      <c r="E232" s="44">
        <v>2814984</v>
      </c>
      <c r="F232" s="44"/>
      <c r="G232" s="44">
        <v>108825</v>
      </c>
      <c r="H232" s="44"/>
      <c r="I232" s="44">
        <v>1659482</v>
      </c>
      <c r="J232" s="44"/>
      <c r="K232" s="44">
        <f>1064928+362949+1613748</f>
        <v>3041625</v>
      </c>
      <c r="L232" s="44"/>
      <c r="M232" s="44">
        <v>6480155</v>
      </c>
      <c r="N232" s="44"/>
      <c r="O232" s="44">
        <v>99000</v>
      </c>
      <c r="P232" s="44"/>
      <c r="Q232" s="44">
        <v>4495881</v>
      </c>
      <c r="R232" s="44"/>
      <c r="S232" s="44">
        <v>109972</v>
      </c>
      <c r="T232" s="44"/>
      <c r="U232" s="44">
        <v>201433</v>
      </c>
      <c r="V232" s="44"/>
      <c r="W232" s="44">
        <v>0</v>
      </c>
      <c r="X232" s="44"/>
      <c r="Y232" s="44">
        <v>0</v>
      </c>
      <c r="Z232" s="44"/>
      <c r="AA232" s="44">
        <f t="shared" si="11"/>
        <v>14428066</v>
      </c>
      <c r="AB232" s="44"/>
      <c r="AC232" s="44">
        <f t="shared" si="12"/>
        <v>19011357</v>
      </c>
      <c r="AE232" s="44">
        <f>+AE231+AA228</f>
        <v>5476662</v>
      </c>
    </row>
    <row r="233" spans="1:31" s="47" customFormat="1" ht="12" customHeight="1">
      <c r="A233" s="47" t="s">
        <v>264</v>
      </c>
      <c r="C233" s="47" t="s">
        <v>239</v>
      </c>
      <c r="E233" s="44">
        <v>860041</v>
      </c>
      <c r="F233" s="44"/>
      <c r="G233" s="44">
        <v>632254</v>
      </c>
      <c r="H233" s="44"/>
      <c r="I233" s="44">
        <v>1493506</v>
      </c>
      <c r="J233" s="44"/>
      <c r="K233" s="44">
        <f>376810+95200</f>
        <v>472010</v>
      </c>
      <c r="L233" s="44"/>
      <c r="M233" s="44">
        <v>2244992</v>
      </c>
      <c r="N233" s="44"/>
      <c r="O233" s="44">
        <f>645090+85710</f>
        <v>730800</v>
      </c>
      <c r="P233" s="44"/>
      <c r="Q233" s="44">
        <v>585145</v>
      </c>
      <c r="R233" s="44"/>
      <c r="S233" s="44">
        <v>75658</v>
      </c>
      <c r="T233" s="44"/>
      <c r="U233" s="44">
        <f>5663+76118</f>
        <v>81781</v>
      </c>
      <c r="V233" s="44"/>
      <c r="W233" s="44">
        <v>-646732</v>
      </c>
      <c r="X233" s="44"/>
      <c r="Y233" s="44">
        <v>0</v>
      </c>
      <c r="Z233" s="44"/>
      <c r="AA233" s="44">
        <f t="shared" si="11"/>
        <v>3543654</v>
      </c>
      <c r="AB233" s="44"/>
      <c r="AC233" s="44">
        <f t="shared" si="12"/>
        <v>6529455</v>
      </c>
    </row>
    <row r="234" spans="1:31" s="47" customFormat="1" ht="12.75" customHeight="1">
      <c r="A234" s="47" t="s">
        <v>111</v>
      </c>
      <c r="C234" s="47" t="s">
        <v>80</v>
      </c>
      <c r="E234" s="44">
        <v>4387257</v>
      </c>
      <c r="F234" s="44"/>
      <c r="G234" s="44">
        <v>7472558</v>
      </c>
      <c r="H234" s="44"/>
      <c r="I234" s="44">
        <v>2647295</v>
      </c>
      <c r="J234" s="44"/>
      <c r="K234" s="44">
        <f>1129724+118708+116983</f>
        <v>1365415</v>
      </c>
      <c r="L234" s="44"/>
      <c r="M234" s="44">
        <v>16247214</v>
      </c>
      <c r="N234" s="44"/>
      <c r="O234" s="44">
        <v>0</v>
      </c>
      <c r="P234" s="44"/>
      <c r="Q234" s="44">
        <v>3375874</v>
      </c>
      <c r="R234" s="44"/>
      <c r="S234" s="44">
        <v>111444</v>
      </c>
      <c r="T234" s="44"/>
      <c r="U234" s="44">
        <v>716079</v>
      </c>
      <c r="V234" s="44"/>
      <c r="W234" s="44">
        <v>-260092</v>
      </c>
      <c r="X234" s="44"/>
      <c r="Y234" s="44">
        <v>0</v>
      </c>
      <c r="Z234" s="44"/>
      <c r="AA234" s="44">
        <f t="shared" si="11"/>
        <v>21555934</v>
      </c>
      <c r="AB234" s="44"/>
      <c r="AC234" s="44">
        <f t="shared" si="12"/>
        <v>36063044</v>
      </c>
    </row>
    <row r="235" spans="1:31" s="47" customFormat="1" ht="12.75" customHeight="1">
      <c r="A235" s="47" t="s">
        <v>265</v>
      </c>
      <c r="C235" s="47" t="s">
        <v>27</v>
      </c>
      <c r="E235" s="44">
        <v>986140</v>
      </c>
      <c r="F235" s="44"/>
      <c r="G235" s="44">
        <v>852850</v>
      </c>
      <c r="H235" s="44"/>
      <c r="I235" s="44">
        <v>356275</v>
      </c>
      <c r="J235" s="44"/>
      <c r="K235" s="44">
        <f>801710+406829+598037</f>
        <v>1806576</v>
      </c>
      <c r="L235" s="44"/>
      <c r="M235" s="44">
        <v>13158561</v>
      </c>
      <c r="N235" s="44"/>
      <c r="O235" s="44">
        <v>0</v>
      </c>
      <c r="P235" s="44"/>
      <c r="Q235" s="44">
        <v>1478918</v>
      </c>
      <c r="R235" s="44"/>
      <c r="S235" s="44">
        <v>1742</v>
      </c>
      <c r="T235" s="44"/>
      <c r="U235" s="44">
        <v>166600</v>
      </c>
      <c r="V235" s="44"/>
      <c r="W235" s="44">
        <v>0</v>
      </c>
      <c r="X235" s="44"/>
      <c r="Y235" s="44">
        <v>0</v>
      </c>
      <c r="Z235" s="44"/>
      <c r="AA235" s="44">
        <f t="shared" si="11"/>
        <v>16612397</v>
      </c>
      <c r="AB235" s="44"/>
      <c r="AC235" s="44">
        <f t="shared" si="12"/>
        <v>18807662</v>
      </c>
    </row>
    <row r="236" spans="1:31" s="47" customFormat="1" ht="12.75" customHeight="1">
      <c r="A236" s="47" t="s">
        <v>40</v>
      </c>
      <c r="C236" s="47" t="s">
        <v>451</v>
      </c>
      <c r="E236" s="44">
        <v>1580128</v>
      </c>
      <c r="F236" s="44"/>
      <c r="G236" s="44">
        <v>549334</v>
      </c>
      <c r="H236" s="44"/>
      <c r="I236" s="44">
        <v>580556</v>
      </c>
      <c r="J236" s="44"/>
      <c r="K236" s="44">
        <v>1489552</v>
      </c>
      <c r="L236" s="44"/>
      <c r="M236" s="44">
        <v>4951227</v>
      </c>
      <c r="N236" s="44"/>
      <c r="O236" s="44">
        <v>757649</v>
      </c>
      <c r="P236" s="44"/>
      <c r="Q236" s="44">
        <v>1633223</v>
      </c>
      <c r="R236" s="44"/>
      <c r="S236" s="44">
        <v>37497</v>
      </c>
      <c r="T236" s="44"/>
      <c r="U236" s="44">
        <f>270350+1600</f>
        <v>271950</v>
      </c>
      <c r="V236" s="44"/>
      <c r="W236" s="44">
        <v>-36000</v>
      </c>
      <c r="X236" s="44"/>
      <c r="Y236" s="44">
        <v>0</v>
      </c>
      <c r="Z236" s="44"/>
      <c r="AA236" s="44">
        <f t="shared" si="11"/>
        <v>9105098</v>
      </c>
      <c r="AB236" s="44"/>
      <c r="AC236" s="44">
        <f t="shared" si="12"/>
        <v>11815116</v>
      </c>
    </row>
    <row r="237" spans="1:31" s="47" customFormat="1" ht="12.75" customHeight="1">
      <c r="A237" s="47" t="s">
        <v>266</v>
      </c>
      <c r="C237" s="47" t="s">
        <v>267</v>
      </c>
      <c r="E237" s="44">
        <v>635770</v>
      </c>
      <c r="F237" s="44"/>
      <c r="G237" s="44">
        <v>980875</v>
      </c>
      <c r="H237" s="44"/>
      <c r="I237" s="44">
        <v>561373</v>
      </c>
      <c r="J237" s="44"/>
      <c r="K237" s="44">
        <v>253405</v>
      </c>
      <c r="L237" s="44"/>
      <c r="M237" s="44">
        <v>3069261</v>
      </c>
      <c r="N237" s="44"/>
      <c r="O237" s="44">
        <v>0</v>
      </c>
      <c r="P237" s="44"/>
      <c r="Q237" s="44">
        <v>469388</v>
      </c>
      <c r="R237" s="44"/>
      <c r="S237" s="44">
        <v>7721</v>
      </c>
      <c r="T237" s="44"/>
      <c r="U237" s="44">
        <v>257021</v>
      </c>
      <c r="V237" s="44"/>
      <c r="W237" s="44">
        <v>-49786</v>
      </c>
      <c r="X237" s="44"/>
      <c r="Y237" s="44">
        <v>0</v>
      </c>
      <c r="Z237" s="44"/>
      <c r="AA237" s="44">
        <f t="shared" si="11"/>
        <v>4007010</v>
      </c>
      <c r="AB237" s="44"/>
      <c r="AC237" s="44">
        <f t="shared" si="12"/>
        <v>6185028</v>
      </c>
    </row>
    <row r="238" spans="1:31" s="47" customFormat="1" ht="12.75" customHeight="1">
      <c r="A238" s="47" t="s">
        <v>268</v>
      </c>
      <c r="C238" s="47" t="s">
        <v>269</v>
      </c>
      <c r="E238" s="44">
        <v>167216</v>
      </c>
      <c r="F238" s="44"/>
      <c r="G238" s="44">
        <v>255997</v>
      </c>
      <c r="H238" s="44"/>
      <c r="I238" s="44">
        <v>0</v>
      </c>
      <c r="J238" s="44"/>
      <c r="K238" s="44">
        <f>206545+497942</f>
        <v>704487</v>
      </c>
      <c r="L238" s="44"/>
      <c r="M238" s="44">
        <v>1234912</v>
      </c>
      <c r="N238" s="44"/>
      <c r="O238" s="44">
        <v>0</v>
      </c>
      <c r="P238" s="44"/>
      <c r="Q238" s="44">
        <v>783975</v>
      </c>
      <c r="R238" s="44"/>
      <c r="S238" s="44">
        <v>2929</v>
      </c>
      <c r="T238" s="44"/>
      <c r="U238" s="44">
        <v>66131</v>
      </c>
      <c r="V238" s="44"/>
      <c r="W238" s="44">
        <v>-125000</v>
      </c>
      <c r="X238" s="44"/>
      <c r="Y238" s="44">
        <v>0</v>
      </c>
      <c r="Z238" s="44"/>
      <c r="AA238" s="44">
        <f t="shared" si="11"/>
        <v>2667434</v>
      </c>
      <c r="AB238" s="44"/>
      <c r="AC238" s="44">
        <f t="shared" si="12"/>
        <v>3090647</v>
      </c>
    </row>
    <row r="239" spans="1:31" s="47" customFormat="1" ht="12.75" customHeight="1">
      <c r="A239" s="47" t="s">
        <v>270</v>
      </c>
      <c r="C239" s="47" t="s">
        <v>136</v>
      </c>
      <c r="E239" s="44">
        <v>341526</v>
      </c>
      <c r="F239" s="44"/>
      <c r="G239" s="44">
        <v>1101816</v>
      </c>
      <c r="H239" s="44"/>
      <c r="I239" s="44">
        <v>0</v>
      </c>
      <c r="J239" s="44"/>
      <c r="K239" s="44">
        <f>259346+11689+292211+142226</f>
        <v>705472</v>
      </c>
      <c r="L239" s="44"/>
      <c r="M239" s="44">
        <v>1013452</v>
      </c>
      <c r="N239" s="44"/>
      <c r="O239" s="44">
        <v>0</v>
      </c>
      <c r="P239" s="44"/>
      <c r="Q239" s="44">
        <v>186106</v>
      </c>
      <c r="R239" s="44"/>
      <c r="S239" s="44">
        <v>108702</v>
      </c>
      <c r="T239" s="44"/>
      <c r="U239" s="44">
        <v>108161</v>
      </c>
      <c r="V239" s="44"/>
      <c r="W239" s="44">
        <v>0</v>
      </c>
      <c r="X239" s="44"/>
      <c r="Y239" s="44">
        <v>0</v>
      </c>
      <c r="Z239" s="44"/>
      <c r="AA239" s="44">
        <f t="shared" si="11"/>
        <v>2121893</v>
      </c>
      <c r="AB239" s="44"/>
      <c r="AC239" s="44">
        <f t="shared" si="12"/>
        <v>3565235</v>
      </c>
    </row>
    <row r="240" spans="1:31" s="47" customFormat="1" ht="12.75" customHeight="1">
      <c r="A240" s="47" t="s">
        <v>271</v>
      </c>
      <c r="C240" s="47" t="s">
        <v>66</v>
      </c>
      <c r="E240" s="44">
        <v>1529166</v>
      </c>
      <c r="F240" s="44"/>
      <c r="G240" s="44">
        <v>39437</v>
      </c>
      <c r="H240" s="44"/>
      <c r="I240" s="44">
        <v>1941815</v>
      </c>
      <c r="J240" s="44"/>
      <c r="K240" s="44">
        <f>1036381+101140</f>
        <v>1137521</v>
      </c>
      <c r="L240" s="44"/>
      <c r="M240" s="44">
        <v>6021025</v>
      </c>
      <c r="N240" s="44"/>
      <c r="O240" s="44">
        <v>0</v>
      </c>
      <c r="P240" s="44"/>
      <c r="Q240" s="44">
        <v>591985</v>
      </c>
      <c r="R240" s="44"/>
      <c r="S240" s="44">
        <v>26700</v>
      </c>
      <c r="T240" s="44"/>
      <c r="U240" s="44">
        <v>532444</v>
      </c>
      <c r="V240" s="44"/>
      <c r="W240" s="44">
        <v>-31623</v>
      </c>
      <c r="X240" s="44"/>
      <c r="Y240" s="44">
        <v>0</v>
      </c>
      <c r="Z240" s="44"/>
      <c r="AA240" s="44">
        <f t="shared" si="11"/>
        <v>8278052</v>
      </c>
      <c r="AB240" s="44"/>
      <c r="AC240" s="44">
        <f t="shared" si="12"/>
        <v>11788470</v>
      </c>
    </row>
    <row r="241" spans="1:29" s="47" customFormat="1" ht="12.75" customHeight="1">
      <c r="A241" s="47" t="s">
        <v>272</v>
      </c>
      <c r="C241" s="47" t="s">
        <v>43</v>
      </c>
      <c r="E241" s="44">
        <v>6227596</v>
      </c>
      <c r="F241" s="44"/>
      <c r="G241" s="44">
        <v>5582071</v>
      </c>
      <c r="H241" s="44"/>
      <c r="I241" s="44">
        <v>3562453</v>
      </c>
      <c r="J241" s="44"/>
      <c r="K241" s="44">
        <f>3061901+7035668+189112</f>
        <v>10286681</v>
      </c>
      <c r="L241" s="44"/>
      <c r="M241" s="44">
        <f>31525987+4298320</f>
        <v>35824307</v>
      </c>
      <c r="N241" s="44"/>
      <c r="O241" s="44">
        <f>546232+2607974</f>
        <v>3154206</v>
      </c>
      <c r="P241" s="44"/>
      <c r="Q241" s="44">
        <v>5501341</v>
      </c>
      <c r="R241" s="44"/>
      <c r="S241" s="44">
        <v>922228</v>
      </c>
      <c r="T241" s="44"/>
      <c r="U241" s="44">
        <f>313542+233482</f>
        <v>547024</v>
      </c>
      <c r="V241" s="44"/>
      <c r="W241" s="44">
        <v>-125000</v>
      </c>
      <c r="X241" s="44" t="s">
        <v>450</v>
      </c>
      <c r="Y241" s="44">
        <v>0</v>
      </c>
      <c r="Z241" s="44"/>
      <c r="AA241" s="44">
        <f t="shared" si="11"/>
        <v>56110787</v>
      </c>
      <c r="AB241" s="44"/>
      <c r="AC241" s="44">
        <f t="shared" si="12"/>
        <v>71482907</v>
      </c>
    </row>
    <row r="242" spans="1:29" s="47" customFormat="1" ht="12.75" customHeight="1">
      <c r="A242" s="47" t="s">
        <v>273</v>
      </c>
      <c r="C242" s="47" t="s">
        <v>27</v>
      </c>
      <c r="E242" s="44">
        <v>4775322</v>
      </c>
      <c r="F242" s="44"/>
      <c r="G242" s="44">
        <v>1813317</v>
      </c>
      <c r="H242" s="44"/>
      <c r="I242" s="44">
        <v>2572627</v>
      </c>
      <c r="J242" s="44"/>
      <c r="K242" s="44">
        <f>9875483+370331+370331+1110992+120758</f>
        <v>11847895</v>
      </c>
      <c r="L242" s="44"/>
      <c r="M242" s="44">
        <f>12617962+53841+835022+5506156</f>
        <v>19012981</v>
      </c>
      <c r="N242" s="44"/>
      <c r="O242" s="44">
        <f>185528+398885+479845</f>
        <v>1064258</v>
      </c>
      <c r="P242" s="44"/>
      <c r="Q242" s="44">
        <v>4460061</v>
      </c>
      <c r="R242" s="44"/>
      <c r="S242" s="44">
        <v>264472</v>
      </c>
      <c r="T242" s="44"/>
      <c r="U242" s="44">
        <f>57300+499937</f>
        <v>557237</v>
      </c>
      <c r="V242" s="44"/>
      <c r="W242" s="44">
        <f>16661-6735</f>
        <v>9926</v>
      </c>
      <c r="X242" s="44"/>
      <c r="Y242" s="44">
        <v>0</v>
      </c>
      <c r="Z242" s="44"/>
      <c r="AA242" s="44">
        <f t="shared" si="11"/>
        <v>37216830</v>
      </c>
      <c r="AB242" s="44"/>
      <c r="AC242" s="44">
        <f t="shared" si="12"/>
        <v>46378096</v>
      </c>
    </row>
    <row r="243" spans="1:29" s="47" customFormat="1" ht="12.75" customHeight="1">
      <c r="A243" s="47" t="s">
        <v>274</v>
      </c>
      <c r="C243" s="47" t="s">
        <v>43</v>
      </c>
      <c r="E243" s="44">
        <v>1843009</v>
      </c>
      <c r="F243" s="44"/>
      <c r="G243" s="44">
        <v>2033366</v>
      </c>
      <c r="H243" s="44"/>
      <c r="I243" s="44">
        <v>1554170</v>
      </c>
      <c r="J243" s="44"/>
      <c r="K243" s="44">
        <v>456971</v>
      </c>
      <c r="L243" s="44"/>
      <c r="M243" s="44">
        <v>16783672</v>
      </c>
      <c r="N243" s="44"/>
      <c r="O243" s="44">
        <f>83694+449492</f>
        <v>533186</v>
      </c>
      <c r="P243" s="44"/>
      <c r="Q243" s="44">
        <v>1621629</v>
      </c>
      <c r="R243" s="44"/>
      <c r="S243" s="44">
        <v>79005</v>
      </c>
      <c r="T243" s="44"/>
      <c r="U243" s="44">
        <v>349224</v>
      </c>
      <c r="V243" s="44"/>
      <c r="W243" s="44">
        <v>0</v>
      </c>
      <c r="X243" s="44"/>
      <c r="Y243" s="44">
        <v>0</v>
      </c>
      <c r="Z243" s="44"/>
      <c r="AA243" s="44">
        <f t="shared" si="11"/>
        <v>19823687</v>
      </c>
      <c r="AB243" s="44"/>
      <c r="AC243" s="44">
        <f t="shared" si="12"/>
        <v>25254232</v>
      </c>
    </row>
    <row r="244" spans="1:29" s="47" customFormat="1" ht="12.75" customHeight="1">
      <c r="A244" s="47" t="s">
        <v>275</v>
      </c>
      <c r="C244" s="47" t="s">
        <v>92</v>
      </c>
      <c r="E244" s="44">
        <v>1617487</v>
      </c>
      <c r="F244" s="44"/>
      <c r="G244" s="44">
        <v>880877</v>
      </c>
      <c r="H244" s="44"/>
      <c r="I244" s="44">
        <v>335644</v>
      </c>
      <c r="J244" s="44"/>
      <c r="K244" s="44">
        <v>2760435</v>
      </c>
      <c r="L244" s="44"/>
      <c r="M244" s="44">
        <v>10541282</v>
      </c>
      <c r="N244" s="44"/>
      <c r="O244" s="44">
        <v>215152</v>
      </c>
      <c r="P244" s="44"/>
      <c r="Q244" s="44">
        <v>2950150</v>
      </c>
      <c r="R244" s="44"/>
      <c r="S244" s="44">
        <v>22398</v>
      </c>
      <c r="T244" s="44"/>
      <c r="U244" s="44">
        <v>152474</v>
      </c>
      <c r="V244" s="44"/>
      <c r="W244" s="44">
        <v>0</v>
      </c>
      <c r="X244" s="44"/>
      <c r="Y244" s="44">
        <v>0</v>
      </c>
      <c r="Z244" s="44"/>
      <c r="AA244" s="44">
        <f t="shared" si="11"/>
        <v>16641891</v>
      </c>
      <c r="AB244" s="44"/>
      <c r="AC244" s="44">
        <f t="shared" si="12"/>
        <v>19475899</v>
      </c>
    </row>
    <row r="245" spans="1:29" s="47" customFormat="1" ht="12.75" customHeight="1">
      <c r="A245" s="47" t="s">
        <v>276</v>
      </c>
      <c r="C245" s="47" t="s">
        <v>38</v>
      </c>
      <c r="E245" s="44">
        <v>825097</v>
      </c>
      <c r="F245" s="44"/>
      <c r="G245" s="44">
        <v>533196</v>
      </c>
      <c r="H245" s="44"/>
      <c r="I245" s="44">
        <v>1772400</v>
      </c>
      <c r="J245" s="44"/>
      <c r="K245" s="44">
        <f>230267+45315+23316+74117</f>
        <v>373015</v>
      </c>
      <c r="L245" s="44"/>
      <c r="M245" s="44">
        <f>1506500+1007732+558321</f>
        <v>3072553</v>
      </c>
      <c r="N245" s="44"/>
      <c r="O245" s="44">
        <v>0</v>
      </c>
      <c r="P245" s="44"/>
      <c r="Q245" s="44">
        <v>523357</v>
      </c>
      <c r="R245" s="44"/>
      <c r="S245" s="44">
        <v>20956</v>
      </c>
      <c r="T245" s="44"/>
      <c r="U245" s="44">
        <v>26894</v>
      </c>
      <c r="V245" s="44"/>
      <c r="W245" s="44">
        <v>-25134</v>
      </c>
      <c r="X245" s="44"/>
      <c r="Y245" s="44">
        <v>0</v>
      </c>
      <c r="Z245" s="44"/>
      <c r="AA245" s="44">
        <f t="shared" si="11"/>
        <v>3991641</v>
      </c>
      <c r="AB245" s="44"/>
      <c r="AC245" s="44">
        <f t="shared" si="12"/>
        <v>7122334</v>
      </c>
    </row>
    <row r="246" spans="1:29" s="47" customFormat="1" ht="12.75" customHeight="1">
      <c r="A246" s="47" t="s">
        <v>277</v>
      </c>
      <c r="C246" s="47" t="s">
        <v>92</v>
      </c>
      <c r="E246" s="44">
        <v>5108310</v>
      </c>
      <c r="F246" s="44"/>
      <c r="G246" s="44">
        <v>112956</v>
      </c>
      <c r="H246" s="44"/>
      <c r="I246" s="44">
        <v>8963623</v>
      </c>
      <c r="J246" s="44"/>
      <c r="K246" s="44">
        <f>1769012+1541037+956899+110861</f>
        <v>4377809</v>
      </c>
      <c r="L246" s="44"/>
      <c r="M246" s="44">
        <f>13759122+450000</f>
        <v>14209122</v>
      </c>
      <c r="N246" s="44"/>
      <c r="O246" s="44">
        <v>0</v>
      </c>
      <c r="P246" s="44"/>
      <c r="Q246" s="44">
        <v>4795991</v>
      </c>
      <c r="R246" s="44"/>
      <c r="S246" s="44">
        <v>236115</v>
      </c>
      <c r="T246" s="44"/>
      <c r="U246" s="44">
        <f>23434+31463</f>
        <v>54897</v>
      </c>
      <c r="V246" s="44"/>
      <c r="W246" s="44">
        <v>-145000</v>
      </c>
      <c r="X246" s="44"/>
      <c r="Y246" s="44">
        <v>0</v>
      </c>
      <c r="Z246" s="44"/>
      <c r="AA246" s="44">
        <f t="shared" si="11"/>
        <v>23528934</v>
      </c>
      <c r="AB246" s="44"/>
      <c r="AC246" s="44">
        <f t="shared" si="12"/>
        <v>37713823</v>
      </c>
    </row>
    <row r="247" spans="1:29" s="47" customFormat="1" ht="12.75" customHeight="1">
      <c r="A247" s="47" t="s">
        <v>278</v>
      </c>
      <c r="C247" s="47" t="s">
        <v>92</v>
      </c>
      <c r="E247" s="44">
        <v>3317432</v>
      </c>
      <c r="F247" s="44"/>
      <c r="G247" s="44">
        <v>996158</v>
      </c>
      <c r="H247" s="44"/>
      <c r="I247" s="44">
        <v>747485</v>
      </c>
      <c r="J247" s="44"/>
      <c r="K247" s="44">
        <f>567615+120273+76361+458165+626571</f>
        <v>1848985</v>
      </c>
      <c r="L247" s="44"/>
      <c r="M247" s="44">
        <v>3161682</v>
      </c>
      <c r="N247" s="44"/>
      <c r="O247" s="44">
        <f>41804+108399+88887</f>
        <v>239090</v>
      </c>
      <c r="P247" s="44"/>
      <c r="Q247" s="44">
        <v>882679</v>
      </c>
      <c r="R247" s="44"/>
      <c r="S247" s="44">
        <v>9751</v>
      </c>
      <c r="T247" s="44"/>
      <c r="U247" s="44">
        <v>76737</v>
      </c>
      <c r="V247" s="44"/>
      <c r="W247" s="44">
        <v>-293012</v>
      </c>
      <c r="X247" s="44"/>
      <c r="Y247" s="44">
        <v>0</v>
      </c>
      <c r="Z247" s="44"/>
      <c r="AA247" s="44">
        <f t="shared" si="11"/>
        <v>5925912</v>
      </c>
      <c r="AB247" s="44"/>
      <c r="AC247" s="44">
        <f t="shared" si="12"/>
        <v>10986987</v>
      </c>
    </row>
    <row r="248" spans="1:29" s="47" customFormat="1" ht="12.75" customHeight="1">
      <c r="A248" s="47" t="s">
        <v>279</v>
      </c>
      <c r="C248" s="47" t="s">
        <v>92</v>
      </c>
      <c r="E248" s="44">
        <v>971835</v>
      </c>
      <c r="F248" s="44"/>
      <c r="G248" s="44">
        <v>97280</v>
      </c>
      <c r="H248" s="44"/>
      <c r="I248" s="44">
        <v>95760</v>
      </c>
      <c r="J248" s="44"/>
      <c r="K248" s="44">
        <v>4329762</v>
      </c>
      <c r="L248" s="44"/>
      <c r="M248" s="44">
        <v>2082166</v>
      </c>
      <c r="N248" s="44"/>
      <c r="O248" s="44">
        <v>0</v>
      </c>
      <c r="P248" s="44"/>
      <c r="Q248" s="44">
        <v>3543883</v>
      </c>
      <c r="R248" s="44"/>
      <c r="S248" s="44">
        <v>19514</v>
      </c>
      <c r="T248" s="44"/>
      <c r="U248" s="44">
        <v>51695</v>
      </c>
      <c r="V248" s="44"/>
      <c r="W248" s="44">
        <v>0</v>
      </c>
      <c r="X248" s="44"/>
      <c r="Y248" s="44">
        <v>0</v>
      </c>
      <c r="Z248" s="44"/>
      <c r="AA248" s="44">
        <f t="shared" si="11"/>
        <v>10027020</v>
      </c>
      <c r="AB248" s="44"/>
      <c r="AC248" s="44">
        <f t="shared" si="12"/>
        <v>11191895</v>
      </c>
    </row>
    <row r="249" spans="1:29" s="47" customFormat="1" ht="12.75" customHeight="1">
      <c r="A249" s="47" t="s">
        <v>280</v>
      </c>
      <c r="C249" s="47" t="s">
        <v>281</v>
      </c>
      <c r="E249" s="44">
        <v>2804215</v>
      </c>
      <c r="F249" s="44"/>
      <c r="G249" s="44">
        <v>1347802</v>
      </c>
      <c r="H249" s="44"/>
      <c r="I249" s="44">
        <v>163604</v>
      </c>
      <c r="J249" s="44"/>
      <c r="K249" s="44">
        <f>606379+1339580+199259+360947</f>
        <v>2506165</v>
      </c>
      <c r="L249" s="44"/>
      <c r="M249" s="44">
        <v>4191767</v>
      </c>
      <c r="N249" s="44"/>
      <c r="O249" s="44">
        <v>0</v>
      </c>
      <c r="P249" s="44"/>
      <c r="Q249" s="44">
        <v>1302629</v>
      </c>
      <c r="R249" s="44"/>
      <c r="S249" s="44">
        <v>32412</v>
      </c>
      <c r="T249" s="44"/>
      <c r="U249" s="44">
        <v>320098</v>
      </c>
      <c r="V249" s="44"/>
      <c r="W249" s="44">
        <v>-13650</v>
      </c>
      <c r="X249" s="44"/>
      <c r="Y249" s="44">
        <v>0</v>
      </c>
      <c r="Z249" s="44"/>
      <c r="AA249" s="44">
        <f t="shared" si="11"/>
        <v>8339421</v>
      </c>
      <c r="AB249" s="44"/>
      <c r="AC249" s="44">
        <f t="shared" si="12"/>
        <v>12655042</v>
      </c>
    </row>
    <row r="250" spans="1:29" s="47" customFormat="1" ht="12.75" customHeight="1">
      <c r="A250" s="47" t="s">
        <v>282</v>
      </c>
      <c r="C250" s="47" t="s">
        <v>199</v>
      </c>
      <c r="E250" s="44">
        <v>1749871</v>
      </c>
      <c r="F250" s="44"/>
      <c r="G250" s="44">
        <v>2117192</v>
      </c>
      <c r="H250" s="44"/>
      <c r="I250" s="44">
        <v>4194579</v>
      </c>
      <c r="J250" s="44"/>
      <c r="K250" s="44">
        <v>2520770</v>
      </c>
      <c r="L250" s="44"/>
      <c r="M250" s="44">
        <v>8693074</v>
      </c>
      <c r="N250" s="44"/>
      <c r="O250" s="44">
        <f>894325+181184</f>
        <v>1075509</v>
      </c>
      <c r="P250" s="44"/>
      <c r="Q250" s="44">
        <v>1615590</v>
      </c>
      <c r="R250" s="44"/>
      <c r="S250" s="44">
        <v>297974</v>
      </c>
      <c r="T250" s="44"/>
      <c r="U250" s="44">
        <f>56160+294812</f>
        <v>350972</v>
      </c>
      <c r="V250" s="44"/>
      <c r="W250" s="44">
        <v>835387</v>
      </c>
      <c r="X250" s="44"/>
      <c r="Y250" s="44">
        <v>0</v>
      </c>
      <c r="Z250" s="44"/>
      <c r="AA250" s="44">
        <f t="shared" si="11"/>
        <v>15389276</v>
      </c>
      <c r="AB250" s="44"/>
      <c r="AC250" s="44">
        <f t="shared" si="12"/>
        <v>23450918</v>
      </c>
    </row>
    <row r="251" spans="1:29" s="47" customFormat="1" ht="12.75" customHeight="1">
      <c r="A251" s="47" t="s">
        <v>283</v>
      </c>
      <c r="C251" s="47" t="s">
        <v>43</v>
      </c>
      <c r="E251" s="44">
        <v>3687200</v>
      </c>
      <c r="F251" s="44"/>
      <c r="G251" s="44">
        <v>800724</v>
      </c>
      <c r="H251" s="44"/>
      <c r="I251" s="44">
        <v>0</v>
      </c>
      <c r="J251" s="44"/>
      <c r="K251" s="44">
        <v>2866319</v>
      </c>
      <c r="L251" s="44"/>
      <c r="M251" s="44">
        <v>16640885</v>
      </c>
      <c r="N251" s="44"/>
      <c r="O251" s="44">
        <v>0</v>
      </c>
      <c r="P251" s="44"/>
      <c r="Q251" s="44">
        <v>1496600</v>
      </c>
      <c r="R251" s="44"/>
      <c r="S251" s="44">
        <v>95344</v>
      </c>
      <c r="T251" s="44"/>
      <c r="U251" s="44">
        <v>435416</v>
      </c>
      <c r="V251" s="44"/>
      <c r="W251" s="44">
        <v>0</v>
      </c>
      <c r="X251" s="44"/>
      <c r="Y251" s="44">
        <v>0</v>
      </c>
      <c r="Z251" s="44"/>
      <c r="AA251" s="44">
        <f t="shared" si="11"/>
        <v>21534564</v>
      </c>
      <c r="AB251" s="44"/>
      <c r="AC251" s="44">
        <f t="shared" si="12"/>
        <v>26022488</v>
      </c>
    </row>
    <row r="252" spans="1:29" s="47" customFormat="1" ht="12.75" customHeight="1">
      <c r="A252" s="47" t="s">
        <v>284</v>
      </c>
      <c r="C252" s="47" t="s">
        <v>45</v>
      </c>
      <c r="E252" s="44">
        <v>1128288</v>
      </c>
      <c r="F252" s="44"/>
      <c r="G252" s="44">
        <v>450821</v>
      </c>
      <c r="H252" s="44"/>
      <c r="I252" s="44">
        <v>1383796</v>
      </c>
      <c r="J252" s="44"/>
      <c r="K252" s="44">
        <v>2722396</v>
      </c>
      <c r="L252" s="44"/>
      <c r="M252" s="44">
        <v>3486003</v>
      </c>
      <c r="N252" s="44"/>
      <c r="O252" s="44">
        <v>0</v>
      </c>
      <c r="P252" s="44"/>
      <c r="Q252" s="44">
        <v>1101306</v>
      </c>
      <c r="R252" s="44"/>
      <c r="S252" s="44">
        <v>67371</v>
      </c>
      <c r="T252" s="44"/>
      <c r="U252" s="44">
        <v>8642</v>
      </c>
      <c r="V252" s="44"/>
      <c r="W252" s="44">
        <v>0</v>
      </c>
      <c r="X252" s="44"/>
      <c r="Y252" s="44">
        <v>0</v>
      </c>
      <c r="Z252" s="44"/>
      <c r="AA252" s="44">
        <f t="shared" si="11"/>
        <v>7385718</v>
      </c>
      <c r="AB252" s="44"/>
      <c r="AC252" s="44">
        <f t="shared" si="12"/>
        <v>10348623</v>
      </c>
    </row>
    <row r="253" spans="1:29" s="47" customFormat="1" ht="12.75" customHeight="1">
      <c r="A253" s="47" t="s">
        <v>285</v>
      </c>
      <c r="C253" s="47" t="s">
        <v>30</v>
      </c>
      <c r="E253" s="44">
        <v>3764775</v>
      </c>
      <c r="F253" s="44"/>
      <c r="G253" s="44">
        <v>459403</v>
      </c>
      <c r="H253" s="44"/>
      <c r="I253" s="44">
        <v>1098518</v>
      </c>
      <c r="J253" s="44"/>
      <c r="K253" s="44">
        <v>1582440</v>
      </c>
      <c r="L253" s="44"/>
      <c r="M253" s="44">
        <v>8272340</v>
      </c>
      <c r="N253" s="44"/>
      <c r="O253" s="44">
        <f>39052+1459124</f>
        <v>1498176</v>
      </c>
      <c r="P253" s="44"/>
      <c r="Q253" s="44">
        <v>1755690</v>
      </c>
      <c r="R253" s="44"/>
      <c r="S253" s="44">
        <v>80055</v>
      </c>
      <c r="T253" s="44"/>
      <c r="U253" s="44">
        <v>209174</v>
      </c>
      <c r="V253" s="44"/>
      <c r="W253" s="44">
        <v>-62275</v>
      </c>
      <c r="X253" s="44"/>
      <c r="Y253" s="44">
        <v>0</v>
      </c>
      <c r="Z253" s="44"/>
      <c r="AA253" s="44">
        <f t="shared" si="11"/>
        <v>13335600</v>
      </c>
      <c r="AB253" s="44"/>
      <c r="AC253" s="44">
        <f t="shared" si="12"/>
        <v>18658296</v>
      </c>
    </row>
    <row r="254" spans="1:29" s="122" customFormat="1" ht="12.75" hidden="1" customHeight="1">
      <c r="A254" s="122" t="s">
        <v>286</v>
      </c>
      <c r="C254" s="122" t="s">
        <v>61</v>
      </c>
      <c r="E254" s="121">
        <v>0</v>
      </c>
      <c r="F254" s="121"/>
      <c r="G254" s="121">
        <v>0</v>
      </c>
      <c r="H254" s="121"/>
      <c r="I254" s="121">
        <v>0</v>
      </c>
      <c r="J254" s="121"/>
      <c r="K254" s="121">
        <v>0</v>
      </c>
      <c r="L254" s="121"/>
      <c r="M254" s="121">
        <v>0</v>
      </c>
      <c r="N254" s="121"/>
      <c r="O254" s="121">
        <v>0</v>
      </c>
      <c r="P254" s="121"/>
      <c r="Q254" s="121">
        <v>0</v>
      </c>
      <c r="R254" s="121"/>
      <c r="S254" s="121">
        <v>0</v>
      </c>
      <c r="T254" s="121"/>
      <c r="U254" s="121">
        <v>0</v>
      </c>
      <c r="V254" s="121"/>
      <c r="W254" s="121">
        <v>0</v>
      </c>
      <c r="X254" s="121"/>
      <c r="Y254" s="121">
        <v>0</v>
      </c>
      <c r="Z254" s="121"/>
      <c r="AA254" s="121">
        <f t="shared" si="11"/>
        <v>0</v>
      </c>
      <c r="AB254" s="121"/>
      <c r="AC254" s="121">
        <f t="shared" si="12"/>
        <v>0</v>
      </c>
    </row>
    <row r="255" spans="1:29" s="47" customFormat="1" ht="12.75" customHeight="1">
      <c r="A255" s="47" t="s">
        <v>287</v>
      </c>
      <c r="C255" s="47" t="s">
        <v>288</v>
      </c>
      <c r="E255" s="44">
        <v>4320497</v>
      </c>
      <c r="F255" s="44"/>
      <c r="G255" s="44">
        <v>3264542</v>
      </c>
      <c r="H255" s="44"/>
      <c r="I255" s="44">
        <v>0</v>
      </c>
      <c r="J255" s="44"/>
      <c r="K255" s="44">
        <f>703398+226514+347054+542467</f>
        <v>1819433</v>
      </c>
      <c r="L255" s="44"/>
      <c r="M255" s="44">
        <f>7973006+3523996+1410401+1405012</f>
        <v>14312415</v>
      </c>
      <c r="N255" s="44"/>
      <c r="O255" s="44">
        <v>0</v>
      </c>
      <c r="P255" s="44"/>
      <c r="Q255" s="44">
        <v>3341878</v>
      </c>
      <c r="R255" s="44"/>
      <c r="S255" s="44">
        <v>184255</v>
      </c>
      <c r="T255" s="44"/>
      <c r="U255" s="44">
        <f>100+499742</f>
        <v>499842</v>
      </c>
      <c r="V255" s="44"/>
      <c r="W255" s="44">
        <v>0</v>
      </c>
      <c r="X255" s="44"/>
      <c r="Y255" s="44">
        <v>0</v>
      </c>
      <c r="Z255" s="44"/>
      <c r="AA255" s="44">
        <f t="shared" si="11"/>
        <v>20157823</v>
      </c>
      <c r="AB255" s="44"/>
      <c r="AC255" s="44">
        <f t="shared" si="12"/>
        <v>27742862</v>
      </c>
    </row>
    <row r="256" spans="1:29" s="47" customFormat="1" ht="12.75" customHeight="1">
      <c r="A256" s="47" t="s">
        <v>471</v>
      </c>
      <c r="C256" s="49"/>
      <c r="D256" s="49"/>
    </row>
    <row r="257" spans="1:4" s="47" customFormat="1" ht="12.75" customHeight="1">
      <c r="A257" s="49"/>
      <c r="C257" s="49"/>
      <c r="D257" s="49"/>
    </row>
    <row r="258" spans="1:4" s="47" customFormat="1" ht="12.75" customHeight="1"/>
    <row r="259" spans="1:4" s="47" customFormat="1" ht="12.75" customHeight="1"/>
    <row r="260" spans="1:4" s="47" customFormat="1" ht="12.75" customHeight="1"/>
    <row r="261" spans="1:4" s="47" customFormat="1" ht="12.75" customHeight="1"/>
    <row r="262" spans="1:4" s="47" customFormat="1" ht="12.75" customHeight="1"/>
    <row r="263" spans="1:4" s="47" customFormat="1" ht="12.75" customHeight="1"/>
    <row r="264" spans="1:4" s="47" customFormat="1" ht="12.75" customHeight="1"/>
    <row r="265" spans="1:4" s="47" customFormat="1" ht="12.75" customHeight="1"/>
    <row r="266" spans="1:4" s="47" customFormat="1" ht="12.75" customHeight="1"/>
  </sheetData>
  <mergeCells count="1">
    <mergeCell ref="K5:U5"/>
  </mergeCells>
  <phoneticPr fontId="4" type="noConversion"/>
  <printOptions horizontalCentered="1"/>
  <pageMargins left="0.75" right="0.75" top="0.5" bottom="0.5" header="0" footer="0.25"/>
  <pageSetup scale="83" firstPageNumber="14" pageOrder="overThenDown" orientation="portrait" useFirstPageNumber="1" r:id="rId1"/>
  <headerFooter alignWithMargins="0">
    <oddFooter>&amp;C&amp;"Times New Roman,Regular"&amp;11&amp;P</oddFooter>
  </headerFooter>
  <rowBreaks count="3" manualBreakCount="3">
    <brk id="72" max="28" man="1"/>
    <brk id="135" max="28" man="1"/>
    <brk id="196" max="28" man="1"/>
  </rowBreaks>
  <colBreaks count="1" manualBreakCount="1">
    <brk id="13" min="9" max="25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H262"/>
  <sheetViews>
    <sheetView zoomScaleNormal="100" zoomScaleSheetLayoutView="70" workbookViewId="0">
      <pane xSplit="3" ySplit="8" topLeftCell="D16" activePane="bottomRight" state="frozen"/>
      <selection pane="topRight" activeCell="D1" sqref="D1"/>
      <selection pane="bottomLeft" activeCell="A10" sqref="A10"/>
      <selection pane="bottomRight" activeCell="A4" sqref="A4"/>
    </sheetView>
  </sheetViews>
  <sheetFormatPr defaultColWidth="9.140625" defaultRowHeight="12.75" customHeight="1"/>
  <cols>
    <col min="1" max="1" width="15.28515625" style="10" customWidth="1"/>
    <col min="2" max="2" width="1.7109375" customWidth="1"/>
    <col min="3" max="3" width="11" style="10" customWidth="1"/>
    <col min="4" max="4" width="1.7109375" style="10" customWidth="1"/>
    <col min="5" max="5" width="11.7109375" style="10" customWidth="1"/>
    <col min="6" max="6" width="1.7109375" style="10" customWidth="1"/>
    <col min="7" max="7" width="11.7109375" style="10" customWidth="1"/>
    <col min="8" max="8" width="1.7109375" style="10" customWidth="1"/>
    <col min="9" max="9" width="11.7109375" style="10" customWidth="1"/>
    <col min="10" max="10" width="1.7109375" style="10" customWidth="1"/>
    <col min="11" max="11" width="11.710937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3.42578125" style="10" customWidth="1"/>
    <col min="20" max="20" width="1.7109375" style="10" customWidth="1"/>
    <col min="21" max="21" width="11.7109375" style="10" customWidth="1"/>
    <col min="22" max="22" width="1.7109375" style="10" customWidth="1"/>
    <col min="23" max="23" width="11.7109375" style="10" customWidth="1"/>
    <col min="24" max="24" width="1.7109375" style="10" customWidth="1"/>
    <col min="25" max="25" width="12.28515625" style="10" bestFit="1" customWidth="1"/>
    <col min="26" max="26" width="1.7109375" style="10" customWidth="1"/>
    <col min="27" max="27" width="11.5703125" style="10" customWidth="1"/>
    <col min="28" max="28" width="1.7109375" style="10" customWidth="1"/>
    <col min="29" max="29" width="11.85546875" style="47" customWidth="1"/>
    <col min="30" max="30" width="12" style="10" bestFit="1" customWidth="1"/>
    <col min="31" max="31" width="10.5703125" style="10" bestFit="1" customWidth="1"/>
    <col min="32" max="16384" width="9.140625" style="10"/>
  </cols>
  <sheetData>
    <row r="1" spans="1:29" ht="12.75" customHeight="1">
      <c r="A1" s="9" t="s">
        <v>385</v>
      </c>
    </row>
    <row r="2" spans="1:29" ht="12.75" customHeight="1">
      <c r="A2" s="9" t="s">
        <v>500</v>
      </c>
    </row>
    <row r="3" spans="1:29" ht="12.75" customHeight="1">
      <c r="A3" s="9" t="s">
        <v>289</v>
      </c>
    </row>
    <row r="4" spans="1:29" ht="12.75" customHeight="1">
      <c r="A4" s="9" t="s">
        <v>484</v>
      </c>
    </row>
    <row r="5" spans="1:29" ht="12.75" customHeight="1">
      <c r="A5" s="9"/>
      <c r="E5" s="157" t="s">
        <v>420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72"/>
      <c r="R5" s="72"/>
      <c r="S5" s="72"/>
      <c r="T5" s="72"/>
      <c r="U5" s="72"/>
      <c r="V5" s="56"/>
      <c r="W5" s="56"/>
    </row>
    <row r="6" spans="1:29" ht="12.75" customHeight="1">
      <c r="E6" s="12" t="s">
        <v>396</v>
      </c>
      <c r="V6" s="19"/>
      <c r="Y6" s="12" t="s">
        <v>2</v>
      </c>
      <c r="Z6" s="12"/>
      <c r="AA6" s="12" t="s">
        <v>427</v>
      </c>
    </row>
    <row r="7" spans="1:29" ht="12.75" customHeight="1">
      <c r="A7" s="11"/>
      <c r="C7" s="11"/>
      <c r="E7" s="12" t="s">
        <v>398</v>
      </c>
      <c r="F7" s="12"/>
      <c r="G7" s="12" t="s">
        <v>305</v>
      </c>
      <c r="H7" s="12"/>
      <c r="I7" s="12" t="s">
        <v>306</v>
      </c>
      <c r="J7" s="12"/>
      <c r="K7" s="12" t="s">
        <v>333</v>
      </c>
      <c r="L7" s="12"/>
      <c r="M7" s="12"/>
      <c r="N7" s="12"/>
      <c r="O7" s="12" t="s">
        <v>307</v>
      </c>
      <c r="P7" s="12"/>
      <c r="Q7" s="12" t="s">
        <v>296</v>
      </c>
      <c r="R7" s="12"/>
      <c r="S7" s="12"/>
      <c r="T7" s="12"/>
      <c r="U7" s="12" t="s">
        <v>308</v>
      </c>
      <c r="V7" s="12"/>
      <c r="W7" s="12" t="s">
        <v>6</v>
      </c>
      <c r="X7" s="12"/>
      <c r="Y7" s="12" t="s">
        <v>452</v>
      </c>
      <c r="Z7" s="12"/>
      <c r="AA7" s="12" t="s">
        <v>459</v>
      </c>
      <c r="AC7" s="97" t="s">
        <v>428</v>
      </c>
    </row>
    <row r="8" spans="1:29" s="47" customFormat="1" ht="12.75" customHeight="1">
      <c r="A8" s="100" t="s">
        <v>8</v>
      </c>
      <c r="B8" s="51"/>
      <c r="C8" s="100" t="s">
        <v>9</v>
      </c>
      <c r="E8" s="16" t="s">
        <v>397</v>
      </c>
      <c r="F8" s="18"/>
      <c r="G8" s="16" t="s">
        <v>309</v>
      </c>
      <c r="H8" s="18"/>
      <c r="I8" s="16" t="s">
        <v>310</v>
      </c>
      <c r="J8" s="18"/>
      <c r="K8" s="16" t="s">
        <v>311</v>
      </c>
      <c r="L8" s="18"/>
      <c r="M8" s="16" t="s">
        <v>312</v>
      </c>
      <c r="N8" s="18"/>
      <c r="O8" s="16" t="s">
        <v>313</v>
      </c>
      <c r="P8" s="18"/>
      <c r="Q8" s="16" t="s">
        <v>314</v>
      </c>
      <c r="R8" s="18"/>
      <c r="S8" s="16" t="s">
        <v>294</v>
      </c>
      <c r="T8" s="18"/>
      <c r="U8" s="16" t="s">
        <v>340</v>
      </c>
      <c r="V8" s="18"/>
      <c r="W8" s="16" t="s">
        <v>374</v>
      </c>
      <c r="X8" s="18"/>
      <c r="Y8" s="16" t="s">
        <v>453</v>
      </c>
      <c r="Z8" s="97"/>
      <c r="AA8" s="16" t="s">
        <v>460</v>
      </c>
      <c r="AC8" s="102" t="s">
        <v>429</v>
      </c>
    </row>
    <row r="9" spans="1:29" s="47" customFormat="1" ht="12.75" customHeight="1">
      <c r="A9" s="26"/>
      <c r="B9" s="51"/>
      <c r="C9" s="26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1:29" s="46" customFormat="1" ht="12.75" hidden="1" customHeight="1">
      <c r="A10" s="46" t="s">
        <v>12</v>
      </c>
      <c r="B10" s="66"/>
      <c r="C10" s="46" t="s">
        <v>13</v>
      </c>
      <c r="E10" s="46">
        <v>0</v>
      </c>
      <c r="G10" s="46">
        <v>0</v>
      </c>
      <c r="I10" s="46">
        <v>0</v>
      </c>
      <c r="K10" s="46">
        <v>0</v>
      </c>
      <c r="M10" s="46">
        <v>0</v>
      </c>
      <c r="O10" s="46">
        <v>0</v>
      </c>
      <c r="Q10" s="46">
        <v>0</v>
      </c>
      <c r="S10" s="46">
        <v>0</v>
      </c>
      <c r="U10" s="46">
        <v>0</v>
      </c>
      <c r="W10" s="46">
        <f t="shared" ref="W10:W11" si="0">SUM(E10:U10)</f>
        <v>0</v>
      </c>
      <c r="Y10" s="46">
        <v>0</v>
      </c>
      <c r="AA10" s="46">
        <f>+'Stmt net assets'!Y10</f>
        <v>0</v>
      </c>
      <c r="AC10" s="46">
        <f>+Y10+'Stmt of activities-GA rev'!AC10-'Stmt of activities-GAexp'!W10-AA10</f>
        <v>0</v>
      </c>
    </row>
    <row r="11" spans="1:29" s="44" customFormat="1" ht="12.75" customHeight="1">
      <c r="A11" s="44" t="s">
        <v>14</v>
      </c>
      <c r="B11" s="65"/>
      <c r="C11" s="44" t="s">
        <v>15</v>
      </c>
      <c r="E11" s="46">
        <v>8624742</v>
      </c>
      <c r="F11" s="46"/>
      <c r="G11" s="46">
        <v>1015414</v>
      </c>
      <c r="H11" s="46"/>
      <c r="I11" s="46">
        <v>772260</v>
      </c>
      <c r="J11" s="46"/>
      <c r="K11" s="46">
        <v>1355294</v>
      </c>
      <c r="L11" s="46"/>
      <c r="M11" s="46">
        <v>1899949</v>
      </c>
      <c r="N11" s="46"/>
      <c r="O11" s="46">
        <v>54541</v>
      </c>
      <c r="P11" s="46"/>
      <c r="Q11" s="46">
        <v>3073733</v>
      </c>
      <c r="R11" s="46"/>
      <c r="S11" s="46">
        <v>0</v>
      </c>
      <c r="T11" s="46"/>
      <c r="U11" s="46">
        <v>83669</v>
      </c>
      <c r="V11" s="46"/>
      <c r="W11" s="46">
        <f t="shared" si="0"/>
        <v>16879602</v>
      </c>
      <c r="X11" s="46"/>
      <c r="Y11" s="46">
        <v>29548750</v>
      </c>
      <c r="Z11" s="46"/>
      <c r="AA11" s="46">
        <f>+'Stmt net assets'!Y11</f>
        <v>30802932</v>
      </c>
      <c r="AC11" s="44">
        <f>+Y11+'Stmt of activities-GA rev'!AC11-'Stmt of activities-GAexp'!W11-AA11</f>
        <v>0</v>
      </c>
    </row>
    <row r="12" spans="1:29" s="47" customFormat="1" ht="12.75" customHeight="1">
      <c r="A12" s="47" t="s">
        <v>16</v>
      </c>
      <c r="B12" s="51"/>
      <c r="C12" s="47" t="s">
        <v>17</v>
      </c>
      <c r="E12" s="44">
        <v>3685288</v>
      </c>
      <c r="F12" s="44"/>
      <c r="G12" s="44">
        <v>181171</v>
      </c>
      <c r="H12" s="44"/>
      <c r="I12" s="44">
        <v>192890</v>
      </c>
      <c r="J12" s="44"/>
      <c r="K12" s="44">
        <v>136730</v>
      </c>
      <c r="L12" s="44"/>
      <c r="M12" s="44">
        <v>2153207</v>
      </c>
      <c r="N12" s="44"/>
      <c r="O12" s="44">
        <v>0</v>
      </c>
      <c r="P12" s="44"/>
      <c r="Q12" s="44">
        <v>1167524</v>
      </c>
      <c r="R12" s="44"/>
      <c r="S12" s="44">
        <v>0</v>
      </c>
      <c r="T12" s="44"/>
      <c r="U12" s="44">
        <v>143550</v>
      </c>
      <c r="V12" s="44"/>
      <c r="W12" s="44">
        <f t="shared" ref="W12:W70" si="1">SUM(E12:U12)</f>
        <v>7660360</v>
      </c>
      <c r="X12" s="44"/>
      <c r="Y12" s="44">
        <v>31457252</v>
      </c>
      <c r="Z12" s="44"/>
      <c r="AA12" s="44">
        <f>+'Stmt net assets'!Y12</f>
        <v>31446313</v>
      </c>
      <c r="AB12" s="44"/>
      <c r="AC12" s="44">
        <f>+Y12+'Stmt of activities-GA rev'!AC12-'Stmt of activities-GAexp'!W12-AA12</f>
        <v>0</v>
      </c>
    </row>
    <row r="13" spans="1:29" s="44" customFormat="1" ht="12.75" customHeight="1">
      <c r="A13" s="47" t="s">
        <v>18</v>
      </c>
      <c r="B13" s="51"/>
      <c r="C13" s="47" t="s">
        <v>18</v>
      </c>
      <c r="D13" s="47"/>
      <c r="E13" s="44">
        <v>6965365</v>
      </c>
      <c r="G13" s="44">
        <v>325085</v>
      </c>
      <c r="I13" s="44">
        <v>1323969</v>
      </c>
      <c r="K13" s="44">
        <v>465674</v>
      </c>
      <c r="M13" s="44">
        <v>2601886</v>
      </c>
      <c r="O13" s="44">
        <v>0</v>
      </c>
      <c r="Q13" s="44">
        <v>5618313</v>
      </c>
      <c r="S13" s="44">
        <v>20026</v>
      </c>
      <c r="U13" s="44">
        <v>121451</v>
      </c>
      <c r="W13" s="44">
        <f t="shared" si="1"/>
        <v>17441769</v>
      </c>
      <c r="Y13" s="44">
        <v>25063525</v>
      </c>
      <c r="AA13" s="44">
        <f>+'Stmt net assets'!Y13</f>
        <v>24418873</v>
      </c>
      <c r="AC13" s="44">
        <f>+Y13+'Stmt of activities-GA rev'!AC13-'Stmt of activities-GAexp'!W13-AA13</f>
        <v>0</v>
      </c>
    </row>
    <row r="14" spans="1:29" s="47" customFormat="1" ht="12.75" customHeight="1">
      <c r="A14" s="44" t="s">
        <v>19</v>
      </c>
      <c r="B14" s="44"/>
      <c r="C14" s="44" t="s">
        <v>19</v>
      </c>
      <c r="D14" s="44"/>
      <c r="E14" s="44">
        <f>3507393+2656861</f>
        <v>6164254</v>
      </c>
      <c r="F14" s="44"/>
      <c r="G14" s="44">
        <v>400864</v>
      </c>
      <c r="H14" s="44"/>
      <c r="I14" s="44">
        <v>36108</v>
      </c>
      <c r="J14" s="44"/>
      <c r="K14" s="44">
        <v>1312203</v>
      </c>
      <c r="L14" s="44"/>
      <c r="M14" s="44">
        <v>2510095</v>
      </c>
      <c r="N14" s="44"/>
      <c r="O14" s="44">
        <v>1847985</v>
      </c>
      <c r="P14" s="44"/>
      <c r="Q14" s="44">
        <f>2492062+1085752</f>
        <v>3577814</v>
      </c>
      <c r="R14" s="44"/>
      <c r="S14" s="44">
        <v>0</v>
      </c>
      <c r="T14" s="44"/>
      <c r="U14" s="44">
        <v>14669</v>
      </c>
      <c r="V14" s="44"/>
      <c r="W14" s="44">
        <f t="shared" si="1"/>
        <v>15863992</v>
      </c>
      <c r="X14" s="44"/>
      <c r="Y14" s="44">
        <v>25056972</v>
      </c>
      <c r="Z14" s="44"/>
      <c r="AA14" s="44">
        <f>+'Stmt net assets'!Y14</f>
        <v>23717243</v>
      </c>
      <c r="AB14" s="44"/>
      <c r="AC14" s="44">
        <f>+Y14+'Stmt of activities-GA rev'!AC14-'Stmt of activities-GAexp'!W14-AA14</f>
        <v>0</v>
      </c>
    </row>
    <row r="15" spans="1:29" s="47" customFormat="1" ht="12.75" customHeight="1">
      <c r="A15" s="47" t="s">
        <v>20</v>
      </c>
      <c r="B15" s="51"/>
      <c r="C15" s="47" t="s">
        <v>20</v>
      </c>
      <c r="E15" s="44">
        <f>3493338+2232200</f>
        <v>5725538</v>
      </c>
      <c r="F15" s="44"/>
      <c r="G15" s="44">
        <v>0</v>
      </c>
      <c r="H15" s="44"/>
      <c r="I15" s="44">
        <v>1550083</v>
      </c>
      <c r="J15" s="44"/>
      <c r="K15" s="44">
        <v>859032</v>
      </c>
      <c r="L15" s="44"/>
      <c r="M15" s="44">
        <v>3359214</v>
      </c>
      <c r="N15" s="44"/>
      <c r="O15" s="44">
        <v>0</v>
      </c>
      <c r="P15" s="44"/>
      <c r="Q15" s="44">
        <v>5504716</v>
      </c>
      <c r="R15" s="44"/>
      <c r="S15" s="44">
        <v>0</v>
      </c>
      <c r="T15" s="44"/>
      <c r="U15" s="44">
        <v>239855</v>
      </c>
      <c r="V15" s="44"/>
      <c r="W15" s="44">
        <f t="shared" si="1"/>
        <v>17238438</v>
      </c>
      <c r="X15" s="44"/>
      <c r="Y15" s="44">
        <v>58794249</v>
      </c>
      <c r="Z15" s="44"/>
      <c r="AA15" s="44">
        <f>+'Stmt net assets'!Y15</f>
        <v>65533222</v>
      </c>
      <c r="AB15" s="44"/>
      <c r="AC15" s="44">
        <f>+Y15+'Stmt of activities-GA rev'!AC15-'Stmt of activities-GAexp'!W15-AA15</f>
        <v>0</v>
      </c>
    </row>
    <row r="16" spans="1:29" s="47" customFormat="1" ht="12.75" customHeight="1">
      <c r="A16" s="47" t="s">
        <v>21</v>
      </c>
      <c r="B16" s="51"/>
      <c r="C16" s="47" t="s">
        <v>22</v>
      </c>
      <c r="E16" s="44">
        <v>7446348</v>
      </c>
      <c r="F16" s="44"/>
      <c r="G16" s="44">
        <v>0</v>
      </c>
      <c r="H16" s="44"/>
      <c r="I16" s="44">
        <v>1522867</v>
      </c>
      <c r="J16" s="44"/>
      <c r="K16" s="44">
        <v>949182</v>
      </c>
      <c r="L16" s="44"/>
      <c r="M16" s="44">
        <v>3235554</v>
      </c>
      <c r="N16" s="44"/>
      <c r="O16" s="44">
        <v>0</v>
      </c>
      <c r="P16" s="44"/>
      <c r="Q16" s="44">
        <v>2502464</v>
      </c>
      <c r="R16" s="44"/>
      <c r="S16" s="44">
        <v>1913</v>
      </c>
      <c r="T16" s="44"/>
      <c r="U16" s="44">
        <v>457226</v>
      </c>
      <c r="V16" s="44"/>
      <c r="W16" s="44">
        <f t="shared" si="1"/>
        <v>16115554</v>
      </c>
      <c r="X16" s="44"/>
      <c r="Y16" s="44">
        <v>70363921</v>
      </c>
      <c r="Z16" s="44"/>
      <c r="AA16" s="44">
        <f>+'Stmt net assets'!Y16</f>
        <v>74270872</v>
      </c>
      <c r="AB16" s="44"/>
      <c r="AC16" s="44">
        <f>+Y16+'Stmt of activities-GA rev'!AC16-'Stmt of activities-GAexp'!W16-AA16</f>
        <v>0</v>
      </c>
    </row>
    <row r="17" spans="1:29" s="47" customFormat="1" ht="12.75" customHeight="1">
      <c r="A17" s="47" t="s">
        <v>23</v>
      </c>
      <c r="B17" s="51"/>
      <c r="C17" s="47" t="s">
        <v>17</v>
      </c>
      <c r="E17" s="44">
        <v>8611264</v>
      </c>
      <c r="F17" s="44"/>
      <c r="G17" s="44">
        <v>0</v>
      </c>
      <c r="H17" s="44"/>
      <c r="I17" s="44">
        <v>1104319</v>
      </c>
      <c r="J17" s="44"/>
      <c r="K17" s="44">
        <v>1236395</v>
      </c>
      <c r="L17" s="44"/>
      <c r="M17" s="44">
        <v>6025615</v>
      </c>
      <c r="N17" s="44"/>
      <c r="O17" s="44">
        <v>862479</v>
      </c>
      <c r="P17" s="44"/>
      <c r="Q17" s="44">
        <v>4349901</v>
      </c>
      <c r="R17" s="44"/>
      <c r="S17" s="44">
        <v>0</v>
      </c>
      <c r="T17" s="44"/>
      <c r="U17" s="44">
        <v>2211663</v>
      </c>
      <c r="V17" s="44"/>
      <c r="W17" s="44">
        <f t="shared" si="1"/>
        <v>24401636</v>
      </c>
      <c r="X17" s="44"/>
      <c r="Y17" s="44">
        <v>59482156</v>
      </c>
      <c r="Z17" s="44"/>
      <c r="AA17" s="44">
        <f>+'Stmt net assets'!Y17</f>
        <v>56450811</v>
      </c>
      <c r="AB17" s="44"/>
      <c r="AC17" s="44">
        <f>+Y17+'Stmt of activities-GA rev'!AC17-'Stmt of activities-GAexp'!W17-AA17</f>
        <v>0</v>
      </c>
    </row>
    <row r="18" spans="1:29" s="47" customFormat="1" ht="12.75" hidden="1" customHeight="1">
      <c r="A18" s="47" t="s">
        <v>24</v>
      </c>
      <c r="B18" s="51"/>
      <c r="C18" s="47" t="s">
        <v>17</v>
      </c>
      <c r="E18" s="44">
        <v>0</v>
      </c>
      <c r="F18" s="44"/>
      <c r="G18" s="44">
        <v>0</v>
      </c>
      <c r="H18" s="44"/>
      <c r="I18" s="44">
        <v>0</v>
      </c>
      <c r="J18" s="44"/>
      <c r="K18" s="44">
        <v>0</v>
      </c>
      <c r="L18" s="44"/>
      <c r="M18" s="44">
        <v>0</v>
      </c>
      <c r="N18" s="44"/>
      <c r="O18" s="44">
        <v>0</v>
      </c>
      <c r="P18" s="44"/>
      <c r="Q18" s="44">
        <v>0</v>
      </c>
      <c r="R18" s="44"/>
      <c r="S18" s="44">
        <v>0</v>
      </c>
      <c r="T18" s="44"/>
      <c r="U18" s="44">
        <v>0</v>
      </c>
      <c r="V18" s="44"/>
      <c r="W18" s="44">
        <f t="shared" si="1"/>
        <v>0</v>
      </c>
      <c r="X18" s="44"/>
      <c r="Y18" s="44">
        <v>0</v>
      </c>
      <c r="Z18" s="44"/>
      <c r="AA18" s="44">
        <f>+'Stmt net assets'!Y18</f>
        <v>0</v>
      </c>
      <c r="AB18" s="44"/>
      <c r="AC18" s="44">
        <f>+Y18+'Stmt of activities-GA rev'!AC18-'Stmt of activities-GAexp'!W18-AA18</f>
        <v>0</v>
      </c>
    </row>
    <row r="19" spans="1:29" s="47" customFormat="1" ht="12.75" customHeight="1">
      <c r="A19" s="47" t="s">
        <v>25</v>
      </c>
      <c r="B19" s="51"/>
      <c r="C19" s="47" t="s">
        <v>13</v>
      </c>
      <c r="E19" s="44">
        <v>10082932</v>
      </c>
      <c r="F19" s="44"/>
      <c r="G19" s="44">
        <v>847498</v>
      </c>
      <c r="H19" s="44"/>
      <c r="I19" s="44">
        <v>1314014</v>
      </c>
      <c r="J19" s="44"/>
      <c r="K19" s="44">
        <v>3086321</v>
      </c>
      <c r="L19" s="44"/>
      <c r="M19" s="44">
        <v>1932192</v>
      </c>
      <c r="N19" s="44"/>
      <c r="O19" s="44">
        <v>0</v>
      </c>
      <c r="P19" s="44"/>
      <c r="Q19" s="44">
        <v>4259141</v>
      </c>
      <c r="R19" s="44"/>
      <c r="S19" s="44">
        <v>0</v>
      </c>
      <c r="T19" s="44"/>
      <c r="U19" s="44">
        <v>268040</v>
      </c>
      <c r="V19" s="44"/>
      <c r="W19" s="44">
        <f t="shared" si="1"/>
        <v>21790138</v>
      </c>
      <c r="X19" s="44"/>
      <c r="Y19" s="44">
        <v>23189950</v>
      </c>
      <c r="Z19" s="44"/>
      <c r="AA19" s="44">
        <f>+'Stmt net assets'!Y19</f>
        <v>25725763</v>
      </c>
      <c r="AB19" s="44"/>
      <c r="AC19" s="44">
        <f>+Y19+'Stmt of activities-GA rev'!AC19-'Stmt of activities-GAexp'!W19-AA19</f>
        <v>0</v>
      </c>
    </row>
    <row r="20" spans="1:29" s="47" customFormat="1" ht="12.75" customHeight="1">
      <c r="A20" s="47" t="s">
        <v>26</v>
      </c>
      <c r="B20" s="51"/>
      <c r="C20" s="47" t="s">
        <v>27</v>
      </c>
      <c r="E20" s="44">
        <v>7051858</v>
      </c>
      <c r="F20" s="44"/>
      <c r="G20" s="44">
        <v>445812</v>
      </c>
      <c r="H20" s="44"/>
      <c r="I20" s="44">
        <v>917703</v>
      </c>
      <c r="J20" s="44"/>
      <c r="K20" s="44">
        <v>857466</v>
      </c>
      <c r="L20" s="44"/>
      <c r="M20" s="44">
        <v>2122109</v>
      </c>
      <c r="N20" s="44"/>
      <c r="O20" s="44">
        <v>1598347</v>
      </c>
      <c r="P20" s="44"/>
      <c r="Q20" s="44">
        <v>2927731</v>
      </c>
      <c r="R20" s="44"/>
      <c r="S20" s="44">
        <v>0</v>
      </c>
      <c r="T20" s="44"/>
      <c r="U20" s="44">
        <v>434811</v>
      </c>
      <c r="V20" s="44"/>
      <c r="W20" s="44">
        <f t="shared" si="1"/>
        <v>16355837</v>
      </c>
      <c r="X20" s="44"/>
      <c r="Y20" s="44">
        <v>27052034</v>
      </c>
      <c r="Z20" s="44"/>
      <c r="AA20" s="44">
        <f>+'Stmt net assets'!Y20</f>
        <v>26741938</v>
      </c>
      <c r="AB20" s="44"/>
      <c r="AC20" s="44">
        <f>+Y20+'Stmt of activities-GA rev'!AC20-'Stmt of activities-GAexp'!W20-AA20</f>
        <v>0</v>
      </c>
    </row>
    <row r="21" spans="1:29" s="47" customFormat="1" ht="12.75" customHeight="1">
      <c r="A21" s="47" t="s">
        <v>28</v>
      </c>
      <c r="B21" s="51"/>
      <c r="C21" s="47" t="s">
        <v>27</v>
      </c>
      <c r="E21" s="44">
        <f>7756727+6155855</f>
        <v>13912582</v>
      </c>
      <c r="F21" s="44"/>
      <c r="G21" s="44">
        <v>587883</v>
      </c>
      <c r="H21" s="44"/>
      <c r="I21" s="44">
        <v>2663673</v>
      </c>
      <c r="J21" s="44"/>
      <c r="K21" s="44">
        <v>919717</v>
      </c>
      <c r="L21" s="44"/>
      <c r="M21" s="44">
        <v>11749819</v>
      </c>
      <c r="N21" s="44"/>
      <c r="O21" s="44">
        <v>0</v>
      </c>
      <c r="P21" s="44"/>
      <c r="Q21" s="44">
        <v>4987961</v>
      </c>
      <c r="R21" s="44"/>
      <c r="S21" s="44">
        <v>0</v>
      </c>
      <c r="T21" s="44"/>
      <c r="U21" s="44">
        <v>758681</v>
      </c>
      <c r="V21" s="44"/>
      <c r="W21" s="44">
        <f t="shared" si="1"/>
        <v>35580316</v>
      </c>
      <c r="X21" s="44"/>
      <c r="Y21" s="44">
        <v>107924170</v>
      </c>
      <c r="Z21" s="44"/>
      <c r="AA21" s="44">
        <f>+'Stmt net assets'!Y21</f>
        <v>101456981</v>
      </c>
      <c r="AB21" s="44"/>
      <c r="AC21" s="44">
        <f>+Y21+'Stmt of activities-GA rev'!AC21-'Stmt of activities-GAexp'!W21-AA21</f>
        <v>0</v>
      </c>
    </row>
    <row r="22" spans="1:29" s="47" customFormat="1" ht="12.75" customHeight="1">
      <c r="A22" s="47" t="s">
        <v>29</v>
      </c>
      <c r="B22" s="51"/>
      <c r="C22" s="47" t="s">
        <v>30</v>
      </c>
      <c r="E22" s="44">
        <v>7849416</v>
      </c>
      <c r="F22" s="44"/>
      <c r="G22" s="44">
        <v>122884</v>
      </c>
      <c r="H22" s="44"/>
      <c r="I22" s="44">
        <v>1545096</v>
      </c>
      <c r="J22" s="44"/>
      <c r="K22" s="44">
        <v>643492</v>
      </c>
      <c r="L22" s="44"/>
      <c r="M22" s="44">
        <v>9881152</v>
      </c>
      <c r="N22" s="44"/>
      <c r="O22" s="44">
        <v>89176</v>
      </c>
      <c r="P22" s="44"/>
      <c r="Q22" s="44">
        <v>2843156</v>
      </c>
      <c r="R22" s="44"/>
      <c r="S22" s="44">
        <v>0</v>
      </c>
      <c r="T22" s="44"/>
      <c r="U22" s="44">
        <v>655683</v>
      </c>
      <c r="V22" s="44"/>
      <c r="W22" s="44">
        <f t="shared" si="1"/>
        <v>23630055</v>
      </c>
      <c r="X22" s="44"/>
      <c r="Y22" s="44">
        <v>208651147</v>
      </c>
      <c r="Z22" s="44"/>
      <c r="AA22" s="44">
        <f>+'Stmt net assets'!Y22</f>
        <v>209354513</v>
      </c>
      <c r="AB22" s="44"/>
      <c r="AC22" s="44">
        <f>+Y22+'Stmt of activities-GA rev'!AC22-'Stmt of activities-GAexp'!W22-AA22</f>
        <v>0</v>
      </c>
    </row>
    <row r="23" spans="1:29" s="47" customFormat="1" ht="12.75" customHeight="1">
      <c r="A23" s="47" t="s">
        <v>31</v>
      </c>
      <c r="B23" s="51"/>
      <c r="C23" s="47" t="s">
        <v>27</v>
      </c>
      <c r="E23" s="44">
        <f>5247617+3755520</f>
        <v>9003137</v>
      </c>
      <c r="F23" s="44"/>
      <c r="G23" s="44">
        <v>177865</v>
      </c>
      <c r="H23" s="44"/>
      <c r="I23" s="44">
        <v>1391675</v>
      </c>
      <c r="J23" s="44"/>
      <c r="K23" s="44">
        <v>949599</v>
      </c>
      <c r="L23" s="44"/>
      <c r="M23" s="44">
        <v>4685770</v>
      </c>
      <c r="N23" s="44"/>
      <c r="O23" s="44">
        <v>1054778</v>
      </c>
      <c r="P23" s="44"/>
      <c r="Q23" s="44">
        <v>4908785</v>
      </c>
      <c r="R23" s="44"/>
      <c r="S23" s="44">
        <v>0</v>
      </c>
      <c r="T23" s="44"/>
      <c r="U23" s="44">
        <v>509591</v>
      </c>
      <c r="V23" s="44"/>
      <c r="W23" s="44">
        <f t="shared" si="1"/>
        <v>22681200</v>
      </c>
      <c r="X23" s="44"/>
      <c r="Y23" s="44">
        <v>38319449</v>
      </c>
      <c r="Z23" s="44"/>
      <c r="AA23" s="44">
        <f>+'Stmt net assets'!Y23</f>
        <v>37755219</v>
      </c>
      <c r="AB23" s="44"/>
      <c r="AC23" s="44">
        <f>+Y23+'Stmt of activities-GA rev'!AC23-'Stmt of activities-GAexp'!W23-AA23</f>
        <v>0</v>
      </c>
    </row>
    <row r="24" spans="1:29" s="47" customFormat="1" ht="12.75" customHeight="1">
      <c r="A24" s="47" t="s">
        <v>32</v>
      </c>
      <c r="B24" s="51"/>
      <c r="C24" s="47" t="s">
        <v>27</v>
      </c>
      <c r="E24" s="44">
        <v>10575672</v>
      </c>
      <c r="F24" s="44"/>
      <c r="G24" s="44">
        <v>359539</v>
      </c>
      <c r="H24" s="44"/>
      <c r="I24" s="44">
        <v>1442077</v>
      </c>
      <c r="J24" s="44"/>
      <c r="K24" s="44">
        <v>364564</v>
      </c>
      <c r="L24" s="44"/>
      <c r="M24" s="44">
        <v>1817751</v>
      </c>
      <c r="N24" s="44"/>
      <c r="O24" s="44">
        <v>673000</v>
      </c>
      <c r="P24" s="44"/>
      <c r="Q24" s="44">
        <v>3636040</v>
      </c>
      <c r="R24" s="44"/>
      <c r="S24" s="44">
        <v>0</v>
      </c>
      <c r="T24" s="44"/>
      <c r="U24" s="44">
        <v>181736</v>
      </c>
      <c r="V24" s="44"/>
      <c r="W24" s="44">
        <f t="shared" si="1"/>
        <v>19050379</v>
      </c>
      <c r="X24" s="44"/>
      <c r="Y24" s="44">
        <v>19760588</v>
      </c>
      <c r="Z24" s="44"/>
      <c r="AA24" s="44">
        <f>+'Stmt net assets'!Y24</f>
        <v>17801544</v>
      </c>
      <c r="AB24" s="44"/>
      <c r="AC24" s="44">
        <f>+Y24+'Stmt of activities-GA rev'!AC24-'Stmt of activities-GAexp'!W24-AA24</f>
        <v>0</v>
      </c>
    </row>
    <row r="25" spans="1:29" s="47" customFormat="1" ht="12.75" customHeight="1">
      <c r="A25" s="47" t="s">
        <v>34</v>
      </c>
      <c r="B25" s="51"/>
      <c r="C25" s="47" t="s">
        <v>30</v>
      </c>
      <c r="E25" s="44">
        <v>2768661</v>
      </c>
      <c r="F25" s="44"/>
      <c r="G25" s="44">
        <v>0</v>
      </c>
      <c r="H25" s="44"/>
      <c r="I25" s="44">
        <v>14755</v>
      </c>
      <c r="J25" s="44"/>
      <c r="K25" s="44">
        <v>78790</v>
      </c>
      <c r="L25" s="44"/>
      <c r="M25" s="44">
        <v>621995</v>
      </c>
      <c r="N25" s="44"/>
      <c r="O25" s="44">
        <v>0</v>
      </c>
      <c r="P25" s="44"/>
      <c r="Q25" s="44">
        <v>674306</v>
      </c>
      <c r="R25" s="44"/>
      <c r="S25" s="44">
        <v>0</v>
      </c>
      <c r="T25" s="44"/>
      <c r="U25" s="44">
        <v>0</v>
      </c>
      <c r="V25" s="44"/>
      <c r="W25" s="44">
        <f t="shared" si="1"/>
        <v>4158507</v>
      </c>
      <c r="X25" s="44"/>
      <c r="Y25" s="44">
        <v>8427258</v>
      </c>
      <c r="Z25" s="44"/>
      <c r="AA25" s="44">
        <f>+'Stmt net assets'!Y25</f>
        <v>9024829</v>
      </c>
      <c r="AB25" s="44"/>
      <c r="AC25" s="44">
        <f>+Y25+'Stmt of activities-GA rev'!AC25-'Stmt of activities-GAexp'!W25-AA25</f>
        <v>0</v>
      </c>
    </row>
    <row r="26" spans="1:29" s="47" customFormat="1" ht="12.75" customHeight="1">
      <c r="A26" s="47" t="s">
        <v>35</v>
      </c>
      <c r="B26" s="51"/>
      <c r="C26" s="47" t="s">
        <v>36</v>
      </c>
      <c r="E26" s="44">
        <v>4177710</v>
      </c>
      <c r="F26" s="44"/>
      <c r="G26" s="44">
        <v>230317</v>
      </c>
      <c r="H26" s="44"/>
      <c r="I26" s="44">
        <v>597537</v>
      </c>
      <c r="J26" s="44"/>
      <c r="K26" s="44">
        <v>1544728</v>
      </c>
      <c r="L26" s="44"/>
      <c r="M26" s="44">
        <v>1298068</v>
      </c>
      <c r="N26" s="44"/>
      <c r="O26" s="44">
        <v>364688</v>
      </c>
      <c r="P26" s="44"/>
      <c r="Q26" s="44">
        <v>2471502</v>
      </c>
      <c r="R26" s="44"/>
      <c r="S26" s="44">
        <v>0</v>
      </c>
      <c r="T26" s="44"/>
      <c r="U26" s="44">
        <v>30576</v>
      </c>
      <c r="V26" s="44"/>
      <c r="W26" s="44">
        <f t="shared" si="1"/>
        <v>10715126</v>
      </c>
      <c r="X26" s="44"/>
      <c r="Y26" s="44">
        <v>30680934</v>
      </c>
      <c r="Z26" s="44"/>
      <c r="AA26" s="44">
        <f>+'Stmt net assets'!Y26</f>
        <v>29638350</v>
      </c>
      <c r="AB26" s="44"/>
      <c r="AC26" s="44">
        <f>+Y26+'Stmt of activities-GA rev'!AC26-'Stmt of activities-GAexp'!W26-AA26</f>
        <v>0</v>
      </c>
    </row>
    <row r="27" spans="1:29" s="47" customFormat="1" ht="12.75" customHeight="1">
      <c r="A27" s="47" t="s">
        <v>37</v>
      </c>
      <c r="B27" s="51"/>
      <c r="C27" s="47" t="s">
        <v>38</v>
      </c>
      <c r="E27" s="44">
        <v>2104211</v>
      </c>
      <c r="F27" s="44"/>
      <c r="G27" s="44">
        <v>112563</v>
      </c>
      <c r="H27" s="44"/>
      <c r="I27" s="44">
        <v>454224</v>
      </c>
      <c r="J27" s="44"/>
      <c r="K27" s="44">
        <v>18540</v>
      </c>
      <c r="L27" s="44"/>
      <c r="M27" s="44">
        <v>1049882</v>
      </c>
      <c r="N27" s="44"/>
      <c r="O27" s="44">
        <v>0</v>
      </c>
      <c r="P27" s="44"/>
      <c r="Q27" s="44">
        <f>1715016+281521</f>
        <v>1996537</v>
      </c>
      <c r="R27" s="44"/>
      <c r="S27" s="44">
        <v>0</v>
      </c>
      <c r="T27" s="44"/>
      <c r="U27" s="44">
        <v>74178</v>
      </c>
      <c r="V27" s="44"/>
      <c r="W27" s="44">
        <f t="shared" si="1"/>
        <v>5810135</v>
      </c>
      <c r="X27" s="44"/>
      <c r="Y27" s="44">
        <v>16466573</v>
      </c>
      <c r="Z27" s="44"/>
      <c r="AA27" s="44">
        <f>+'Stmt net assets'!Y27</f>
        <v>17069185</v>
      </c>
      <c r="AB27" s="44"/>
      <c r="AC27" s="44">
        <f>+Y27+'Stmt of activities-GA rev'!AC27-'Stmt of activities-GAexp'!W27-AA27</f>
        <v>0</v>
      </c>
    </row>
    <row r="28" spans="1:29" s="47" customFormat="1" ht="12.75" customHeight="1">
      <c r="A28" s="47" t="s">
        <v>39</v>
      </c>
      <c r="B28" s="51"/>
      <c r="C28" s="47" t="s">
        <v>40</v>
      </c>
      <c r="E28" s="44">
        <f>1038355+218769</f>
        <v>1257124</v>
      </c>
      <c r="F28" s="44"/>
      <c r="G28" s="44">
        <v>41547</v>
      </c>
      <c r="H28" s="44"/>
      <c r="I28" s="44">
        <f>57233+147281+89086</f>
        <v>293600</v>
      </c>
      <c r="J28" s="44"/>
      <c r="K28" s="44">
        <v>132913</v>
      </c>
      <c r="L28" s="44"/>
      <c r="M28" s="44">
        <v>1214974</v>
      </c>
      <c r="N28" s="44"/>
      <c r="O28" s="44">
        <v>0</v>
      </c>
      <c r="P28" s="44"/>
      <c r="Q28" s="44">
        <v>634203</v>
      </c>
      <c r="R28" s="44"/>
      <c r="S28" s="44">
        <v>0</v>
      </c>
      <c r="T28" s="44"/>
      <c r="U28" s="44">
        <v>41746</v>
      </c>
      <c r="V28" s="44"/>
      <c r="W28" s="44">
        <f t="shared" si="1"/>
        <v>3616107</v>
      </c>
      <c r="X28" s="44"/>
      <c r="Y28" s="44">
        <v>15899840</v>
      </c>
      <c r="Z28" s="44"/>
      <c r="AA28" s="44">
        <f>+'Stmt net assets'!Y28</f>
        <v>15198072</v>
      </c>
      <c r="AB28" s="44"/>
      <c r="AC28" s="44">
        <f>+Y28+'Stmt of activities-GA rev'!AC28-'Stmt of activities-GAexp'!W28-AA28</f>
        <v>0</v>
      </c>
    </row>
    <row r="29" spans="1:29" s="47" customFormat="1" ht="12.75" customHeight="1">
      <c r="A29" s="47" t="s">
        <v>41</v>
      </c>
      <c r="B29" s="51"/>
      <c r="C29" s="47" t="s">
        <v>27</v>
      </c>
      <c r="E29" s="44">
        <v>6974204</v>
      </c>
      <c r="F29" s="44"/>
      <c r="G29" s="44">
        <v>211300</v>
      </c>
      <c r="H29" s="44"/>
      <c r="I29" s="44">
        <v>3559520</v>
      </c>
      <c r="J29" s="44"/>
      <c r="K29" s="44">
        <v>543755</v>
      </c>
      <c r="L29" s="44"/>
      <c r="M29" s="44">
        <v>2965627</v>
      </c>
      <c r="N29" s="44"/>
      <c r="O29" s="44">
        <v>1337335</v>
      </c>
      <c r="P29" s="44"/>
      <c r="Q29" s="44">
        <v>7766608</v>
      </c>
      <c r="R29" s="44"/>
      <c r="S29" s="44">
        <v>0</v>
      </c>
      <c r="T29" s="44"/>
      <c r="U29" s="44">
        <v>613938</v>
      </c>
      <c r="V29" s="44"/>
      <c r="W29" s="44">
        <f t="shared" si="1"/>
        <v>23972287</v>
      </c>
      <c r="X29" s="44"/>
      <c r="Y29" s="44">
        <v>66750478</v>
      </c>
      <c r="Z29" s="44"/>
      <c r="AA29" s="44">
        <f>+'Stmt net assets'!Y29</f>
        <v>69144644</v>
      </c>
      <c r="AB29" s="44"/>
      <c r="AC29" s="44">
        <f>+Y29+'Stmt of activities-GA rev'!AC29-'Stmt of activities-GAexp'!W29-AA29</f>
        <v>0</v>
      </c>
    </row>
    <row r="30" spans="1:29" s="47" customFormat="1" ht="12.75" customHeight="1">
      <c r="A30" s="47" t="s">
        <v>42</v>
      </c>
      <c r="B30" s="51"/>
      <c r="C30" s="47" t="s">
        <v>43</v>
      </c>
      <c r="E30" s="44">
        <v>5859452</v>
      </c>
      <c r="F30" s="44"/>
      <c r="G30" s="44">
        <v>91789</v>
      </c>
      <c r="H30" s="44"/>
      <c r="I30" s="44">
        <v>1413772</v>
      </c>
      <c r="J30" s="44"/>
      <c r="K30" s="44">
        <v>547609</v>
      </c>
      <c r="L30" s="44"/>
      <c r="M30" s="44">
        <v>1851831</v>
      </c>
      <c r="N30" s="44"/>
      <c r="O30" s="44">
        <v>0</v>
      </c>
      <c r="P30" s="44"/>
      <c r="Q30" s="44">
        <v>2993064</v>
      </c>
      <c r="R30" s="44"/>
      <c r="S30" s="44">
        <v>44321</v>
      </c>
      <c r="T30" s="44"/>
      <c r="U30" s="44">
        <v>685375</v>
      </c>
      <c r="V30" s="44"/>
      <c r="W30" s="44">
        <f t="shared" si="1"/>
        <v>13487213</v>
      </c>
      <c r="X30" s="44"/>
      <c r="Y30" s="44">
        <v>22602314</v>
      </c>
      <c r="Z30" s="44"/>
      <c r="AA30" s="44">
        <f>+'Stmt net assets'!Y30</f>
        <v>24301528</v>
      </c>
      <c r="AB30" s="44"/>
      <c r="AC30" s="44">
        <f>+Y30+'Stmt of activities-GA rev'!AC30-'Stmt of activities-GAexp'!W30-AA30</f>
        <v>0</v>
      </c>
    </row>
    <row r="31" spans="1:29" s="47" customFormat="1" ht="12.75" customHeight="1">
      <c r="A31" s="47" t="s">
        <v>44</v>
      </c>
      <c r="B31" s="51"/>
      <c r="C31" s="47" t="s">
        <v>45</v>
      </c>
      <c r="E31" s="44">
        <v>10200445</v>
      </c>
      <c r="F31" s="44"/>
      <c r="G31" s="44">
        <v>0</v>
      </c>
      <c r="H31" s="44"/>
      <c r="I31" s="44">
        <v>5902466</v>
      </c>
      <c r="J31" s="44"/>
      <c r="K31" s="44">
        <v>1602342</v>
      </c>
      <c r="L31" s="44"/>
      <c r="M31" s="44">
        <v>4058682</v>
      </c>
      <c r="N31" s="44"/>
      <c r="O31" s="44">
        <v>79730</v>
      </c>
      <c r="P31" s="44"/>
      <c r="Q31" s="44">
        <v>10222328</v>
      </c>
      <c r="R31" s="44"/>
      <c r="S31" s="44">
        <v>0</v>
      </c>
      <c r="T31" s="44"/>
      <c r="U31" s="44">
        <v>1999212</v>
      </c>
      <c r="V31" s="44"/>
      <c r="W31" s="44">
        <f t="shared" si="1"/>
        <v>34065205</v>
      </c>
      <c r="X31" s="44"/>
      <c r="Y31" s="44">
        <v>74184471</v>
      </c>
      <c r="Z31" s="44"/>
      <c r="AA31" s="44">
        <f>+'Stmt net assets'!Y31</f>
        <v>78092266</v>
      </c>
      <c r="AB31" s="44"/>
      <c r="AC31" s="44">
        <f>+Y31+'Stmt of activities-GA rev'!AC31-'Stmt of activities-GAexp'!W31-AA31</f>
        <v>0</v>
      </c>
    </row>
    <row r="32" spans="1:29" s="47" customFormat="1" ht="12.75" customHeight="1">
      <c r="A32" s="47" t="s">
        <v>46</v>
      </c>
      <c r="B32" s="51"/>
      <c r="C32" s="47" t="s">
        <v>47</v>
      </c>
      <c r="E32" s="44">
        <f>5015977+6115280</f>
        <v>11131257</v>
      </c>
      <c r="F32" s="44"/>
      <c r="G32" s="44">
        <v>87516</v>
      </c>
      <c r="H32" s="44"/>
      <c r="I32" s="44">
        <v>1952030</v>
      </c>
      <c r="J32" s="44"/>
      <c r="K32" s="44">
        <v>1304577</v>
      </c>
      <c r="L32" s="44"/>
      <c r="M32" s="44">
        <v>5927846</v>
      </c>
      <c r="N32" s="44"/>
      <c r="O32" s="44">
        <v>623806</v>
      </c>
      <c r="P32" s="44"/>
      <c r="Q32" s="44">
        <f>1646182+3394636</f>
        <v>5040818</v>
      </c>
      <c r="R32" s="44"/>
      <c r="S32" s="44">
        <v>79694</v>
      </c>
      <c r="T32" s="44"/>
      <c r="U32" s="44">
        <v>946792</v>
      </c>
      <c r="V32" s="44"/>
      <c r="W32" s="44">
        <f t="shared" si="1"/>
        <v>27094336</v>
      </c>
      <c r="X32" s="44"/>
      <c r="Y32" s="44">
        <v>33961532</v>
      </c>
      <c r="Z32" s="44"/>
      <c r="AA32" s="44">
        <f>+'Stmt net assets'!Y32</f>
        <v>32615109</v>
      </c>
      <c r="AB32" s="44"/>
      <c r="AC32" s="44">
        <f>+Y32+'Stmt of activities-GA rev'!AC32-'Stmt of activities-GAexp'!W32-AA32</f>
        <v>0</v>
      </c>
    </row>
    <row r="33" spans="1:29" s="47" customFormat="1" ht="12.75" customHeight="1">
      <c r="A33" s="47" t="s">
        <v>48</v>
      </c>
      <c r="C33" s="47" t="s">
        <v>27</v>
      </c>
      <c r="E33" s="44">
        <f>3977695+2413597</f>
        <v>6391292</v>
      </c>
      <c r="F33" s="44"/>
      <c r="G33" s="44">
        <v>1407173</v>
      </c>
      <c r="H33" s="44"/>
      <c r="I33" s="44">
        <v>2001190</v>
      </c>
      <c r="J33" s="44"/>
      <c r="K33" s="44">
        <v>833662</v>
      </c>
      <c r="L33" s="44"/>
      <c r="M33" s="44">
        <v>4007522</v>
      </c>
      <c r="N33" s="44"/>
      <c r="O33" s="44">
        <v>1366953</v>
      </c>
      <c r="P33" s="44"/>
      <c r="Q33" s="44">
        <f>5647128+210129</f>
        <v>5857257</v>
      </c>
      <c r="R33" s="44"/>
      <c r="S33" s="44">
        <v>0</v>
      </c>
      <c r="T33" s="44"/>
      <c r="U33" s="44">
        <v>602512</v>
      </c>
      <c r="V33" s="44"/>
      <c r="W33" s="44">
        <f t="shared" si="1"/>
        <v>22467561</v>
      </c>
      <c r="X33" s="44"/>
      <c r="Y33" s="44">
        <v>82166833</v>
      </c>
      <c r="Z33" s="44"/>
      <c r="AA33" s="44">
        <f>+'Stmt net assets'!Y33</f>
        <v>84787921</v>
      </c>
      <c r="AB33" s="44"/>
      <c r="AC33" s="44">
        <f>+Y33+'Stmt of activities-GA rev'!AC33-'Stmt of activities-GAexp'!W33-AA33</f>
        <v>0</v>
      </c>
    </row>
    <row r="34" spans="1:29" s="47" customFormat="1" ht="12.75" customHeight="1">
      <c r="A34" s="47" t="s">
        <v>49</v>
      </c>
      <c r="B34" s="51"/>
      <c r="C34" s="47" t="s">
        <v>27</v>
      </c>
      <c r="E34" s="44">
        <v>6854355</v>
      </c>
      <c r="F34" s="44"/>
      <c r="G34" s="44">
        <v>285220</v>
      </c>
      <c r="H34" s="44"/>
      <c r="I34" s="44">
        <v>998317</v>
      </c>
      <c r="J34" s="44"/>
      <c r="K34" s="44">
        <v>441120</v>
      </c>
      <c r="L34" s="44"/>
      <c r="M34" s="44">
        <v>3181851</v>
      </c>
      <c r="N34" s="44"/>
      <c r="O34" s="44">
        <v>934767</v>
      </c>
      <c r="P34" s="44"/>
      <c r="Q34" s="44">
        <v>5022400</v>
      </c>
      <c r="R34" s="44"/>
      <c r="S34" s="44">
        <v>0</v>
      </c>
      <c r="T34" s="44"/>
      <c r="U34" s="44">
        <v>480117</v>
      </c>
      <c r="V34" s="44"/>
      <c r="W34" s="44">
        <f t="shared" si="1"/>
        <v>18198147</v>
      </c>
      <c r="X34" s="44"/>
      <c r="Y34" s="44">
        <v>32369065</v>
      </c>
      <c r="Z34" s="44"/>
      <c r="AA34" s="44">
        <f>+'Stmt net assets'!Y34</f>
        <v>33879902</v>
      </c>
      <c r="AB34" s="44"/>
      <c r="AC34" s="44">
        <f>+Y34+'Stmt of activities-GA rev'!AC34-'Stmt of activities-GAexp'!W34-AA34</f>
        <v>0</v>
      </c>
    </row>
    <row r="35" spans="1:29" s="47" customFormat="1" ht="12.75" customHeight="1">
      <c r="A35" s="47" t="s">
        <v>50</v>
      </c>
      <c r="B35" s="51"/>
      <c r="C35" s="47" t="s">
        <v>27</v>
      </c>
      <c r="E35" s="44">
        <f>6985372+5175463</f>
        <v>12160835</v>
      </c>
      <c r="F35" s="44"/>
      <c r="G35" s="44">
        <v>542592</v>
      </c>
      <c r="H35" s="44"/>
      <c r="I35" s="44">
        <v>2581318</v>
      </c>
      <c r="J35" s="44"/>
      <c r="K35" s="44">
        <v>1790631</v>
      </c>
      <c r="L35" s="44"/>
      <c r="M35" s="44">
        <v>2613821</v>
      </c>
      <c r="N35" s="44"/>
      <c r="O35" s="44">
        <v>3537459</v>
      </c>
      <c r="P35" s="44"/>
      <c r="Q35" s="44">
        <v>4979667</v>
      </c>
      <c r="R35" s="44"/>
      <c r="S35" s="44">
        <v>0</v>
      </c>
      <c r="T35" s="44"/>
      <c r="U35" s="44">
        <v>44829</v>
      </c>
      <c r="V35" s="44"/>
      <c r="W35" s="44">
        <f t="shared" si="1"/>
        <v>28251152</v>
      </c>
      <c r="X35" s="44"/>
      <c r="Y35" s="44">
        <v>81870313</v>
      </c>
      <c r="Z35" s="44"/>
      <c r="AA35" s="44">
        <f>+'Stmt net assets'!Y35</f>
        <v>83487143</v>
      </c>
      <c r="AB35" s="44"/>
      <c r="AC35" s="44">
        <f>+Y35+'Stmt of activities-GA rev'!AC35-'Stmt of activities-GAexp'!W35-AA35</f>
        <v>0</v>
      </c>
    </row>
    <row r="36" spans="1:29" s="47" customFormat="1" ht="12.75" customHeight="1">
      <c r="A36" s="47" t="s">
        <v>51</v>
      </c>
      <c r="B36" s="51"/>
      <c r="C36" s="47" t="s">
        <v>27</v>
      </c>
      <c r="E36" s="44">
        <v>8466060</v>
      </c>
      <c r="F36" s="44"/>
      <c r="G36" s="44">
        <v>0</v>
      </c>
      <c r="H36" s="44"/>
      <c r="I36" s="44">
        <v>2158644</v>
      </c>
      <c r="J36" s="44"/>
      <c r="K36" s="44">
        <v>959325</v>
      </c>
      <c r="L36" s="44"/>
      <c r="M36" s="44">
        <v>224314</v>
      </c>
      <c r="N36" s="44"/>
      <c r="O36" s="44">
        <v>2332882</v>
      </c>
      <c r="P36" s="44"/>
      <c r="Q36" s="44">
        <v>2620413</v>
      </c>
      <c r="R36" s="44"/>
      <c r="S36" s="44">
        <v>0</v>
      </c>
      <c r="T36" s="44"/>
      <c r="U36" s="44">
        <v>398123</v>
      </c>
      <c r="V36" s="44"/>
      <c r="W36" s="44">
        <f t="shared" si="1"/>
        <v>17159761</v>
      </c>
      <c r="X36" s="44"/>
      <c r="Y36" s="44">
        <v>22547622</v>
      </c>
      <c r="Z36" s="44"/>
      <c r="AA36" s="44">
        <f>+'Stmt net assets'!Y36</f>
        <v>28315420</v>
      </c>
      <c r="AB36" s="44"/>
      <c r="AC36" s="44">
        <f>+Y36+'Stmt of activities-GA rev'!AC36-'Stmt of activities-GAexp'!W36-AA36</f>
        <v>0</v>
      </c>
    </row>
    <row r="37" spans="1:29" s="47" customFormat="1" ht="12.75" customHeight="1">
      <c r="A37" s="47" t="s">
        <v>462</v>
      </c>
      <c r="B37" s="51"/>
      <c r="C37" s="47" t="s">
        <v>66</v>
      </c>
      <c r="E37" s="44">
        <v>2223821</v>
      </c>
      <c r="F37" s="44"/>
      <c r="G37" s="44">
        <v>0</v>
      </c>
      <c r="H37" s="44"/>
      <c r="I37" s="44">
        <v>195441</v>
      </c>
      <c r="J37" s="44"/>
      <c r="K37" s="44">
        <v>0</v>
      </c>
      <c r="L37" s="44"/>
      <c r="M37" s="44">
        <v>1077075</v>
      </c>
      <c r="N37" s="44"/>
      <c r="O37" s="44">
        <v>0</v>
      </c>
      <c r="P37" s="44"/>
      <c r="Q37" s="44">
        <v>1074656</v>
      </c>
      <c r="R37" s="44"/>
      <c r="S37" s="44">
        <v>0</v>
      </c>
      <c r="T37" s="44"/>
      <c r="U37" s="44">
        <v>71132</v>
      </c>
      <c r="V37" s="44"/>
      <c r="W37" s="44">
        <f t="shared" si="1"/>
        <v>4642125</v>
      </c>
      <c r="X37" s="44"/>
      <c r="Y37" s="44">
        <v>9969889</v>
      </c>
      <c r="Z37" s="44"/>
      <c r="AA37" s="44">
        <f>+'Stmt net assets'!Y37</f>
        <v>9809030</v>
      </c>
      <c r="AB37" s="44"/>
      <c r="AC37" s="44">
        <f>+Y37+'Stmt of activities-GA rev'!AC37-'Stmt of activities-GAexp'!W37-AA37</f>
        <v>0</v>
      </c>
    </row>
    <row r="38" spans="1:29" s="47" customFormat="1" ht="12.75" customHeight="1">
      <c r="A38" s="47" t="s">
        <v>52</v>
      </c>
      <c r="B38" s="51"/>
      <c r="C38" s="47" t="s">
        <v>53</v>
      </c>
      <c r="E38" s="44">
        <v>9840361</v>
      </c>
      <c r="F38" s="44"/>
      <c r="G38" s="44">
        <v>29066</v>
      </c>
      <c r="H38" s="44"/>
      <c r="I38" s="44">
        <v>1625811</v>
      </c>
      <c r="J38" s="44"/>
      <c r="K38" s="44">
        <v>2259993</v>
      </c>
      <c r="L38" s="44"/>
      <c r="M38" s="44">
        <v>2815791</v>
      </c>
      <c r="N38" s="44"/>
      <c r="O38" s="44">
        <v>0</v>
      </c>
      <c r="P38" s="44"/>
      <c r="Q38" s="44">
        <v>2928073</v>
      </c>
      <c r="R38" s="44"/>
      <c r="S38" s="44">
        <v>0</v>
      </c>
      <c r="T38" s="44"/>
      <c r="U38" s="44">
        <v>370061</v>
      </c>
      <c r="V38" s="44"/>
      <c r="W38" s="44">
        <f t="shared" si="1"/>
        <v>19869156</v>
      </c>
      <c r="X38" s="44"/>
      <c r="Y38" s="44">
        <v>49341758</v>
      </c>
      <c r="Z38" s="44"/>
      <c r="AA38" s="44">
        <f>+'Stmt net assets'!Y38</f>
        <v>52116851</v>
      </c>
      <c r="AB38" s="44"/>
      <c r="AC38" s="44">
        <f>+Y38+'Stmt of activities-GA rev'!AC38-'Stmt of activities-GAexp'!W38-AA38</f>
        <v>0</v>
      </c>
    </row>
    <row r="39" spans="1:29" s="47" customFormat="1" ht="12.75" customHeight="1">
      <c r="A39" s="47" t="s">
        <v>54</v>
      </c>
      <c r="B39" s="51"/>
      <c r="C39" s="47" t="s">
        <v>55</v>
      </c>
      <c r="E39" s="44">
        <v>3045163</v>
      </c>
      <c r="F39" s="44"/>
      <c r="G39" s="44">
        <v>100158</v>
      </c>
      <c r="H39" s="44"/>
      <c r="I39" s="44">
        <v>1136802</v>
      </c>
      <c r="J39" s="44"/>
      <c r="K39" s="44">
        <v>305114</v>
      </c>
      <c r="L39" s="44"/>
      <c r="M39" s="44">
        <v>1283518</v>
      </c>
      <c r="N39" s="44"/>
      <c r="O39" s="44">
        <v>0</v>
      </c>
      <c r="P39" s="44"/>
      <c r="Q39" s="44">
        <v>3201223</v>
      </c>
      <c r="R39" s="44"/>
      <c r="S39" s="44">
        <v>0</v>
      </c>
      <c r="T39" s="44"/>
      <c r="U39" s="44">
        <v>31609</v>
      </c>
      <c r="V39" s="44"/>
      <c r="W39" s="44">
        <f t="shared" si="1"/>
        <v>9103587</v>
      </c>
      <c r="X39" s="44"/>
      <c r="Y39" s="44">
        <v>35259155</v>
      </c>
      <c r="Z39" s="44"/>
      <c r="AA39" s="44">
        <f>+'Stmt net assets'!Y39</f>
        <v>37791802</v>
      </c>
      <c r="AB39" s="44"/>
      <c r="AC39" s="44">
        <f>+Y39+'Stmt of activities-GA rev'!AC39-'Stmt of activities-GAexp'!W39-AA39</f>
        <v>0</v>
      </c>
    </row>
    <row r="40" spans="1:29" s="47" customFormat="1" ht="12.75" customHeight="1">
      <c r="A40" s="47" t="s">
        <v>56</v>
      </c>
      <c r="B40" s="51"/>
      <c r="C40" s="47" t="s">
        <v>57</v>
      </c>
      <c r="E40" s="44">
        <f>2211868+1532232+225413</f>
        <v>3969513</v>
      </c>
      <c r="F40" s="44"/>
      <c r="G40" s="44">
        <v>363868</v>
      </c>
      <c r="H40" s="44"/>
      <c r="I40" s="44">
        <v>86835</v>
      </c>
      <c r="J40" s="44"/>
      <c r="K40" s="44">
        <v>222094</v>
      </c>
      <c r="L40" s="44"/>
      <c r="M40" s="44">
        <v>3653385</v>
      </c>
      <c r="N40" s="44"/>
      <c r="O40" s="44">
        <v>8125</v>
      </c>
      <c r="P40" s="44"/>
      <c r="Q40" s="44">
        <v>1432637</v>
      </c>
      <c r="R40" s="44"/>
      <c r="S40" s="44">
        <v>0</v>
      </c>
      <c r="T40" s="44"/>
      <c r="U40" s="44">
        <v>23591</v>
      </c>
      <c r="V40" s="44"/>
      <c r="W40" s="44">
        <f t="shared" si="1"/>
        <v>9760048</v>
      </c>
      <c r="X40" s="44"/>
      <c r="Y40" s="44">
        <v>20062802</v>
      </c>
      <c r="Z40" s="44"/>
      <c r="AA40" s="44">
        <f>+'Stmt net assets'!Y40</f>
        <v>20426613</v>
      </c>
      <c r="AB40" s="44"/>
      <c r="AC40" s="44">
        <f>+Y40+'Stmt of activities-GA rev'!AC40-'Stmt of activities-GAexp'!W40-AA40</f>
        <v>0</v>
      </c>
    </row>
    <row r="41" spans="1:29" s="47" customFormat="1" ht="12.75" customHeight="1">
      <c r="A41" s="47" t="s">
        <v>58</v>
      </c>
      <c r="B41" s="51"/>
      <c r="C41" s="47" t="s">
        <v>59</v>
      </c>
      <c r="E41" s="44">
        <v>4442690</v>
      </c>
      <c r="F41" s="44"/>
      <c r="G41" s="44">
        <v>263223</v>
      </c>
      <c r="H41" s="44"/>
      <c r="I41" s="44">
        <v>1001159</v>
      </c>
      <c r="J41" s="44"/>
      <c r="K41" s="44">
        <v>676373</v>
      </c>
      <c r="L41" s="44"/>
      <c r="M41" s="44">
        <v>1910568</v>
      </c>
      <c r="N41" s="44"/>
      <c r="O41" s="44">
        <v>0</v>
      </c>
      <c r="P41" s="44"/>
      <c r="Q41" s="44">
        <v>3096730</v>
      </c>
      <c r="R41" s="44"/>
      <c r="S41" s="44">
        <v>0</v>
      </c>
      <c r="T41" s="44"/>
      <c r="U41" s="44">
        <v>188399</v>
      </c>
      <c r="V41" s="44"/>
      <c r="W41" s="44">
        <f t="shared" si="1"/>
        <v>11579142</v>
      </c>
      <c r="X41" s="44"/>
      <c r="Y41" s="44">
        <v>22986648</v>
      </c>
      <c r="Z41" s="44"/>
      <c r="AA41" s="44">
        <f>+'Stmt net assets'!Y41</f>
        <v>22628071</v>
      </c>
      <c r="AB41" s="44"/>
      <c r="AC41" s="44">
        <f>+Y41+'Stmt of activities-GA rev'!AC41-'Stmt of activities-GAexp'!W41-AA41</f>
        <v>0</v>
      </c>
    </row>
    <row r="42" spans="1:29" s="47" customFormat="1" ht="12.75" customHeight="1">
      <c r="A42" s="47" t="s">
        <v>476</v>
      </c>
      <c r="B42" s="51"/>
      <c r="C42" s="47" t="s">
        <v>15</v>
      </c>
      <c r="E42" s="44">
        <v>1407459</v>
      </c>
      <c r="F42" s="44"/>
      <c r="G42" s="44">
        <v>0</v>
      </c>
      <c r="H42" s="44"/>
      <c r="I42" s="44">
        <v>105905</v>
      </c>
      <c r="J42" s="44"/>
      <c r="K42" s="44">
        <v>5293</v>
      </c>
      <c r="L42" s="44"/>
      <c r="M42" s="44">
        <v>510360</v>
      </c>
      <c r="N42" s="44"/>
      <c r="O42" s="44">
        <v>0</v>
      </c>
      <c r="P42" s="44"/>
      <c r="Q42" s="44">
        <v>719472</v>
      </c>
      <c r="R42" s="44"/>
      <c r="S42" s="44">
        <v>0</v>
      </c>
      <c r="T42" s="44"/>
      <c r="U42" s="44">
        <v>36376</v>
      </c>
      <c r="V42" s="44"/>
      <c r="W42" s="44">
        <f t="shared" si="1"/>
        <v>2784865</v>
      </c>
      <c r="X42" s="44"/>
      <c r="Y42" s="44">
        <v>8578574</v>
      </c>
      <c r="Z42" s="44"/>
      <c r="AA42" s="44">
        <f>+'Stmt net assets'!Y42</f>
        <v>9178425</v>
      </c>
      <c r="AB42" s="44"/>
      <c r="AC42" s="44">
        <f>+Y42+'Stmt of activities-GA rev'!AC42-'Stmt of activities-GAexp'!W42-AA42</f>
        <v>0</v>
      </c>
    </row>
    <row r="43" spans="1:29" s="47" customFormat="1" ht="12.75" customHeight="1">
      <c r="A43" s="47" t="s">
        <v>60</v>
      </c>
      <c r="B43" s="51"/>
      <c r="C43" s="47" t="s">
        <v>61</v>
      </c>
      <c r="E43" s="44">
        <v>2460922</v>
      </c>
      <c r="F43" s="44"/>
      <c r="G43" s="44">
        <v>60019</v>
      </c>
      <c r="H43" s="44"/>
      <c r="I43" s="44">
        <v>108770</v>
      </c>
      <c r="J43" s="44"/>
      <c r="K43" s="44">
        <v>94611</v>
      </c>
      <c r="L43" s="44"/>
      <c r="M43" s="44">
        <v>1025216</v>
      </c>
      <c r="N43" s="44"/>
      <c r="O43" s="44">
        <v>0</v>
      </c>
      <c r="P43" s="44"/>
      <c r="Q43" s="44">
        <v>910332</v>
      </c>
      <c r="R43" s="44"/>
      <c r="S43" s="44">
        <v>759</v>
      </c>
      <c r="T43" s="44"/>
      <c r="U43" s="44">
        <v>54923</v>
      </c>
      <c r="V43" s="44"/>
      <c r="W43" s="44">
        <f t="shared" si="1"/>
        <v>4715552</v>
      </c>
      <c r="X43" s="44"/>
      <c r="Y43" s="44">
        <v>16001286</v>
      </c>
      <c r="Z43" s="44"/>
      <c r="AA43" s="44">
        <f>+'Stmt net assets'!Y43</f>
        <v>16735605</v>
      </c>
      <c r="AB43" s="44"/>
      <c r="AC43" s="44">
        <f>+Y43+'Stmt of activities-GA rev'!AC43-'Stmt of activities-GAexp'!W43-AA43</f>
        <v>0</v>
      </c>
    </row>
    <row r="44" spans="1:29" s="47" customFormat="1" ht="12.75" customHeight="1">
      <c r="A44" s="47" t="s">
        <v>62</v>
      </c>
      <c r="B44" s="51"/>
      <c r="C44" s="47" t="s">
        <v>15</v>
      </c>
      <c r="E44" s="44">
        <v>38021732</v>
      </c>
      <c r="F44" s="44"/>
      <c r="G44" s="44">
        <v>6789047</v>
      </c>
      <c r="H44" s="44"/>
      <c r="I44" s="44">
        <v>2919500</v>
      </c>
      <c r="J44" s="44"/>
      <c r="K44" s="44">
        <v>9206391</v>
      </c>
      <c r="L44" s="44"/>
      <c r="M44" s="44">
        <v>12594651</v>
      </c>
      <c r="N44" s="44"/>
      <c r="O44" s="44">
        <v>0</v>
      </c>
      <c r="P44" s="44"/>
      <c r="Q44" s="44">
        <v>17916837</v>
      </c>
      <c r="R44" s="44"/>
      <c r="S44" s="44">
        <v>0</v>
      </c>
      <c r="T44" s="44"/>
      <c r="U44" s="44">
        <v>815188</v>
      </c>
      <c r="V44" s="44"/>
      <c r="W44" s="44">
        <f t="shared" si="1"/>
        <v>88263346</v>
      </c>
      <c r="X44" s="44"/>
      <c r="Y44" s="44">
        <v>128691816</v>
      </c>
      <c r="Z44" s="44"/>
      <c r="AA44" s="44">
        <f>+'Stmt net assets'!Y44</f>
        <v>126340656</v>
      </c>
      <c r="AB44" s="44"/>
      <c r="AC44" s="44">
        <f>+Y44+'Stmt of activities-GA rev'!AC44-'Stmt of activities-GAexp'!W44-AA44</f>
        <v>0</v>
      </c>
    </row>
    <row r="45" spans="1:29" s="47" customFormat="1" ht="12.75" customHeight="1">
      <c r="A45" s="47" t="s">
        <v>485</v>
      </c>
      <c r="B45" s="51"/>
      <c r="C45" s="47" t="s">
        <v>111</v>
      </c>
      <c r="E45" s="44">
        <v>768654</v>
      </c>
      <c r="F45" s="44"/>
      <c r="G45" s="44">
        <v>0</v>
      </c>
      <c r="H45" s="44"/>
      <c r="I45" s="44">
        <v>8905</v>
      </c>
      <c r="J45" s="44"/>
      <c r="K45" s="44">
        <v>111033</v>
      </c>
      <c r="L45" s="44"/>
      <c r="M45" s="44">
        <v>859873</v>
      </c>
      <c r="N45" s="44"/>
      <c r="O45" s="44">
        <v>0</v>
      </c>
      <c r="P45" s="44"/>
      <c r="Q45" s="44">
        <v>634178</v>
      </c>
      <c r="R45" s="44"/>
      <c r="S45" s="44">
        <v>0</v>
      </c>
      <c r="T45" s="44"/>
      <c r="U45" s="44">
        <v>127442</v>
      </c>
      <c r="V45" s="44"/>
      <c r="W45" s="44">
        <f t="shared" si="1"/>
        <v>2510085</v>
      </c>
      <c r="X45" s="44"/>
      <c r="Y45" s="44">
        <v>3651105</v>
      </c>
      <c r="Z45" s="44"/>
      <c r="AA45" s="44">
        <f>+'Stmt net assets'!Y45</f>
        <v>3433374</v>
      </c>
      <c r="AB45" s="44"/>
      <c r="AC45" s="44">
        <f>+Y45+'Stmt of activities-GA rev'!AC45-'Stmt of activities-GAexp'!W45-AA45</f>
        <v>0</v>
      </c>
    </row>
    <row r="46" spans="1:29" s="47" customFormat="1" ht="12.75" customHeight="1">
      <c r="A46" s="47" t="s">
        <v>63</v>
      </c>
      <c r="B46" s="51"/>
      <c r="C46" s="47" t="s">
        <v>64</v>
      </c>
      <c r="E46" s="44">
        <v>3171389</v>
      </c>
      <c r="F46" s="44"/>
      <c r="G46" s="44">
        <v>79768</v>
      </c>
      <c r="H46" s="44"/>
      <c r="I46" s="44">
        <v>951944</v>
      </c>
      <c r="J46" s="44"/>
      <c r="K46" s="44">
        <v>166794</v>
      </c>
      <c r="L46" s="44"/>
      <c r="M46" s="44">
        <v>1544292</v>
      </c>
      <c r="N46" s="44"/>
      <c r="O46" s="44">
        <v>164573</v>
      </c>
      <c r="P46" s="44"/>
      <c r="Q46" s="44">
        <v>1281902</v>
      </c>
      <c r="R46" s="44"/>
      <c r="S46" s="44">
        <v>209011</v>
      </c>
      <c r="T46" s="44"/>
      <c r="U46" s="44">
        <v>255721</v>
      </c>
      <c r="V46" s="44"/>
      <c r="W46" s="44">
        <f t="shared" si="1"/>
        <v>7825394</v>
      </c>
      <c r="X46" s="44"/>
      <c r="Y46" s="44">
        <v>15593823</v>
      </c>
      <c r="Z46" s="44"/>
      <c r="AA46" s="44">
        <f>+'Stmt net assets'!Y46</f>
        <v>16523754</v>
      </c>
      <c r="AB46" s="44"/>
      <c r="AC46" s="44">
        <f>+Y46+'Stmt of activities-GA rev'!AC46-'Stmt of activities-GAexp'!W46-AA46</f>
        <v>0</v>
      </c>
    </row>
    <row r="47" spans="1:29" s="47" customFormat="1" ht="12.75" customHeight="1">
      <c r="A47" s="47" t="s">
        <v>65</v>
      </c>
      <c r="B47" s="51"/>
      <c r="C47" s="47" t="s">
        <v>66</v>
      </c>
      <c r="E47" s="44">
        <v>6453724</v>
      </c>
      <c r="F47" s="44"/>
      <c r="G47" s="44">
        <v>0</v>
      </c>
      <c r="H47" s="44"/>
      <c r="I47" s="44">
        <v>305028</v>
      </c>
      <c r="J47" s="44"/>
      <c r="K47" s="44">
        <v>311971</v>
      </c>
      <c r="L47" s="44"/>
      <c r="M47" s="44">
        <v>4605002</v>
      </c>
      <c r="N47" s="44"/>
      <c r="O47" s="44">
        <v>0</v>
      </c>
      <c r="P47" s="44"/>
      <c r="Q47" s="44">
        <v>4527738</v>
      </c>
      <c r="R47" s="44"/>
      <c r="S47" s="44">
        <v>0</v>
      </c>
      <c r="T47" s="44"/>
      <c r="U47" s="44">
        <v>404629</v>
      </c>
      <c r="V47" s="44"/>
      <c r="W47" s="44">
        <f t="shared" si="1"/>
        <v>16608092</v>
      </c>
      <c r="X47" s="44"/>
      <c r="Y47" s="44">
        <v>68025239</v>
      </c>
      <c r="Z47" s="44"/>
      <c r="AA47" s="44">
        <f>+'Stmt net assets'!Y47</f>
        <v>69194900</v>
      </c>
      <c r="AB47" s="44"/>
      <c r="AC47" s="44">
        <f>+Y47+'Stmt of activities-GA rev'!AC47-'Stmt of activities-GAexp'!W47-AA47</f>
        <v>0</v>
      </c>
    </row>
    <row r="48" spans="1:29" s="47" customFormat="1" ht="12.75" customHeight="1">
      <c r="A48" s="47" t="s">
        <v>67</v>
      </c>
      <c r="B48" s="51"/>
      <c r="C48" s="47" t="s">
        <v>375</v>
      </c>
      <c r="E48" s="44">
        <v>2949520</v>
      </c>
      <c r="F48" s="44"/>
      <c r="G48" s="44">
        <v>89810</v>
      </c>
      <c r="H48" s="44"/>
      <c r="I48" s="44">
        <v>265561</v>
      </c>
      <c r="J48" s="44"/>
      <c r="K48" s="44">
        <v>296522</v>
      </c>
      <c r="L48" s="44"/>
      <c r="M48" s="44">
        <v>2138512</v>
      </c>
      <c r="N48" s="44"/>
      <c r="O48" s="44">
        <v>0</v>
      </c>
      <c r="P48" s="44"/>
      <c r="Q48" s="44">
        <v>3591234</v>
      </c>
      <c r="R48" s="44"/>
      <c r="S48" s="44">
        <v>0</v>
      </c>
      <c r="T48" s="44"/>
      <c r="U48" s="44">
        <v>39678</v>
      </c>
      <c r="V48" s="44"/>
      <c r="W48" s="44">
        <f t="shared" si="1"/>
        <v>9370837</v>
      </c>
      <c r="X48" s="44"/>
      <c r="Y48" s="44">
        <v>41205937</v>
      </c>
      <c r="Z48" s="44"/>
      <c r="AA48" s="44">
        <f>+'Stmt net assets'!Y48</f>
        <v>41294629</v>
      </c>
      <c r="AB48" s="44"/>
      <c r="AC48" s="44">
        <f>+Y48+'Stmt of activities-GA rev'!AC48-'Stmt of activities-GAexp'!W48-AA48</f>
        <v>0</v>
      </c>
    </row>
    <row r="49" spans="1:30" s="47" customFormat="1" ht="12.75" customHeight="1">
      <c r="A49" s="47" t="s">
        <v>68</v>
      </c>
      <c r="B49" s="51"/>
      <c r="C49" s="47" t="s">
        <v>45</v>
      </c>
      <c r="E49" s="44">
        <v>2052699</v>
      </c>
      <c r="F49" s="44"/>
      <c r="G49" s="44">
        <v>22359</v>
      </c>
      <c r="H49" s="44"/>
      <c r="I49" s="44">
        <v>122931</v>
      </c>
      <c r="J49" s="44"/>
      <c r="K49" s="44">
        <v>30236</v>
      </c>
      <c r="L49" s="44"/>
      <c r="M49" s="44">
        <v>821500</v>
      </c>
      <c r="N49" s="44"/>
      <c r="O49" s="44">
        <v>368839</v>
      </c>
      <c r="P49" s="44"/>
      <c r="Q49" s="44">
        <v>1494323</v>
      </c>
      <c r="R49" s="44"/>
      <c r="S49" s="44">
        <v>0</v>
      </c>
      <c r="T49" s="44"/>
      <c r="U49" s="44">
        <v>2264</v>
      </c>
      <c r="V49" s="44"/>
      <c r="W49" s="44">
        <f t="shared" si="1"/>
        <v>4915151</v>
      </c>
      <c r="X49" s="44"/>
      <c r="Y49" s="44">
        <v>5442663</v>
      </c>
      <c r="Z49" s="44"/>
      <c r="AA49" s="44">
        <f>+'Stmt net assets'!Y49</f>
        <v>5647474</v>
      </c>
      <c r="AB49" s="44"/>
      <c r="AC49" s="44">
        <f>+Y49+'Stmt of activities-GA rev'!AC49-'Stmt of activities-GAexp'!W49-AA49</f>
        <v>0</v>
      </c>
    </row>
    <row r="50" spans="1:30" s="47" customFormat="1" ht="12.75" customHeight="1">
      <c r="A50" s="47" t="s">
        <v>69</v>
      </c>
      <c r="B50" s="51"/>
      <c r="C50" s="47" t="s">
        <v>70</v>
      </c>
      <c r="E50" s="44">
        <f>5921752+5427992</f>
        <v>11349744</v>
      </c>
      <c r="F50" s="44"/>
      <c r="G50" s="44">
        <v>0</v>
      </c>
      <c r="H50" s="44"/>
      <c r="I50" s="44">
        <v>969074</v>
      </c>
      <c r="J50" s="44"/>
      <c r="K50" s="44">
        <v>1172801</v>
      </c>
      <c r="L50" s="44"/>
      <c r="M50" s="44">
        <v>5650615</v>
      </c>
      <c r="N50" s="44"/>
      <c r="O50" s="44">
        <v>856056</v>
      </c>
      <c r="P50" s="44"/>
      <c r="Q50" s="44">
        <v>5967188</v>
      </c>
      <c r="R50" s="44"/>
      <c r="S50" s="44">
        <v>0</v>
      </c>
      <c r="T50" s="44"/>
      <c r="U50" s="44">
        <v>132305</v>
      </c>
      <c r="V50" s="44"/>
      <c r="W50" s="44">
        <f t="shared" si="1"/>
        <v>26097783</v>
      </c>
      <c r="X50" s="44"/>
      <c r="Y50" s="44">
        <v>45373164</v>
      </c>
      <c r="Z50" s="44"/>
      <c r="AA50" s="44">
        <f>+'Stmt net assets'!Y50</f>
        <v>42687075</v>
      </c>
      <c r="AB50" s="44"/>
      <c r="AC50" s="44">
        <f>+Y50+'Stmt of activities-GA rev'!AC50-'Stmt of activities-GAexp'!W50-AA50</f>
        <v>0</v>
      </c>
    </row>
    <row r="51" spans="1:30" s="47" customFormat="1" ht="12.75" customHeight="1">
      <c r="A51" s="47" t="s">
        <v>71</v>
      </c>
      <c r="B51" s="51"/>
      <c r="C51" s="47" t="s">
        <v>45</v>
      </c>
      <c r="E51" s="44">
        <v>254725000</v>
      </c>
      <c r="F51" s="44"/>
      <c r="G51" s="44">
        <v>59047000</v>
      </c>
      <c r="H51" s="44"/>
      <c r="I51" s="44">
        <v>51379000</v>
      </c>
      <c r="J51" s="44"/>
      <c r="K51" s="44">
        <v>51427000</v>
      </c>
      <c r="L51" s="44"/>
      <c r="M51" s="44">
        <v>46822000</v>
      </c>
      <c r="N51" s="44"/>
      <c r="O51" s="44">
        <v>60991000</v>
      </c>
      <c r="P51" s="44"/>
      <c r="Q51" s="44">
        <v>188039000</v>
      </c>
      <c r="R51" s="44"/>
      <c r="S51" s="44">
        <v>40398000</v>
      </c>
      <c r="T51" s="44"/>
      <c r="U51" s="44">
        <v>22410000</v>
      </c>
      <c r="V51" s="44"/>
      <c r="W51" s="44">
        <f t="shared" si="1"/>
        <v>775238000</v>
      </c>
      <c r="X51" s="44"/>
      <c r="Y51" s="44">
        <v>869028000</v>
      </c>
      <c r="Z51" s="44"/>
      <c r="AA51" s="44">
        <f>+'Stmt net assets'!Y51</f>
        <v>788781000</v>
      </c>
      <c r="AB51" s="44"/>
      <c r="AC51" s="44">
        <f>+Y51+'Stmt of activities-GA rev'!AC51-'Stmt of activities-GAexp'!W51-AA51</f>
        <v>0</v>
      </c>
    </row>
    <row r="52" spans="1:30" s="47" customFormat="1" ht="12.75" customHeight="1">
      <c r="A52" s="47" t="s">
        <v>463</v>
      </c>
      <c r="B52" s="51"/>
      <c r="C52" s="47" t="s">
        <v>464</v>
      </c>
      <c r="E52" s="44">
        <f>2669511+1652861+238304</f>
        <v>4560676</v>
      </c>
      <c r="F52" s="44"/>
      <c r="G52" s="44">
        <v>183508</v>
      </c>
      <c r="H52" s="44"/>
      <c r="I52" s="44">
        <f>143500+27075+25523</f>
        <v>196098</v>
      </c>
      <c r="J52" s="44"/>
      <c r="K52" s="44">
        <f>12114+634119</f>
        <v>646233</v>
      </c>
      <c r="L52" s="44"/>
      <c r="M52" s="44">
        <v>1883341</v>
      </c>
      <c r="N52" s="44"/>
      <c r="O52" s="44">
        <v>0</v>
      </c>
      <c r="P52" s="44"/>
      <c r="Q52" s="44">
        <v>2878529</v>
      </c>
      <c r="R52" s="44"/>
      <c r="S52" s="44">
        <v>0</v>
      </c>
      <c r="T52" s="44"/>
      <c r="U52" s="44">
        <v>226217</v>
      </c>
      <c r="V52" s="44"/>
      <c r="W52" s="44">
        <f t="shared" si="1"/>
        <v>10574602</v>
      </c>
      <c r="X52" s="44"/>
      <c r="Y52" s="44">
        <v>25615116</v>
      </c>
      <c r="Z52" s="44"/>
      <c r="AA52" s="44">
        <f>+'Stmt net assets'!Y52</f>
        <v>26569903</v>
      </c>
      <c r="AB52" s="44"/>
      <c r="AC52" s="44">
        <f>+Y52+'Stmt of activities-GA rev'!AC52-'Stmt of activities-GAexp'!W52-AA52</f>
        <v>0</v>
      </c>
    </row>
    <row r="53" spans="1:30" s="47" customFormat="1" ht="12.75" customHeight="1">
      <c r="A53" s="47" t="s">
        <v>72</v>
      </c>
      <c r="B53" s="51"/>
      <c r="C53" s="47" t="s">
        <v>66</v>
      </c>
      <c r="E53" s="44">
        <v>3314654</v>
      </c>
      <c r="F53" s="44"/>
      <c r="G53" s="44">
        <v>4576</v>
      </c>
      <c r="H53" s="44"/>
      <c r="I53" s="44">
        <v>0</v>
      </c>
      <c r="J53" s="44"/>
      <c r="K53" s="44">
        <v>7935</v>
      </c>
      <c r="L53" s="44"/>
      <c r="M53" s="44">
        <v>1413580</v>
      </c>
      <c r="N53" s="44"/>
      <c r="O53" s="44">
        <v>0</v>
      </c>
      <c r="P53" s="44"/>
      <c r="Q53" s="44">
        <v>3078190</v>
      </c>
      <c r="R53" s="44"/>
      <c r="S53" s="44">
        <v>0</v>
      </c>
      <c r="T53" s="44"/>
      <c r="U53" s="44">
        <v>234683</v>
      </c>
      <c r="V53" s="44"/>
      <c r="W53" s="44">
        <f t="shared" si="1"/>
        <v>8053618</v>
      </c>
      <c r="X53" s="44"/>
      <c r="Y53" s="44">
        <v>10166739</v>
      </c>
      <c r="Z53" s="44"/>
      <c r="AA53" s="44">
        <f>+'Stmt net assets'!Y53</f>
        <v>12107008</v>
      </c>
      <c r="AB53" s="44"/>
      <c r="AC53" s="44">
        <f>+Y53+'Stmt of activities-GA rev'!AC53-'Stmt of activities-GAexp'!W53-AA53</f>
        <v>0</v>
      </c>
    </row>
    <row r="54" spans="1:30" s="47" customFormat="1" ht="12.75" customHeight="1">
      <c r="A54" s="47" t="s">
        <v>73</v>
      </c>
      <c r="C54" s="47" t="s">
        <v>27</v>
      </c>
      <c r="E54" s="44">
        <v>324216000</v>
      </c>
      <c r="F54" s="44"/>
      <c r="G54" s="44">
        <v>19803000</v>
      </c>
      <c r="H54" s="44"/>
      <c r="I54" s="44">
        <v>47117000</v>
      </c>
      <c r="J54" s="44"/>
      <c r="K54" s="44">
        <f>70637000+24734000</f>
        <v>95371000</v>
      </c>
      <c r="L54" s="44"/>
      <c r="M54" s="44">
        <v>93223000</v>
      </c>
      <c r="N54" s="44"/>
      <c r="O54" s="44">
        <v>0</v>
      </c>
      <c r="P54" s="44"/>
      <c r="Q54" s="44">
        <v>86422000</v>
      </c>
      <c r="R54" s="44"/>
      <c r="S54" s="44">
        <v>17447000</v>
      </c>
      <c r="T54" s="44"/>
      <c r="U54" s="44">
        <v>47531000</v>
      </c>
      <c r="V54" s="44"/>
      <c r="W54" s="44">
        <f t="shared" si="1"/>
        <v>731130000</v>
      </c>
      <c r="X54" s="44"/>
      <c r="Y54" s="44">
        <v>593833000</v>
      </c>
      <c r="Z54" s="44"/>
      <c r="AA54" s="44">
        <f>+'Stmt net assets'!Y54</f>
        <v>578950000</v>
      </c>
      <c r="AB54" s="44"/>
      <c r="AC54" s="44">
        <f>+Y54+'Stmt of activities-GA rev'!AC54-'Stmt of activities-GAexp'!W54-AA54</f>
        <v>0</v>
      </c>
    </row>
    <row r="55" spans="1:30" s="47" customFormat="1" ht="12.75" customHeight="1">
      <c r="A55" s="47" t="s">
        <v>74</v>
      </c>
      <c r="B55" s="51"/>
      <c r="C55" s="47" t="s">
        <v>27</v>
      </c>
      <c r="E55" s="44">
        <v>18609133</v>
      </c>
      <c r="F55" s="44"/>
      <c r="G55" s="44">
        <v>360546</v>
      </c>
      <c r="H55" s="44"/>
      <c r="I55" s="44">
        <v>3562465</v>
      </c>
      <c r="J55" s="44"/>
      <c r="K55" s="44">
        <v>7154037</v>
      </c>
      <c r="L55" s="44"/>
      <c r="M55" s="44">
        <v>6409007</v>
      </c>
      <c r="N55" s="44"/>
      <c r="O55" s="44">
        <v>0</v>
      </c>
      <c r="P55" s="44"/>
      <c r="Q55" s="44">
        <v>14282803</v>
      </c>
      <c r="R55" s="44"/>
      <c r="S55" s="44">
        <v>2396825</v>
      </c>
      <c r="T55" s="44"/>
      <c r="U55" s="44">
        <v>591782</v>
      </c>
      <c r="V55" s="44"/>
      <c r="W55" s="44">
        <f t="shared" si="1"/>
        <v>53366598</v>
      </c>
      <c r="X55" s="44"/>
      <c r="Y55" s="44">
        <v>71191456</v>
      </c>
      <c r="Z55" s="44"/>
      <c r="AA55" s="44">
        <f>+'Stmt net assets'!Y55</f>
        <v>74539037</v>
      </c>
      <c r="AB55" s="44"/>
      <c r="AC55" s="44">
        <f>+Y55+'Stmt of activities-GA rev'!AC55-'Stmt of activities-GAexp'!W55-AA55</f>
        <v>0</v>
      </c>
    </row>
    <row r="56" spans="1:30" s="47" customFormat="1" ht="12.75" customHeight="1">
      <c r="A56" s="47" t="s">
        <v>75</v>
      </c>
      <c r="B56" s="51"/>
      <c r="C56" s="47" t="s">
        <v>76</v>
      </c>
      <c r="E56" s="44">
        <v>2004026</v>
      </c>
      <c r="F56" s="44"/>
      <c r="G56" s="44">
        <v>633989</v>
      </c>
      <c r="H56" s="44"/>
      <c r="I56" s="44">
        <v>234876</v>
      </c>
      <c r="J56" s="44"/>
      <c r="K56" s="44">
        <v>388025</v>
      </c>
      <c r="L56" s="44"/>
      <c r="M56" s="44">
        <v>764255</v>
      </c>
      <c r="N56" s="44"/>
      <c r="O56" s="44">
        <v>0</v>
      </c>
      <c r="P56" s="44"/>
      <c r="Q56" s="44">
        <v>1032261</v>
      </c>
      <c r="R56" s="44"/>
      <c r="S56" s="44">
        <v>0</v>
      </c>
      <c r="T56" s="44"/>
      <c r="U56" s="44">
        <v>207205</v>
      </c>
      <c r="V56" s="44"/>
      <c r="W56" s="44">
        <f t="shared" si="1"/>
        <v>5264637</v>
      </c>
      <c r="X56" s="44"/>
      <c r="Y56" s="44">
        <v>14310384</v>
      </c>
      <c r="Z56" s="44"/>
      <c r="AA56" s="44">
        <f>+'Stmt net assets'!Y56</f>
        <v>14612770</v>
      </c>
      <c r="AB56" s="44"/>
      <c r="AC56" s="44">
        <f>+Y56+'Stmt of activities-GA rev'!AC56-'Stmt of activities-GAexp'!W56-AA56</f>
        <v>0</v>
      </c>
    </row>
    <row r="57" spans="1:30" s="47" customFormat="1" ht="12.75" customHeight="1">
      <c r="A57" s="47" t="s">
        <v>77</v>
      </c>
      <c r="B57" s="51"/>
      <c r="C57" s="47" t="s">
        <v>43</v>
      </c>
      <c r="E57" s="44">
        <v>502977000</v>
      </c>
      <c r="F57" s="44"/>
      <c r="G57" s="44">
        <v>41190000</v>
      </c>
      <c r="H57" s="44"/>
      <c r="I57" s="44">
        <v>127054000</v>
      </c>
      <c r="J57" s="44"/>
      <c r="K57" s="44">
        <v>70284000</v>
      </c>
      <c r="L57" s="44"/>
      <c r="M57" s="44">
        <v>148277000</v>
      </c>
      <c r="N57" s="44"/>
      <c r="O57" s="44">
        <v>0</v>
      </c>
      <c r="P57" s="44"/>
      <c r="Q57" s="44">
        <v>125973000</v>
      </c>
      <c r="R57" s="44"/>
      <c r="S57" s="44">
        <v>0</v>
      </c>
      <c r="T57" s="44"/>
      <c r="U57" s="44">
        <v>39440000</v>
      </c>
      <c r="V57" s="44"/>
      <c r="W57" s="44">
        <f t="shared" si="1"/>
        <v>1055195000</v>
      </c>
      <c r="X57" s="44"/>
      <c r="Y57" s="44">
        <v>1224338000</v>
      </c>
      <c r="Z57" s="44"/>
      <c r="AA57" s="44">
        <f>+'Stmt net assets'!Y57</f>
        <v>1338980000</v>
      </c>
      <c r="AB57" s="44"/>
      <c r="AC57" s="44">
        <f>+Y57+'Stmt of activities-GA rev'!AC57-'Stmt of activities-GAexp'!W57-AA57</f>
        <v>0</v>
      </c>
    </row>
    <row r="58" spans="1:30" s="47" customFormat="1" ht="12.75" customHeight="1">
      <c r="A58" s="47" t="s">
        <v>94</v>
      </c>
      <c r="B58" s="51"/>
      <c r="C58" s="47" t="s">
        <v>94</v>
      </c>
      <c r="E58" s="44">
        <v>1517409</v>
      </c>
      <c r="F58" s="44"/>
      <c r="G58" s="44">
        <v>159633</v>
      </c>
      <c r="H58" s="44"/>
      <c r="I58" s="44">
        <v>362208</v>
      </c>
      <c r="J58" s="44"/>
      <c r="K58" s="44">
        <v>0</v>
      </c>
      <c r="L58" s="44"/>
      <c r="M58" s="44">
        <v>486549</v>
      </c>
      <c r="N58" s="44"/>
      <c r="O58" s="44">
        <v>0</v>
      </c>
      <c r="P58" s="44"/>
      <c r="Q58" s="44">
        <v>703485</v>
      </c>
      <c r="R58" s="44"/>
      <c r="S58" s="44">
        <v>0</v>
      </c>
      <c r="T58" s="44"/>
      <c r="U58" s="44">
        <v>1375</v>
      </c>
      <c r="V58" s="44"/>
      <c r="W58" s="44">
        <f t="shared" si="1"/>
        <v>3230659</v>
      </c>
      <c r="X58" s="44"/>
      <c r="Y58" s="44">
        <v>8181051</v>
      </c>
      <c r="Z58" s="44"/>
      <c r="AA58" s="44">
        <f>+'Stmt net assets'!Y58</f>
        <v>8381803</v>
      </c>
      <c r="AB58" s="44"/>
      <c r="AC58" s="44">
        <f>+Y58+'Stmt of activities-GA rev'!AC58-'Stmt of activities-GAexp'!W58-AA58</f>
        <v>0</v>
      </c>
    </row>
    <row r="59" spans="1:30" s="47" customFormat="1" ht="12.75" customHeight="1">
      <c r="A59" s="47" t="s">
        <v>78</v>
      </c>
      <c r="B59" s="51"/>
      <c r="C59" s="47" t="s">
        <v>19</v>
      </c>
      <c r="E59" s="44">
        <v>3362411</v>
      </c>
      <c r="F59" s="44"/>
      <c r="G59" s="44">
        <v>312558</v>
      </c>
      <c r="H59" s="44"/>
      <c r="I59" s="44">
        <v>136287</v>
      </c>
      <c r="J59" s="44"/>
      <c r="K59" s="44">
        <v>310981</v>
      </c>
      <c r="L59" s="44"/>
      <c r="M59" s="44">
        <v>2321555</v>
      </c>
      <c r="N59" s="44"/>
      <c r="O59" s="44">
        <v>109837</v>
      </c>
      <c r="P59" s="44"/>
      <c r="Q59" s="44">
        <v>1226765</v>
      </c>
      <c r="R59" s="44"/>
      <c r="S59" s="44">
        <v>0</v>
      </c>
      <c r="T59" s="44"/>
      <c r="U59" s="44">
        <v>132375</v>
      </c>
      <c r="V59" s="44"/>
      <c r="W59" s="44">
        <f t="shared" si="1"/>
        <v>7912769</v>
      </c>
      <c r="X59" s="44"/>
      <c r="Y59" s="44">
        <v>32773301</v>
      </c>
      <c r="Z59" s="44"/>
      <c r="AA59" s="44">
        <f>+'Stmt net assets'!Y59</f>
        <v>31440948</v>
      </c>
      <c r="AB59" s="44"/>
      <c r="AC59" s="44">
        <f>+Y59+'Stmt of activities-GA rev'!AC59-'Stmt of activities-GAexp'!W59-AA59</f>
        <v>0</v>
      </c>
    </row>
    <row r="60" spans="1:30" s="47" customFormat="1" ht="12.75" customHeight="1">
      <c r="A60" s="47" t="s">
        <v>79</v>
      </c>
      <c r="B60" s="51"/>
      <c r="C60" s="47" t="s">
        <v>80</v>
      </c>
      <c r="E60" s="44">
        <v>2510456</v>
      </c>
      <c r="F60" s="44"/>
      <c r="G60" s="44">
        <v>0</v>
      </c>
      <c r="H60" s="44"/>
      <c r="I60" s="44">
        <v>30237</v>
      </c>
      <c r="J60" s="44"/>
      <c r="K60" s="44">
        <v>52122</v>
      </c>
      <c r="L60" s="44"/>
      <c r="M60" s="44">
        <v>371735</v>
      </c>
      <c r="N60" s="44"/>
      <c r="O60" s="44">
        <v>0</v>
      </c>
      <c r="P60" s="44"/>
      <c r="Q60" s="44">
        <v>670820</v>
      </c>
      <c r="R60" s="44"/>
      <c r="S60" s="44">
        <v>0</v>
      </c>
      <c r="T60" s="44"/>
      <c r="U60" s="44">
        <v>0</v>
      </c>
      <c r="V60" s="44"/>
      <c r="W60" s="44">
        <f t="shared" si="1"/>
        <v>3635370</v>
      </c>
      <c r="X60" s="44"/>
      <c r="Y60" s="44">
        <v>5904039</v>
      </c>
      <c r="Z60" s="44"/>
      <c r="AA60" s="44">
        <f>+'Stmt net assets'!Y60</f>
        <v>6048775</v>
      </c>
      <c r="AB60" s="44"/>
      <c r="AC60" s="44">
        <f>+Y60+'Stmt of activities-GA rev'!AC60-'Stmt of activities-GAexp'!W60-AA60</f>
        <v>0</v>
      </c>
    </row>
    <row r="61" spans="1:30" s="47" customFormat="1" ht="12.75" customHeight="1">
      <c r="A61" s="47" t="s">
        <v>81</v>
      </c>
      <c r="B61" s="51"/>
      <c r="C61" s="47" t="s">
        <v>81</v>
      </c>
      <c r="E61" s="44">
        <v>3540375</v>
      </c>
      <c r="F61" s="44"/>
      <c r="G61" s="44">
        <v>1197119</v>
      </c>
      <c r="H61" s="44"/>
      <c r="I61" s="44">
        <v>178364</v>
      </c>
      <c r="J61" s="44"/>
      <c r="K61" s="44">
        <v>15476</v>
      </c>
      <c r="L61" s="44"/>
      <c r="M61" s="44">
        <v>777597</v>
      </c>
      <c r="N61" s="44"/>
      <c r="O61" s="44">
        <v>0</v>
      </c>
      <c r="P61" s="44"/>
      <c r="Q61" s="44">
        <v>2026403</v>
      </c>
      <c r="R61" s="44"/>
      <c r="S61" s="44">
        <v>1147454</v>
      </c>
      <c r="T61" s="44"/>
      <c r="U61" s="44">
        <v>10708</v>
      </c>
      <c r="V61" s="44"/>
      <c r="W61" s="44">
        <f t="shared" si="1"/>
        <v>8893496</v>
      </c>
      <c r="X61" s="44"/>
      <c r="Y61" s="44">
        <v>8487254</v>
      </c>
      <c r="Z61" s="44"/>
      <c r="AA61" s="44">
        <f>+'Stmt net assets'!Y61</f>
        <v>8737113</v>
      </c>
      <c r="AB61" s="44"/>
      <c r="AC61" s="44">
        <f>+Y61+'Stmt of activities-GA rev'!AC61-'Stmt of activities-GAexp'!W61-AA61</f>
        <v>0</v>
      </c>
    </row>
    <row r="62" spans="1:30" s="122" customFormat="1" ht="12.75" hidden="1" customHeight="1">
      <c r="A62" s="122" t="s">
        <v>465</v>
      </c>
      <c r="C62" s="122" t="s">
        <v>57</v>
      </c>
      <c r="E62" s="121">
        <v>0</v>
      </c>
      <c r="F62" s="121"/>
      <c r="G62" s="121">
        <v>0</v>
      </c>
      <c r="H62" s="121"/>
      <c r="I62" s="121">
        <v>0</v>
      </c>
      <c r="J62" s="121"/>
      <c r="K62" s="121">
        <v>0</v>
      </c>
      <c r="L62" s="121"/>
      <c r="M62" s="121">
        <v>0</v>
      </c>
      <c r="N62" s="121"/>
      <c r="O62" s="121">
        <v>0</v>
      </c>
      <c r="P62" s="121"/>
      <c r="Q62" s="121">
        <v>0</v>
      </c>
      <c r="R62" s="121"/>
      <c r="S62" s="121">
        <v>0</v>
      </c>
      <c r="T62" s="121"/>
      <c r="U62" s="121">
        <v>0</v>
      </c>
      <c r="V62" s="121"/>
      <c r="W62" s="121">
        <f t="shared" si="1"/>
        <v>0</v>
      </c>
      <c r="X62" s="121"/>
      <c r="Y62" s="121">
        <v>0</v>
      </c>
      <c r="Z62" s="121"/>
      <c r="AA62" s="121">
        <f>+'Stmt net assets'!Y62</f>
        <v>0</v>
      </c>
      <c r="AB62" s="121"/>
      <c r="AC62" s="121">
        <f>+Y62+'Stmt of activities-GA rev'!AC62-'Stmt of activities-GAexp'!W62-AA62</f>
        <v>0</v>
      </c>
    </row>
    <row r="63" spans="1:30" s="47" customFormat="1" ht="12.75" customHeight="1">
      <c r="A63" s="47" t="s">
        <v>82</v>
      </c>
      <c r="B63" s="51"/>
      <c r="C63" s="47" t="s">
        <v>13</v>
      </c>
      <c r="E63" s="44">
        <v>20486414</v>
      </c>
      <c r="F63" s="44"/>
      <c r="G63" s="44">
        <v>0</v>
      </c>
      <c r="H63" s="44"/>
      <c r="I63" s="44">
        <v>2412432</v>
      </c>
      <c r="J63" s="44"/>
      <c r="K63" s="44">
        <v>4220657</v>
      </c>
      <c r="L63" s="44"/>
      <c r="M63" s="44">
        <v>8110272</v>
      </c>
      <c r="N63" s="44"/>
      <c r="O63" s="44">
        <v>0</v>
      </c>
      <c r="P63" s="44"/>
      <c r="Q63" s="44">
        <v>7648904</v>
      </c>
      <c r="R63" s="44"/>
      <c r="S63" s="44">
        <v>0</v>
      </c>
      <c r="T63" s="44"/>
      <c r="U63" s="44">
        <v>425181</v>
      </c>
      <c r="V63" s="44"/>
      <c r="W63" s="44">
        <f t="shared" si="1"/>
        <v>43303860</v>
      </c>
      <c r="X63" s="44"/>
      <c r="Y63" s="44">
        <v>97245264</v>
      </c>
      <c r="Z63" s="44"/>
      <c r="AA63" s="44">
        <f>+'Stmt net assets'!Y63</f>
        <v>101989755</v>
      </c>
      <c r="AB63" s="44"/>
      <c r="AC63" s="44">
        <f>+Y63+'Stmt of activities-GA rev'!AC63-'Stmt of activities-GAexp'!W63-AA63</f>
        <v>0</v>
      </c>
      <c r="AD63" s="44"/>
    </row>
    <row r="64" spans="1:30" s="47" customFormat="1" ht="12.75" customHeight="1">
      <c r="A64" s="46"/>
      <c r="B64" s="46"/>
      <c r="C64" s="46"/>
      <c r="D64" s="46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8" t="s">
        <v>484</v>
      </c>
      <c r="AB64" s="44"/>
      <c r="AC64" s="44"/>
    </row>
    <row r="65" spans="1:31" s="47" customFormat="1" ht="12.75" customHeight="1">
      <c r="A65" s="47" t="s">
        <v>83</v>
      </c>
      <c r="B65" s="51"/>
      <c r="C65" s="47" t="s">
        <v>66</v>
      </c>
      <c r="E65" s="46">
        <v>96284218</v>
      </c>
      <c r="F65" s="46"/>
      <c r="G65" s="46">
        <v>2514310</v>
      </c>
      <c r="H65" s="46"/>
      <c r="I65" s="46">
        <v>0</v>
      </c>
      <c r="J65" s="46"/>
      <c r="K65" s="46">
        <f>26843290+8432763</f>
        <v>35276053</v>
      </c>
      <c r="L65" s="46"/>
      <c r="M65" s="46">
        <v>5159078</v>
      </c>
      <c r="N65" s="46"/>
      <c r="O65" s="46">
        <v>0</v>
      </c>
      <c r="P65" s="46"/>
      <c r="Q65" s="46">
        <v>16832625</v>
      </c>
      <c r="R65" s="46"/>
      <c r="S65" s="46">
        <v>41299206</v>
      </c>
      <c r="T65" s="46"/>
      <c r="U65" s="46">
        <v>3978196</v>
      </c>
      <c r="V65" s="46"/>
      <c r="W65" s="46">
        <f t="shared" si="1"/>
        <v>201343686</v>
      </c>
      <c r="X65" s="46"/>
      <c r="Y65" s="46">
        <v>402090543</v>
      </c>
      <c r="Z65" s="46"/>
      <c r="AA65" s="46">
        <f>+'Stmt net assets'!Y65</f>
        <v>428230811</v>
      </c>
      <c r="AB65" s="44"/>
      <c r="AC65" s="44">
        <f>+Y65+'Stmt of activities-GA rev'!AC64-'Stmt of activities-GAexp'!W65-AA65</f>
        <v>0</v>
      </c>
    </row>
    <row r="66" spans="1:31" s="47" customFormat="1" ht="12.75" customHeight="1">
      <c r="A66" s="47" t="s">
        <v>84</v>
      </c>
      <c r="B66" s="51"/>
      <c r="C66" s="47" t="s">
        <v>45</v>
      </c>
      <c r="E66" s="44">
        <v>1240314</v>
      </c>
      <c r="F66" s="44"/>
      <c r="G66" s="44">
        <v>0</v>
      </c>
      <c r="H66" s="44"/>
      <c r="I66" s="44">
        <v>46729</v>
      </c>
      <c r="J66" s="44"/>
      <c r="K66" s="44">
        <v>6985</v>
      </c>
      <c r="L66" s="44"/>
      <c r="M66" s="44">
        <v>964941</v>
      </c>
      <c r="N66" s="44"/>
      <c r="O66" s="44">
        <v>0</v>
      </c>
      <c r="P66" s="44"/>
      <c r="Q66" s="44">
        <v>1333382</v>
      </c>
      <c r="R66" s="44"/>
      <c r="S66" s="44">
        <v>0</v>
      </c>
      <c r="T66" s="44"/>
      <c r="U66" s="44">
        <v>132541</v>
      </c>
      <c r="V66" s="44"/>
      <c r="W66" s="44">
        <f t="shared" si="1"/>
        <v>3724892</v>
      </c>
      <c r="X66" s="44"/>
      <c r="Y66" s="44">
        <v>3216420</v>
      </c>
      <c r="Z66" s="44"/>
      <c r="AA66" s="44">
        <f>+'Stmt net assets'!Y66</f>
        <v>3258309</v>
      </c>
      <c r="AB66" s="44"/>
      <c r="AC66" s="44">
        <f>+Y66+'Stmt of activities-GA rev'!AC65-'Stmt of activities-GAexp'!W66-AA66</f>
        <v>0</v>
      </c>
    </row>
    <row r="67" spans="1:31" s="47" customFormat="1" ht="12.75" customHeight="1">
      <c r="A67" s="47" t="s">
        <v>85</v>
      </c>
      <c r="B67" s="51"/>
      <c r="C67" s="47" t="s">
        <v>85</v>
      </c>
      <c r="E67" s="44">
        <v>6043793</v>
      </c>
      <c r="F67" s="44"/>
      <c r="G67" s="44">
        <v>224256</v>
      </c>
      <c r="H67" s="44"/>
      <c r="I67" s="44">
        <v>740699</v>
      </c>
      <c r="J67" s="44"/>
      <c r="K67" s="44">
        <f>556280+381070</f>
        <v>937350</v>
      </c>
      <c r="L67" s="44"/>
      <c r="M67" s="44">
        <v>2533251</v>
      </c>
      <c r="N67" s="44"/>
      <c r="O67" s="44">
        <v>0</v>
      </c>
      <c r="P67" s="44"/>
      <c r="Q67" s="44">
        <v>3429558</v>
      </c>
      <c r="R67" s="44"/>
      <c r="S67" s="44">
        <v>0</v>
      </c>
      <c r="T67" s="44"/>
      <c r="U67" s="44">
        <v>77825</v>
      </c>
      <c r="V67" s="44"/>
      <c r="W67" s="44">
        <f t="shared" si="1"/>
        <v>13986732</v>
      </c>
      <c r="X67" s="44"/>
      <c r="Y67" s="44">
        <v>23610923</v>
      </c>
      <c r="Z67" s="44"/>
      <c r="AA67" s="44">
        <f>+'Stmt net assets'!Y67</f>
        <v>22468961</v>
      </c>
      <c r="AB67" s="44"/>
      <c r="AC67" s="44">
        <f>+Y67+'Stmt of activities-GA rev'!AC66-'Stmt of activities-GAexp'!W67-AA67</f>
        <v>0</v>
      </c>
    </row>
    <row r="68" spans="1:31" s="47" customFormat="1" ht="12.75" customHeight="1">
      <c r="A68" s="47" t="s">
        <v>86</v>
      </c>
      <c r="B68" s="51"/>
      <c r="C68" s="47" t="s">
        <v>86</v>
      </c>
      <c r="E68" s="44">
        <f>12162111+3116508</f>
        <v>15278619</v>
      </c>
      <c r="F68" s="44"/>
      <c r="G68" s="44">
        <v>0</v>
      </c>
      <c r="H68" s="44"/>
      <c r="I68" s="44">
        <v>1810642</v>
      </c>
      <c r="J68" s="44"/>
      <c r="K68" s="44">
        <v>290966</v>
      </c>
      <c r="L68" s="44"/>
      <c r="M68" s="44">
        <v>3876541</v>
      </c>
      <c r="N68" s="44"/>
      <c r="O68" s="44">
        <v>0</v>
      </c>
      <c r="P68" s="44"/>
      <c r="Q68" s="44">
        <v>4709782</v>
      </c>
      <c r="R68" s="44"/>
      <c r="S68" s="44">
        <v>1134052</v>
      </c>
      <c r="T68" s="44"/>
      <c r="U68" s="44">
        <v>1389592</v>
      </c>
      <c r="V68" s="44"/>
      <c r="W68" s="44">
        <f t="shared" si="1"/>
        <v>28490194</v>
      </c>
      <c r="X68" s="44"/>
      <c r="Y68" s="44">
        <v>65087107</v>
      </c>
      <c r="Z68" s="44"/>
      <c r="AA68" s="44">
        <f>+'Stmt net assets'!Y68</f>
        <v>71618106</v>
      </c>
      <c r="AB68" s="44"/>
      <c r="AC68" s="44">
        <f>+Y68+'Stmt of activities-GA rev'!AC67-'Stmt of activities-GAexp'!W68-AA68</f>
        <v>0</v>
      </c>
    </row>
    <row r="69" spans="1:31" s="47" customFormat="1" ht="12.75" customHeight="1">
      <c r="A69" s="46" t="s">
        <v>87</v>
      </c>
      <c r="B69" s="46"/>
      <c r="C69" s="46" t="s">
        <v>88</v>
      </c>
      <c r="D69" s="46"/>
      <c r="E69" s="44">
        <v>2515248</v>
      </c>
      <c r="F69" s="44"/>
      <c r="G69" s="44">
        <v>51650</v>
      </c>
      <c r="H69" s="44"/>
      <c r="I69" s="44">
        <v>512886</v>
      </c>
      <c r="J69" s="44"/>
      <c r="K69" s="44">
        <v>150</v>
      </c>
      <c r="L69" s="44"/>
      <c r="M69" s="44">
        <v>395350</v>
      </c>
      <c r="N69" s="44"/>
      <c r="O69" s="44">
        <v>0</v>
      </c>
      <c r="P69" s="44"/>
      <c r="Q69" s="44">
        <v>324913</v>
      </c>
      <c r="R69" s="44"/>
      <c r="S69" s="44">
        <v>0</v>
      </c>
      <c r="T69" s="44"/>
      <c r="U69" s="44">
        <v>2380</v>
      </c>
      <c r="V69" s="44"/>
      <c r="W69" s="44">
        <f t="shared" si="1"/>
        <v>3802577</v>
      </c>
      <c r="X69" s="44"/>
      <c r="Y69" s="44">
        <v>4691551</v>
      </c>
      <c r="Z69" s="44"/>
      <c r="AA69" s="44">
        <f>+'Stmt net assets'!Y69</f>
        <v>4734661</v>
      </c>
      <c r="AB69" s="44"/>
      <c r="AC69" s="44">
        <f>+Y69+'Stmt of activities-GA rev'!AC68-'Stmt of activities-GAexp'!W69-AA69</f>
        <v>0</v>
      </c>
    </row>
    <row r="70" spans="1:31" s="47" customFormat="1" ht="12.75" customHeight="1">
      <c r="A70" s="47" t="s">
        <v>395</v>
      </c>
      <c r="B70" s="51"/>
      <c r="C70" s="47" t="s">
        <v>89</v>
      </c>
      <c r="E70" s="44">
        <v>4598535</v>
      </c>
      <c r="F70" s="44"/>
      <c r="G70" s="44">
        <v>840871</v>
      </c>
      <c r="H70" s="44"/>
      <c r="I70" s="44">
        <v>1060145</v>
      </c>
      <c r="J70" s="44"/>
      <c r="K70" s="44">
        <v>106330</v>
      </c>
      <c r="L70" s="44"/>
      <c r="M70" s="44">
        <v>2425295</v>
      </c>
      <c r="N70" s="44"/>
      <c r="O70" s="44">
        <v>610467</v>
      </c>
      <c r="P70" s="44"/>
      <c r="Q70" s="44">
        <v>1369104</v>
      </c>
      <c r="R70" s="44"/>
      <c r="S70" s="44">
        <v>0</v>
      </c>
      <c r="T70" s="44"/>
      <c r="U70" s="44">
        <v>9673</v>
      </c>
      <c r="V70" s="44"/>
      <c r="W70" s="44">
        <f t="shared" si="1"/>
        <v>11020420</v>
      </c>
      <c r="X70" s="44"/>
      <c r="Y70" s="44">
        <v>17134860</v>
      </c>
      <c r="Z70" s="44"/>
      <c r="AA70" s="44">
        <f>+'Stmt net assets'!Y70</f>
        <v>17464644</v>
      </c>
      <c r="AB70" s="46"/>
      <c r="AC70" s="46">
        <f>+Y70+'Stmt of activities-GA rev'!AC69-'Stmt of activities-GAexp'!W70-AA70</f>
        <v>0</v>
      </c>
      <c r="AD70" s="46"/>
      <c r="AE70" s="46"/>
    </row>
    <row r="71" spans="1:31" s="47" customFormat="1" ht="12.75" customHeight="1">
      <c r="A71" s="47" t="s">
        <v>90</v>
      </c>
      <c r="B71" s="96"/>
      <c r="C71" s="47" t="s">
        <v>43</v>
      </c>
      <c r="E71" s="44">
        <v>13733526</v>
      </c>
      <c r="F71" s="44"/>
      <c r="G71" s="44">
        <v>328168</v>
      </c>
      <c r="H71" s="44"/>
      <c r="I71" s="44">
        <v>18671710</v>
      </c>
      <c r="J71" s="44"/>
      <c r="K71" s="44">
        <v>6014478</v>
      </c>
      <c r="L71" s="44"/>
      <c r="M71" s="44">
        <v>8975474</v>
      </c>
      <c r="N71" s="44"/>
      <c r="O71" s="44">
        <v>3404632</v>
      </c>
      <c r="P71" s="44"/>
      <c r="Q71" s="44">
        <v>21346248</v>
      </c>
      <c r="R71" s="44"/>
      <c r="S71" s="44">
        <v>0</v>
      </c>
      <c r="T71" s="44"/>
      <c r="U71" s="44">
        <v>2043616</v>
      </c>
      <c r="V71" s="44"/>
      <c r="W71" s="44">
        <f t="shared" ref="W71" si="2">SUM(E71:U71)</f>
        <v>74517852</v>
      </c>
      <c r="X71" s="44"/>
      <c r="Y71" s="44">
        <v>406454098</v>
      </c>
      <c r="Z71" s="44"/>
      <c r="AA71" s="44">
        <f>+'Stmt net assets'!Y71</f>
        <v>435244501</v>
      </c>
      <c r="AB71" s="44"/>
      <c r="AC71" s="44">
        <f>+Y71+'Stmt of activities-GA rev'!AC70-'Stmt of activities-GAexp'!W71-AA71</f>
        <v>0</v>
      </c>
    </row>
    <row r="72" spans="1:31" s="122" customFormat="1" ht="12.75" hidden="1" customHeight="1">
      <c r="A72" s="122" t="s">
        <v>488</v>
      </c>
      <c r="C72" s="122" t="s">
        <v>27</v>
      </c>
      <c r="E72" s="121">
        <v>0</v>
      </c>
      <c r="F72" s="121"/>
      <c r="G72" s="121">
        <v>0</v>
      </c>
      <c r="H72" s="121"/>
      <c r="I72" s="121">
        <v>0</v>
      </c>
      <c r="J72" s="121"/>
      <c r="K72" s="121">
        <v>0</v>
      </c>
      <c r="L72" s="121"/>
      <c r="M72" s="121">
        <v>0</v>
      </c>
      <c r="N72" s="121"/>
      <c r="O72" s="121">
        <v>0</v>
      </c>
      <c r="P72" s="121"/>
      <c r="Q72" s="121">
        <v>0</v>
      </c>
      <c r="R72" s="121"/>
      <c r="S72" s="121">
        <v>0</v>
      </c>
      <c r="T72" s="121"/>
      <c r="U72" s="121">
        <v>0</v>
      </c>
      <c r="V72" s="121"/>
      <c r="W72" s="121">
        <f t="shared" ref="W72:W133" si="3">SUM(E72:U72)</f>
        <v>0</v>
      </c>
      <c r="X72" s="121"/>
      <c r="Y72" s="121">
        <v>0</v>
      </c>
      <c r="Z72" s="121"/>
      <c r="AA72" s="121">
        <f>+'Stmt net assets'!Y72</f>
        <v>0</v>
      </c>
      <c r="AB72" s="121"/>
      <c r="AC72" s="121">
        <f>+Y72+'Stmt of activities-GA rev'!AC71-'Stmt of activities-GAexp'!W72-AA72</f>
        <v>0</v>
      </c>
    </row>
    <row r="73" spans="1:31" s="47" customFormat="1" ht="12.75" customHeight="1">
      <c r="A73" s="44" t="s">
        <v>93</v>
      </c>
      <c r="C73" s="44" t="s">
        <v>94</v>
      </c>
      <c r="E73" s="44">
        <v>3124238</v>
      </c>
      <c r="F73" s="44"/>
      <c r="G73" s="44">
        <v>210156</v>
      </c>
      <c r="H73" s="44"/>
      <c r="I73" s="44">
        <v>160296</v>
      </c>
      <c r="J73" s="44"/>
      <c r="K73" s="44">
        <v>457357</v>
      </c>
      <c r="L73" s="44"/>
      <c r="M73" s="44">
        <v>1030615</v>
      </c>
      <c r="N73" s="44"/>
      <c r="O73" s="44">
        <v>0</v>
      </c>
      <c r="P73" s="44"/>
      <c r="Q73" s="44">
        <v>1472126</v>
      </c>
      <c r="R73" s="44"/>
      <c r="S73" s="44">
        <v>0</v>
      </c>
      <c r="T73" s="44"/>
      <c r="U73" s="44">
        <v>82721</v>
      </c>
      <c r="V73" s="44"/>
      <c r="W73" s="44">
        <f t="shared" si="3"/>
        <v>6537509</v>
      </c>
      <c r="X73" s="44"/>
      <c r="Y73" s="44">
        <v>6369965</v>
      </c>
      <c r="Z73" s="44"/>
      <c r="AA73" s="44">
        <f>+'Stmt net assets'!Y73</f>
        <v>6158260</v>
      </c>
      <c r="AB73" s="44"/>
      <c r="AC73" s="44">
        <f>+Y73+'Stmt of activities-GA rev'!AC73-'Stmt of activities-GAexp'!W73-AA73</f>
        <v>0</v>
      </c>
    </row>
    <row r="74" spans="1:31" s="46" customFormat="1" ht="12.75" customHeight="1">
      <c r="A74" s="46" t="s">
        <v>95</v>
      </c>
      <c r="B74" s="66"/>
      <c r="C74" s="46" t="s">
        <v>94</v>
      </c>
      <c r="E74" s="44">
        <v>1106887</v>
      </c>
      <c r="F74" s="44"/>
      <c r="G74" s="44">
        <v>70781</v>
      </c>
      <c r="H74" s="44"/>
      <c r="I74" s="44">
        <v>326145</v>
      </c>
      <c r="J74" s="44"/>
      <c r="K74" s="44">
        <v>162713</v>
      </c>
      <c r="L74" s="44"/>
      <c r="M74" s="44">
        <v>387950</v>
      </c>
      <c r="N74" s="44"/>
      <c r="O74" s="44">
        <v>0</v>
      </c>
      <c r="P74" s="44"/>
      <c r="Q74" s="44">
        <v>573272</v>
      </c>
      <c r="R74" s="44"/>
      <c r="S74" s="44">
        <v>0</v>
      </c>
      <c r="T74" s="44"/>
      <c r="U74" s="44">
        <v>31870</v>
      </c>
      <c r="V74" s="44"/>
      <c r="W74" s="44">
        <f t="shared" si="3"/>
        <v>2659618</v>
      </c>
      <c r="X74" s="44"/>
      <c r="Y74" s="44">
        <v>5319978</v>
      </c>
      <c r="Z74" s="44"/>
      <c r="AA74" s="44">
        <f>+'Stmt net assets'!Y74</f>
        <v>5245390</v>
      </c>
      <c r="AB74" s="44"/>
      <c r="AC74" s="44">
        <f>+Y74+'Stmt of activities-GA rev'!AC74-'Stmt of activities-GAexp'!W74-AA74</f>
        <v>0</v>
      </c>
    </row>
    <row r="75" spans="1:31" s="122" customFormat="1" ht="12.75" hidden="1" customHeight="1">
      <c r="A75" s="122" t="s">
        <v>91</v>
      </c>
      <c r="B75" s="124"/>
      <c r="C75" s="122" t="s">
        <v>92</v>
      </c>
      <c r="E75" s="121">
        <v>0</v>
      </c>
      <c r="F75" s="121"/>
      <c r="G75" s="121">
        <v>0</v>
      </c>
      <c r="H75" s="121"/>
      <c r="I75" s="121">
        <v>0</v>
      </c>
      <c r="J75" s="121"/>
      <c r="K75" s="121">
        <v>0</v>
      </c>
      <c r="L75" s="121"/>
      <c r="M75" s="121">
        <v>0</v>
      </c>
      <c r="N75" s="121"/>
      <c r="O75" s="121">
        <v>0</v>
      </c>
      <c r="P75" s="121"/>
      <c r="Q75" s="121">
        <v>0</v>
      </c>
      <c r="R75" s="121"/>
      <c r="S75" s="121">
        <v>0</v>
      </c>
      <c r="T75" s="121"/>
      <c r="U75" s="121">
        <v>0</v>
      </c>
      <c r="V75" s="121"/>
      <c r="W75" s="121">
        <f t="shared" si="3"/>
        <v>0</v>
      </c>
      <c r="X75" s="121"/>
      <c r="Y75" s="121">
        <v>0</v>
      </c>
      <c r="Z75" s="121"/>
      <c r="AA75" s="121">
        <f>+'Stmt net assets'!Y75</f>
        <v>0</v>
      </c>
      <c r="AB75" s="121"/>
      <c r="AC75" s="121">
        <f>+Y75+'Stmt of activities-GA rev'!AC75-'Stmt of activities-GAexp'!W75-AA75</f>
        <v>0</v>
      </c>
    </row>
    <row r="76" spans="1:31" s="47" customFormat="1" ht="12.75" customHeight="1">
      <c r="A76" s="47" t="s">
        <v>96</v>
      </c>
      <c r="B76" s="51"/>
      <c r="C76" s="47" t="s">
        <v>97</v>
      </c>
      <c r="E76" s="44">
        <v>3001151</v>
      </c>
      <c r="F76" s="44"/>
      <c r="G76" s="44">
        <v>148582</v>
      </c>
      <c r="H76" s="44"/>
      <c r="I76" s="44">
        <v>196863</v>
      </c>
      <c r="J76" s="44"/>
      <c r="K76" s="44">
        <v>426204</v>
      </c>
      <c r="L76" s="44"/>
      <c r="M76" s="44">
        <v>1167174</v>
      </c>
      <c r="N76" s="44"/>
      <c r="O76" s="44">
        <v>0</v>
      </c>
      <c r="P76" s="44"/>
      <c r="Q76" s="44">
        <v>2297249</v>
      </c>
      <c r="R76" s="44"/>
      <c r="S76" s="44">
        <v>0</v>
      </c>
      <c r="T76" s="44"/>
      <c r="U76" s="44">
        <v>50097</v>
      </c>
      <c r="V76" s="44"/>
      <c r="W76" s="44">
        <f t="shared" si="3"/>
        <v>7287320</v>
      </c>
      <c r="X76" s="44"/>
      <c r="Y76" s="44">
        <v>12316358</v>
      </c>
      <c r="Z76" s="44"/>
      <c r="AA76" s="44">
        <f>+'Stmt net assets'!Y76</f>
        <v>12768320</v>
      </c>
      <c r="AB76" s="44"/>
      <c r="AC76" s="44">
        <f>+Y76+'Stmt of activities-GA rev'!AC76-'Stmt of activities-GAexp'!W76-AA76</f>
        <v>0</v>
      </c>
    </row>
    <row r="77" spans="1:31" s="47" customFormat="1" ht="12.75" customHeight="1">
      <c r="A77" s="47" t="s">
        <v>98</v>
      </c>
      <c r="B77" s="51"/>
      <c r="C77" s="47" t="s">
        <v>17</v>
      </c>
      <c r="E77" s="44">
        <v>18755976</v>
      </c>
      <c r="F77" s="44"/>
      <c r="G77" s="44">
        <v>2254799</v>
      </c>
      <c r="H77" s="44"/>
      <c r="I77" s="44">
        <v>1521265</v>
      </c>
      <c r="J77" s="44"/>
      <c r="K77" s="44">
        <v>2999733</v>
      </c>
      <c r="L77" s="44"/>
      <c r="M77" s="44">
        <v>5279411</v>
      </c>
      <c r="N77" s="44"/>
      <c r="O77" s="44">
        <v>0</v>
      </c>
      <c r="P77" s="44"/>
      <c r="Q77" s="44">
        <v>8307532</v>
      </c>
      <c r="R77" s="44"/>
      <c r="S77" s="44">
        <v>0</v>
      </c>
      <c r="T77" s="44"/>
      <c r="U77" s="44">
        <v>1429014</v>
      </c>
      <c r="V77" s="44"/>
      <c r="W77" s="44">
        <f t="shared" si="3"/>
        <v>40547730</v>
      </c>
      <c r="X77" s="44"/>
      <c r="Y77" s="44">
        <v>63273433</v>
      </c>
      <c r="Z77" s="44"/>
      <c r="AA77" s="44">
        <f>+'Stmt net assets'!Y77</f>
        <v>64315185</v>
      </c>
      <c r="AB77" s="44"/>
      <c r="AC77" s="44">
        <f>+Y77+'Stmt of activities-GA rev'!AC77-'Stmt of activities-GAexp'!W77-AA77</f>
        <v>0</v>
      </c>
    </row>
    <row r="78" spans="1:31" s="47" customFormat="1" ht="12.75" customHeight="1">
      <c r="A78" s="47" t="s">
        <v>99</v>
      </c>
      <c r="B78" s="51"/>
      <c r="C78" s="47" t="s">
        <v>66</v>
      </c>
      <c r="E78" s="44">
        <v>5111373</v>
      </c>
      <c r="F78" s="44"/>
      <c r="G78" s="44">
        <v>16953</v>
      </c>
      <c r="H78" s="44"/>
      <c r="I78" s="44">
        <v>479224</v>
      </c>
      <c r="J78" s="44"/>
      <c r="K78" s="44">
        <v>622244</v>
      </c>
      <c r="L78" s="44"/>
      <c r="M78" s="44">
        <v>3619759</v>
      </c>
      <c r="N78" s="44"/>
      <c r="O78" s="44">
        <v>0</v>
      </c>
      <c r="P78" s="44"/>
      <c r="Q78" s="44">
        <v>1486286</v>
      </c>
      <c r="R78" s="44"/>
      <c r="S78" s="44">
        <v>0</v>
      </c>
      <c r="T78" s="44"/>
      <c r="U78" s="44">
        <v>0</v>
      </c>
      <c r="V78" s="44"/>
      <c r="W78" s="44">
        <f t="shared" si="3"/>
        <v>11335839</v>
      </c>
      <c r="X78" s="44"/>
      <c r="Y78" s="44">
        <v>51606785</v>
      </c>
      <c r="Z78" s="44"/>
      <c r="AA78" s="44">
        <f>+'Stmt net assets'!Y78</f>
        <v>51947127</v>
      </c>
      <c r="AB78" s="44"/>
      <c r="AC78" s="44">
        <f>+Y78+'Stmt of activities-GA rev'!AC78-'Stmt of activities-GAexp'!W78-AA78</f>
        <v>0</v>
      </c>
    </row>
    <row r="79" spans="1:31" s="47" customFormat="1" ht="12.75" customHeight="1">
      <c r="A79" s="47" t="s">
        <v>100</v>
      </c>
      <c r="B79" s="51"/>
      <c r="C79" s="47" t="s">
        <v>27</v>
      </c>
      <c r="E79" s="44">
        <v>20607153</v>
      </c>
      <c r="F79" s="44"/>
      <c r="G79" s="44">
        <v>273641</v>
      </c>
      <c r="H79" s="44"/>
      <c r="I79" s="44">
        <v>1759861</v>
      </c>
      <c r="J79" s="44"/>
      <c r="K79" s="44">
        <v>2869580</v>
      </c>
      <c r="L79" s="44"/>
      <c r="M79" s="44">
        <v>6464383</v>
      </c>
      <c r="N79" s="44"/>
      <c r="O79" s="44">
        <v>1916687</v>
      </c>
      <c r="P79" s="44"/>
      <c r="Q79" s="44">
        <v>13132598</v>
      </c>
      <c r="R79" s="44"/>
      <c r="S79" s="44">
        <v>0</v>
      </c>
      <c r="T79" s="44"/>
      <c r="U79" s="44">
        <v>1418378</v>
      </c>
      <c r="V79" s="44"/>
      <c r="W79" s="44">
        <f t="shared" si="3"/>
        <v>48442281</v>
      </c>
      <c r="X79" s="44"/>
      <c r="Y79" s="44">
        <v>49312159</v>
      </c>
      <c r="Z79" s="44"/>
      <c r="AA79" s="44">
        <f>+'Stmt net assets'!Y79</f>
        <v>54958390</v>
      </c>
      <c r="AB79" s="44"/>
      <c r="AC79" s="44">
        <f>+Y79+'Stmt of activities-GA rev'!AC79-'Stmt of activities-GAexp'!W79-AA79</f>
        <v>0</v>
      </c>
    </row>
    <row r="80" spans="1:31" s="47" customFormat="1" ht="12.75" customHeight="1">
      <c r="A80" s="47" t="s">
        <v>101</v>
      </c>
      <c r="B80" s="51"/>
      <c r="C80" s="47" t="s">
        <v>30</v>
      </c>
      <c r="E80" s="44">
        <v>13166582</v>
      </c>
      <c r="F80" s="44"/>
      <c r="G80" s="44">
        <v>91846</v>
      </c>
      <c r="H80" s="44"/>
      <c r="I80" s="44">
        <v>509311</v>
      </c>
      <c r="J80" s="44"/>
      <c r="K80" s="44">
        <v>1096602</v>
      </c>
      <c r="L80" s="44"/>
      <c r="M80" s="44">
        <v>1829298</v>
      </c>
      <c r="N80" s="44"/>
      <c r="O80" s="44">
        <v>0</v>
      </c>
      <c r="P80" s="44"/>
      <c r="Q80" s="44">
        <v>10210347</v>
      </c>
      <c r="R80" s="44"/>
      <c r="S80" s="44">
        <v>222316</v>
      </c>
      <c r="T80" s="44"/>
      <c r="U80" s="44">
        <v>459319</v>
      </c>
      <c r="V80" s="44"/>
      <c r="W80" s="44">
        <f t="shared" si="3"/>
        <v>27585621</v>
      </c>
      <c r="X80" s="44"/>
      <c r="Y80" s="44">
        <v>74906912</v>
      </c>
      <c r="Z80" s="44"/>
      <c r="AA80" s="44">
        <f>+'Stmt net assets'!Y80</f>
        <v>75609349</v>
      </c>
      <c r="AB80" s="44"/>
      <c r="AC80" s="44">
        <f>+Y80+'Stmt of activities-GA rev'!AC80-'Stmt of activities-GAexp'!W80-AA80</f>
        <v>0</v>
      </c>
    </row>
    <row r="81" spans="1:30" s="47" customFormat="1" ht="12.75" customHeight="1">
      <c r="A81" s="47" t="s">
        <v>102</v>
      </c>
      <c r="B81" s="51"/>
      <c r="C81" s="47" t="s">
        <v>103</v>
      </c>
      <c r="E81" s="44">
        <v>17357175</v>
      </c>
      <c r="F81" s="44"/>
      <c r="G81" s="44">
        <v>22441</v>
      </c>
      <c r="H81" s="44"/>
      <c r="I81" s="44">
        <v>3449071</v>
      </c>
      <c r="J81" s="44"/>
      <c r="K81" s="44">
        <v>1438118</v>
      </c>
      <c r="L81" s="44"/>
      <c r="M81" s="44">
        <v>8622712</v>
      </c>
      <c r="N81" s="44"/>
      <c r="O81" s="44">
        <v>510171</v>
      </c>
      <c r="P81" s="44"/>
      <c r="Q81" s="44">
        <v>8219146</v>
      </c>
      <c r="R81" s="44"/>
      <c r="S81" s="44">
        <v>0</v>
      </c>
      <c r="T81" s="44"/>
      <c r="U81" s="44">
        <v>794384</v>
      </c>
      <c r="V81" s="44"/>
      <c r="W81" s="44">
        <f t="shared" si="3"/>
        <v>40413218</v>
      </c>
      <c r="X81" s="44"/>
      <c r="Y81" s="44">
        <v>90667198</v>
      </c>
      <c r="Z81" s="44"/>
      <c r="AA81" s="44">
        <f>+'Stmt net assets'!Y81</f>
        <v>88696762</v>
      </c>
      <c r="AB81" s="44"/>
      <c r="AC81" s="44">
        <f>+Y81+'Stmt of activities-GA rev'!AC81-'Stmt of activities-GAexp'!W81-AA81</f>
        <v>0</v>
      </c>
    </row>
    <row r="82" spans="1:30" s="47" customFormat="1" ht="12.75" customHeight="1">
      <c r="A82" s="47" t="s">
        <v>104</v>
      </c>
      <c r="B82" s="51"/>
      <c r="C82" s="47" t="s">
        <v>13</v>
      </c>
      <c r="E82" s="44">
        <v>6707077</v>
      </c>
      <c r="F82" s="44"/>
      <c r="G82" s="44">
        <v>122137</v>
      </c>
      <c r="H82" s="44"/>
      <c r="I82" s="44">
        <v>358449</v>
      </c>
      <c r="J82" s="44"/>
      <c r="K82" s="44">
        <v>44161</v>
      </c>
      <c r="L82" s="44"/>
      <c r="M82" s="44">
        <v>3486979</v>
      </c>
      <c r="N82" s="44"/>
      <c r="O82" s="44">
        <v>891502</v>
      </c>
      <c r="P82" s="44"/>
      <c r="Q82" s="44">
        <v>1537614</v>
      </c>
      <c r="R82" s="44"/>
      <c r="S82" s="44">
        <v>0</v>
      </c>
      <c r="T82" s="44"/>
      <c r="U82" s="44">
        <v>344561</v>
      </c>
      <c r="V82" s="44"/>
      <c r="W82" s="44">
        <f t="shared" si="3"/>
        <v>13492480</v>
      </c>
      <c r="X82" s="44"/>
      <c r="Y82" s="44">
        <v>70920166</v>
      </c>
      <c r="Z82" s="44"/>
      <c r="AA82" s="44">
        <f>+'Stmt net assets'!Y82</f>
        <v>72543490</v>
      </c>
      <c r="AB82" s="44"/>
      <c r="AC82" s="44">
        <f>+Y82+'Stmt of activities-GA rev'!AC82-'Stmt of activities-GAexp'!W82-AA82</f>
        <v>0</v>
      </c>
    </row>
    <row r="83" spans="1:30" s="47" customFormat="1" ht="12.75" customHeight="1">
      <c r="A83" s="47" t="s">
        <v>105</v>
      </c>
      <c r="B83" s="51"/>
      <c r="C83" s="47" t="s">
        <v>27</v>
      </c>
      <c r="E83" s="44">
        <v>7854479</v>
      </c>
      <c r="F83" s="44"/>
      <c r="G83" s="44">
        <v>1795</v>
      </c>
      <c r="H83" s="44"/>
      <c r="I83" s="44">
        <v>3303008</v>
      </c>
      <c r="J83" s="44"/>
      <c r="K83" s="44">
        <v>328999</v>
      </c>
      <c r="L83" s="44"/>
      <c r="M83" s="44">
        <v>2221067</v>
      </c>
      <c r="N83" s="44"/>
      <c r="O83" s="44">
        <v>1013896</v>
      </c>
      <c r="P83" s="44"/>
      <c r="Q83" s="44">
        <v>2782550</v>
      </c>
      <c r="R83" s="44"/>
      <c r="S83" s="44">
        <v>0</v>
      </c>
      <c r="T83" s="44"/>
      <c r="U83" s="44">
        <v>1101108</v>
      </c>
      <c r="V83" s="44"/>
      <c r="W83" s="44">
        <f t="shared" si="3"/>
        <v>18606902</v>
      </c>
      <c r="X83" s="44"/>
      <c r="Y83" s="44">
        <v>33357157</v>
      </c>
      <c r="Z83" s="44"/>
      <c r="AA83" s="44">
        <f>+'Stmt net assets'!Y83</f>
        <v>31960097</v>
      </c>
      <c r="AB83" s="44"/>
      <c r="AC83" s="44">
        <f>+Y83+'Stmt of activities-GA rev'!AC83-'Stmt of activities-GAexp'!W83-AA83</f>
        <v>0</v>
      </c>
    </row>
    <row r="84" spans="1:30" s="47" customFormat="1" ht="12.75" customHeight="1">
      <c r="A84" s="47" t="s">
        <v>106</v>
      </c>
      <c r="B84" s="51"/>
      <c r="C84" s="47" t="s">
        <v>107</v>
      </c>
      <c r="E84" s="44">
        <v>15696261</v>
      </c>
      <c r="F84" s="44"/>
      <c r="G84" s="44">
        <v>1790894</v>
      </c>
      <c r="H84" s="44"/>
      <c r="I84" s="44">
        <v>1357651</v>
      </c>
      <c r="J84" s="44"/>
      <c r="K84" s="44">
        <v>0</v>
      </c>
      <c r="L84" s="44"/>
      <c r="M84" s="44">
        <v>4963539</v>
      </c>
      <c r="N84" s="44"/>
      <c r="O84" s="44">
        <v>0</v>
      </c>
      <c r="P84" s="44"/>
      <c r="Q84" s="44">
        <v>6459067</v>
      </c>
      <c r="R84" s="44"/>
      <c r="S84" s="44">
        <v>0</v>
      </c>
      <c r="T84" s="44"/>
      <c r="U84" s="44">
        <v>427068</v>
      </c>
      <c r="V84" s="44"/>
      <c r="W84" s="44">
        <f t="shared" si="3"/>
        <v>30694480</v>
      </c>
      <c r="X84" s="44"/>
      <c r="Y84" s="44">
        <v>82751414</v>
      </c>
      <c r="Z84" s="44"/>
      <c r="AA84" s="44">
        <f>+'Stmt net assets'!Y84</f>
        <v>87824216</v>
      </c>
      <c r="AB84" s="44"/>
      <c r="AC84" s="44">
        <f>+Y84+'Stmt of activities-GA rev'!AC84-'Stmt of activities-GAexp'!W84-AA84</f>
        <v>0</v>
      </c>
    </row>
    <row r="85" spans="1:30" s="47" customFormat="1" ht="12.75" customHeight="1">
      <c r="A85" s="47" t="s">
        <v>108</v>
      </c>
      <c r="B85" s="51"/>
      <c r="C85" s="47" t="s">
        <v>45</v>
      </c>
      <c r="E85" s="44">
        <v>9414917</v>
      </c>
      <c r="F85" s="44"/>
      <c r="G85" s="44">
        <v>21000</v>
      </c>
      <c r="H85" s="44"/>
      <c r="I85" s="44">
        <v>286050</v>
      </c>
      <c r="J85" s="44"/>
      <c r="K85" s="44">
        <v>1445944</v>
      </c>
      <c r="L85" s="44"/>
      <c r="M85" s="44">
        <v>2974687</v>
      </c>
      <c r="N85" s="44"/>
      <c r="O85" s="44">
        <v>0</v>
      </c>
      <c r="P85" s="44"/>
      <c r="Q85" s="44">
        <v>2243593</v>
      </c>
      <c r="R85" s="44"/>
      <c r="S85" s="44">
        <v>0</v>
      </c>
      <c r="T85" s="44"/>
      <c r="U85" s="44">
        <v>153413</v>
      </c>
      <c r="V85" s="44"/>
      <c r="W85" s="44">
        <f t="shared" si="3"/>
        <v>16539604</v>
      </c>
      <c r="X85" s="44"/>
      <c r="Y85" s="44">
        <v>46986191</v>
      </c>
      <c r="Z85" s="44"/>
      <c r="AA85" s="44">
        <f>+'Stmt net assets'!Y85</f>
        <v>50848666</v>
      </c>
      <c r="AB85" s="44"/>
      <c r="AC85" s="44">
        <f>+Y85+'Stmt of activities-GA rev'!AC85-'Stmt of activities-GAexp'!W85-AA85</f>
        <v>0</v>
      </c>
    </row>
    <row r="86" spans="1:30" s="44" customFormat="1" ht="12.75" customHeight="1">
      <c r="A86" s="44" t="s">
        <v>109</v>
      </c>
      <c r="B86" s="65"/>
      <c r="C86" s="44" t="s">
        <v>110</v>
      </c>
      <c r="E86" s="44">
        <v>4804333</v>
      </c>
      <c r="G86" s="44">
        <v>248302</v>
      </c>
      <c r="I86" s="44">
        <v>87025</v>
      </c>
      <c r="K86" s="44">
        <v>758981</v>
      </c>
      <c r="M86" s="44">
        <v>1274664</v>
      </c>
      <c r="O86" s="44">
        <v>0</v>
      </c>
      <c r="Q86" s="44">
        <v>1734259</v>
      </c>
      <c r="S86" s="44">
        <v>12652</v>
      </c>
      <c r="U86" s="44">
        <v>21328</v>
      </c>
      <c r="W86" s="44">
        <f t="shared" si="3"/>
        <v>8941544</v>
      </c>
      <c r="Y86" s="44">
        <v>14683397</v>
      </c>
      <c r="AA86" s="44">
        <f>+'Stmt net assets'!Y86</f>
        <v>14097914</v>
      </c>
      <c r="AC86" s="44">
        <f>+Y86+'Stmt of activities-GA rev'!AC86-'Stmt of activities-GAexp'!W86-AA86</f>
        <v>0</v>
      </c>
    </row>
    <row r="87" spans="1:30" s="47" customFormat="1" ht="12.75" customHeight="1">
      <c r="A87" s="47" t="s">
        <v>43</v>
      </c>
      <c r="B87" s="51"/>
      <c r="C87" s="47" t="s">
        <v>111</v>
      </c>
      <c r="E87" s="44">
        <v>4963931</v>
      </c>
      <c r="F87" s="44"/>
      <c r="G87" s="44">
        <v>7199</v>
      </c>
      <c r="H87" s="44"/>
      <c r="I87" s="44">
        <v>300602</v>
      </c>
      <c r="J87" s="44"/>
      <c r="K87" s="44">
        <v>44666</v>
      </c>
      <c r="L87" s="44"/>
      <c r="M87" s="44">
        <v>2432298</v>
      </c>
      <c r="N87" s="44"/>
      <c r="O87" s="44">
        <v>100402</v>
      </c>
      <c r="P87" s="44"/>
      <c r="Q87" s="44">
        <v>2145935</v>
      </c>
      <c r="R87" s="44"/>
      <c r="S87" s="44">
        <v>0</v>
      </c>
      <c r="T87" s="44"/>
      <c r="U87" s="44">
        <v>461532</v>
      </c>
      <c r="V87" s="44"/>
      <c r="W87" s="44">
        <f t="shared" si="3"/>
        <v>10456565</v>
      </c>
      <c r="X87" s="44"/>
      <c r="Y87" s="44">
        <v>49025645</v>
      </c>
      <c r="Z87" s="44"/>
      <c r="AA87" s="44">
        <f>+'Stmt net assets'!Y87</f>
        <v>50288272</v>
      </c>
      <c r="AB87" s="44"/>
      <c r="AC87" s="44">
        <f>+Y87+'Stmt of activities-GA rev'!AC87-'Stmt of activities-GAexp'!W87-AA87</f>
        <v>0</v>
      </c>
    </row>
    <row r="88" spans="1:30" s="47" customFormat="1" ht="12.75" customHeight="1">
      <c r="A88" s="47" t="s">
        <v>112</v>
      </c>
      <c r="B88" s="51"/>
      <c r="C88" s="47" t="s">
        <v>76</v>
      </c>
      <c r="E88" s="44">
        <v>6074355</v>
      </c>
      <c r="F88" s="44"/>
      <c r="G88" s="44">
        <v>16795</v>
      </c>
      <c r="H88" s="44"/>
      <c r="I88" s="44">
        <v>1901863</v>
      </c>
      <c r="J88" s="44"/>
      <c r="K88" s="44">
        <f>436345+142750</f>
        <v>579095</v>
      </c>
      <c r="L88" s="44"/>
      <c r="M88" s="44">
        <v>1732326</v>
      </c>
      <c r="N88" s="44"/>
      <c r="O88" s="44">
        <v>0</v>
      </c>
      <c r="P88" s="44"/>
      <c r="Q88" s="44">
        <v>2512906</v>
      </c>
      <c r="R88" s="44"/>
      <c r="S88" s="44">
        <v>0</v>
      </c>
      <c r="T88" s="44"/>
      <c r="U88" s="44">
        <v>142802</v>
      </c>
      <c r="V88" s="44"/>
      <c r="W88" s="44">
        <f t="shared" si="3"/>
        <v>12960142</v>
      </c>
      <c r="X88" s="44"/>
      <c r="Y88" s="44">
        <v>33839623</v>
      </c>
      <c r="Z88" s="44"/>
      <c r="AA88" s="44">
        <f>+'Stmt net assets'!Y88</f>
        <v>33030463</v>
      </c>
      <c r="AB88" s="44"/>
      <c r="AC88" s="44">
        <f>+Y88+'Stmt of activities-GA rev'!AC88-'Stmt of activities-GAexp'!W88-AA88</f>
        <v>0</v>
      </c>
    </row>
    <row r="89" spans="1:30" s="47" customFormat="1" ht="12.75" customHeight="1">
      <c r="A89" s="47" t="s">
        <v>113</v>
      </c>
      <c r="B89" s="51"/>
      <c r="C89" s="47" t="s">
        <v>43</v>
      </c>
      <c r="E89" s="44">
        <v>8686610</v>
      </c>
      <c r="F89" s="44"/>
      <c r="G89" s="44">
        <v>195382</v>
      </c>
      <c r="H89" s="44"/>
      <c r="I89" s="44">
        <v>3285193</v>
      </c>
      <c r="J89" s="44"/>
      <c r="K89" s="44">
        <v>4376125</v>
      </c>
      <c r="L89" s="44"/>
      <c r="M89" s="44">
        <v>3571469</v>
      </c>
      <c r="N89" s="44"/>
      <c r="O89" s="44">
        <v>2253385</v>
      </c>
      <c r="P89" s="44"/>
      <c r="Q89" s="44">
        <v>4591344</v>
      </c>
      <c r="R89" s="44"/>
      <c r="S89" s="44">
        <v>0</v>
      </c>
      <c r="T89" s="44"/>
      <c r="U89" s="44">
        <v>900076</v>
      </c>
      <c r="V89" s="44"/>
      <c r="W89" s="44">
        <f t="shared" si="3"/>
        <v>27859584</v>
      </c>
      <c r="X89" s="44"/>
      <c r="Y89" s="44">
        <v>97418545</v>
      </c>
      <c r="Z89" s="44"/>
      <c r="AA89" s="44">
        <f>+'Stmt net assets'!Y89</f>
        <v>99696118</v>
      </c>
      <c r="AB89" s="44"/>
      <c r="AC89" s="44">
        <f>+Y89+'Stmt of activities-GA rev'!AC89-'Stmt of activities-GAexp'!W89-AA89</f>
        <v>0</v>
      </c>
    </row>
    <row r="90" spans="1:30" s="47" customFormat="1" ht="12.75" customHeight="1">
      <c r="A90" s="47" t="s">
        <v>489</v>
      </c>
      <c r="B90" s="51"/>
      <c r="C90" s="47" t="s">
        <v>57</v>
      </c>
      <c r="E90" s="44">
        <f>1856574+1776650</f>
        <v>3633224</v>
      </c>
      <c r="F90" s="44"/>
      <c r="G90" s="44">
        <v>444739</v>
      </c>
      <c r="H90" s="44"/>
      <c r="I90" s="44">
        <v>275014</v>
      </c>
      <c r="J90" s="44"/>
      <c r="K90" s="44">
        <v>16580</v>
      </c>
      <c r="L90" s="44"/>
      <c r="M90" s="44">
        <v>1818055</v>
      </c>
      <c r="N90" s="44"/>
      <c r="O90" s="44">
        <v>0</v>
      </c>
      <c r="P90" s="44"/>
      <c r="Q90" s="44">
        <v>1368153</v>
      </c>
      <c r="R90" s="44"/>
      <c r="S90" s="44">
        <v>0</v>
      </c>
      <c r="T90" s="44"/>
      <c r="U90" s="44">
        <v>149757</v>
      </c>
      <c r="V90" s="44"/>
      <c r="W90" s="44">
        <f t="shared" si="3"/>
        <v>7705522</v>
      </c>
      <c r="X90" s="44"/>
      <c r="Y90" s="44">
        <v>19726729</v>
      </c>
      <c r="Z90" s="44"/>
      <c r="AA90" s="44">
        <f>+'Stmt net assets'!Y90</f>
        <v>20825983</v>
      </c>
      <c r="AB90" s="44"/>
      <c r="AC90" s="44">
        <f>+Y90+'Stmt of activities-GA rev'!AC90-'Stmt of activities-GAexp'!W90-AA90</f>
        <v>0</v>
      </c>
    </row>
    <row r="91" spans="1:30" s="47" customFormat="1" ht="12.75" customHeight="1">
      <c r="A91" s="47" t="s">
        <v>114</v>
      </c>
      <c r="B91" s="51"/>
      <c r="C91" s="47" t="s">
        <v>27</v>
      </c>
      <c r="E91" s="44">
        <v>12978632</v>
      </c>
      <c r="F91" s="44"/>
      <c r="G91" s="44">
        <v>755328</v>
      </c>
      <c r="H91" s="44"/>
      <c r="I91" s="44">
        <v>1551353</v>
      </c>
      <c r="J91" s="44"/>
      <c r="K91" s="44">
        <v>133764</v>
      </c>
      <c r="L91" s="44"/>
      <c r="M91" s="44">
        <v>5821277</v>
      </c>
      <c r="N91" s="44"/>
      <c r="O91" s="44">
        <v>2615395</v>
      </c>
      <c r="P91" s="44"/>
      <c r="Q91" s="44">
        <v>9820786</v>
      </c>
      <c r="R91" s="44"/>
      <c r="S91" s="44">
        <v>0</v>
      </c>
      <c r="T91" s="44"/>
      <c r="U91" s="44">
        <v>1167554</v>
      </c>
      <c r="V91" s="44"/>
      <c r="W91" s="44">
        <f t="shared" si="3"/>
        <v>34844089</v>
      </c>
      <c r="X91" s="44"/>
      <c r="Y91" s="44">
        <v>119239</v>
      </c>
      <c r="Z91" s="44"/>
      <c r="AA91" s="44">
        <f>+'Stmt net assets'!Y91</f>
        <v>3326864</v>
      </c>
      <c r="AB91" s="44"/>
      <c r="AC91" s="44">
        <f>+Y91+'Stmt of activities-GA rev'!AC91-'Stmt of activities-GAexp'!W91-AA91</f>
        <v>0</v>
      </c>
    </row>
    <row r="92" spans="1:30" s="47" customFormat="1" ht="12.75" customHeight="1">
      <c r="A92" s="47" t="s">
        <v>115</v>
      </c>
      <c r="B92" s="51"/>
      <c r="C92" s="47" t="s">
        <v>19</v>
      </c>
      <c r="E92" s="44">
        <v>2470297</v>
      </c>
      <c r="F92" s="44"/>
      <c r="G92" s="44">
        <v>0</v>
      </c>
      <c r="H92" s="44"/>
      <c r="I92" s="44">
        <v>85647</v>
      </c>
      <c r="J92" s="44"/>
      <c r="K92" s="44">
        <v>641780</v>
      </c>
      <c r="L92" s="44"/>
      <c r="M92" s="44">
        <v>1151133</v>
      </c>
      <c r="N92" s="44"/>
      <c r="O92" s="44">
        <v>0</v>
      </c>
      <c r="P92" s="44"/>
      <c r="Q92" s="44">
        <v>900936</v>
      </c>
      <c r="R92" s="44"/>
      <c r="S92" s="44">
        <v>0</v>
      </c>
      <c r="T92" s="44"/>
      <c r="U92" s="44">
        <v>145589</v>
      </c>
      <c r="V92" s="44"/>
      <c r="W92" s="44">
        <f t="shared" si="3"/>
        <v>5395382</v>
      </c>
      <c r="X92" s="44"/>
      <c r="Y92" s="44">
        <v>16315733</v>
      </c>
      <c r="Z92" s="44"/>
      <c r="AA92" s="44">
        <f>+'Stmt net assets'!Y92</f>
        <v>17192329</v>
      </c>
      <c r="AB92" s="44"/>
      <c r="AC92" s="44">
        <f>+Y92+'Stmt of activities-GA rev'!AC92-'Stmt of activities-GAexp'!W92-AA92</f>
        <v>0</v>
      </c>
    </row>
    <row r="93" spans="1:30" s="47" customFormat="1" ht="12.75" customHeight="1">
      <c r="A93" s="47" t="s">
        <v>116</v>
      </c>
      <c r="B93" s="51"/>
      <c r="C93" s="47" t="s">
        <v>80</v>
      </c>
      <c r="E93" s="44">
        <v>3106546</v>
      </c>
      <c r="F93" s="44"/>
      <c r="G93" s="44">
        <v>149854</v>
      </c>
      <c r="H93" s="44"/>
      <c r="I93" s="44">
        <v>311130</v>
      </c>
      <c r="J93" s="44"/>
      <c r="K93" s="44">
        <v>1145802</v>
      </c>
      <c r="L93" s="44"/>
      <c r="M93" s="44">
        <v>2015263</v>
      </c>
      <c r="N93" s="44"/>
      <c r="O93" s="44">
        <v>488400</v>
      </c>
      <c r="P93" s="44"/>
      <c r="Q93" s="44">
        <v>2481003</v>
      </c>
      <c r="R93" s="44"/>
      <c r="S93" s="44">
        <v>0</v>
      </c>
      <c r="T93" s="44"/>
      <c r="U93" s="44">
        <v>175633</v>
      </c>
      <c r="V93" s="44"/>
      <c r="W93" s="44">
        <f t="shared" si="3"/>
        <v>9873631</v>
      </c>
      <c r="X93" s="44"/>
      <c r="Y93" s="44">
        <v>29429853</v>
      </c>
      <c r="Z93" s="44"/>
      <c r="AA93" s="44">
        <f>+'Stmt net assets'!Y93</f>
        <v>28192159</v>
      </c>
      <c r="AB93" s="44"/>
      <c r="AC93" s="44">
        <f>+Y93+'Stmt of activities-GA rev'!AC93-'Stmt of activities-GAexp'!W93-AA93</f>
        <v>0</v>
      </c>
    </row>
    <row r="94" spans="1:30" s="47" customFormat="1" ht="12.75" customHeight="1">
      <c r="A94" s="47" t="s">
        <v>117</v>
      </c>
      <c r="B94" s="51"/>
      <c r="C94" s="47" t="s">
        <v>43</v>
      </c>
      <c r="E94" s="44">
        <v>4609921</v>
      </c>
      <c r="F94" s="44"/>
      <c r="G94" s="44">
        <v>40303</v>
      </c>
      <c r="H94" s="44"/>
      <c r="I94" s="44">
        <v>856551</v>
      </c>
      <c r="J94" s="44"/>
      <c r="K94" s="44">
        <v>1730058</v>
      </c>
      <c r="L94" s="44"/>
      <c r="M94" s="44">
        <v>602154</v>
      </c>
      <c r="N94" s="44"/>
      <c r="O94" s="44">
        <v>748210</v>
      </c>
      <c r="P94" s="44"/>
      <c r="Q94" s="44">
        <v>2098542</v>
      </c>
      <c r="R94" s="44"/>
      <c r="S94" s="44">
        <v>0</v>
      </c>
      <c r="T94" s="44"/>
      <c r="U94" s="44">
        <v>13045</v>
      </c>
      <c r="V94" s="44"/>
      <c r="W94" s="44">
        <f t="shared" si="3"/>
        <v>10698784</v>
      </c>
      <c r="X94" s="44"/>
      <c r="Y94" s="44">
        <v>9707645</v>
      </c>
      <c r="Z94" s="44"/>
      <c r="AA94" s="44">
        <f>+'Stmt net assets'!Y94</f>
        <v>17238651</v>
      </c>
      <c r="AB94" s="44"/>
      <c r="AC94" s="44">
        <f>+Y94+'Stmt of activities-GA rev'!AC94-'Stmt of activities-GAexp'!W94-AA94</f>
        <v>0</v>
      </c>
    </row>
    <row r="95" spans="1:30" s="47" customFormat="1" ht="12.75" customHeight="1">
      <c r="A95" s="47" t="s">
        <v>118</v>
      </c>
      <c r="B95" s="51"/>
      <c r="C95" s="47" t="s">
        <v>13</v>
      </c>
      <c r="E95" s="44">
        <v>8613404</v>
      </c>
      <c r="F95" s="44"/>
      <c r="G95" s="44">
        <v>253227</v>
      </c>
      <c r="H95" s="44"/>
      <c r="I95" s="44">
        <v>788226</v>
      </c>
      <c r="J95" s="44"/>
      <c r="K95" s="44">
        <v>836048</v>
      </c>
      <c r="L95" s="44"/>
      <c r="M95" s="44">
        <v>5114868</v>
      </c>
      <c r="N95" s="44"/>
      <c r="O95" s="44">
        <v>0</v>
      </c>
      <c r="P95" s="44"/>
      <c r="Q95" s="44">
        <v>7811693</v>
      </c>
      <c r="R95" s="44"/>
      <c r="S95" s="44">
        <v>0</v>
      </c>
      <c r="T95" s="44"/>
      <c r="U95" s="44">
        <v>2637300</v>
      </c>
      <c r="V95" s="44"/>
      <c r="W95" s="44">
        <f t="shared" si="3"/>
        <v>26054766</v>
      </c>
      <c r="X95" s="44"/>
      <c r="Y95" s="44">
        <v>88299632</v>
      </c>
      <c r="Z95" s="44"/>
      <c r="AA95" s="44">
        <f>+'Stmt net assets'!Y95</f>
        <v>92544179</v>
      </c>
      <c r="AB95" s="44"/>
      <c r="AC95" s="44">
        <f>+Y95+'Stmt of activities-GA rev'!AC95-'Stmt of activities-GAexp'!W95-AA95</f>
        <v>0</v>
      </c>
      <c r="AD95" s="44"/>
    </row>
    <row r="96" spans="1:30" s="47" customFormat="1" ht="12.75" customHeight="1">
      <c r="A96" s="47" t="s">
        <v>120</v>
      </c>
      <c r="B96" s="51"/>
      <c r="C96" s="47" t="s">
        <v>121</v>
      </c>
      <c r="E96" s="44">
        <v>5020689</v>
      </c>
      <c r="F96" s="44"/>
      <c r="G96" s="44">
        <v>311</v>
      </c>
      <c r="H96" s="44"/>
      <c r="I96" s="44">
        <v>492828</v>
      </c>
      <c r="J96" s="44"/>
      <c r="K96" s="44">
        <v>36789</v>
      </c>
      <c r="L96" s="44"/>
      <c r="M96" s="44">
        <v>2751309</v>
      </c>
      <c r="N96" s="44"/>
      <c r="O96" s="44">
        <v>253016</v>
      </c>
      <c r="P96" s="44"/>
      <c r="Q96" s="44">
        <v>2191373</v>
      </c>
      <c r="R96" s="44"/>
      <c r="S96" s="44">
        <v>0</v>
      </c>
      <c r="T96" s="44"/>
      <c r="U96" s="44">
        <v>144000</v>
      </c>
      <c r="V96" s="44"/>
      <c r="W96" s="44">
        <f t="shared" si="3"/>
        <v>10890315</v>
      </c>
      <c r="X96" s="44"/>
      <c r="Y96" s="44">
        <v>19736438</v>
      </c>
      <c r="Z96" s="44"/>
      <c r="AA96" s="44">
        <f>+'Stmt net assets'!Y96</f>
        <v>18922637</v>
      </c>
      <c r="AB96" s="44"/>
      <c r="AC96" s="44">
        <f>+Y96+'Stmt of activities-GA rev'!AC96-'Stmt of activities-GAexp'!W96-AA96</f>
        <v>0</v>
      </c>
    </row>
    <row r="97" spans="1:30" s="47" customFormat="1" ht="12.75" customHeight="1">
      <c r="A97" s="47" t="s">
        <v>122</v>
      </c>
      <c r="B97" s="51"/>
      <c r="C97" s="47" t="s">
        <v>43</v>
      </c>
      <c r="E97" s="44">
        <v>10424348</v>
      </c>
      <c r="F97" s="44"/>
      <c r="G97" s="44">
        <v>270134</v>
      </c>
      <c r="H97" s="44"/>
      <c r="I97" s="44">
        <v>2163037</v>
      </c>
      <c r="J97" s="44"/>
      <c r="K97" s="44">
        <v>1361073</v>
      </c>
      <c r="L97" s="44"/>
      <c r="M97" s="44">
        <v>11164223</v>
      </c>
      <c r="N97" s="44"/>
      <c r="O97" s="44">
        <v>0</v>
      </c>
      <c r="P97" s="44"/>
      <c r="Q97" s="44">
        <f>10808491+1370473</f>
        <v>12178964</v>
      </c>
      <c r="R97" s="44"/>
      <c r="S97" s="44">
        <v>0</v>
      </c>
      <c r="T97" s="44"/>
      <c r="U97" s="44">
        <v>1661545</v>
      </c>
      <c r="V97" s="44"/>
      <c r="W97" s="44">
        <f t="shared" si="3"/>
        <v>39223324</v>
      </c>
      <c r="X97" s="44"/>
      <c r="Y97" s="44">
        <v>203479080</v>
      </c>
      <c r="Z97" s="44"/>
      <c r="AA97" s="44">
        <f>+'Stmt net assets'!Y97</f>
        <v>202595854</v>
      </c>
      <c r="AB97" s="44"/>
      <c r="AC97" s="44">
        <f>+Y97+'Stmt of activities-GA rev'!AC97-'Stmt of activities-GAexp'!W97-AA97</f>
        <v>0</v>
      </c>
    </row>
    <row r="98" spans="1:30" s="47" customFormat="1" ht="12.75" customHeight="1">
      <c r="A98" s="47" t="s">
        <v>45</v>
      </c>
      <c r="B98" s="51"/>
      <c r="C98" s="47" t="s">
        <v>103</v>
      </c>
      <c r="E98" s="44">
        <v>32211708</v>
      </c>
      <c r="F98" s="44"/>
      <c r="G98" s="44">
        <v>1161021</v>
      </c>
      <c r="H98" s="44"/>
      <c r="I98" s="44">
        <v>2437779</v>
      </c>
      <c r="J98" s="44"/>
      <c r="K98" s="44">
        <v>5017446</v>
      </c>
      <c r="L98" s="44"/>
      <c r="M98" s="44">
        <v>5533552</v>
      </c>
      <c r="N98" s="44"/>
      <c r="O98" s="44">
        <v>5951745</v>
      </c>
      <c r="P98" s="44"/>
      <c r="Q98" s="44">
        <v>5126011</v>
      </c>
      <c r="R98" s="44"/>
      <c r="S98" s="44">
        <v>0</v>
      </c>
      <c r="T98" s="44"/>
      <c r="U98" s="44">
        <v>1607360</v>
      </c>
      <c r="V98" s="44"/>
      <c r="W98" s="44">
        <f t="shared" si="3"/>
        <v>59046622</v>
      </c>
      <c r="X98" s="44"/>
      <c r="Y98" s="44">
        <v>75159838</v>
      </c>
      <c r="Z98" s="44"/>
      <c r="AA98" s="44">
        <f>+'Stmt net assets'!Y98</f>
        <v>78833910</v>
      </c>
      <c r="AB98" s="44"/>
      <c r="AC98" s="44">
        <f>+Y98+'Stmt of activities-GA rev'!AC98-'Stmt of activities-GAexp'!W98-AA98</f>
        <v>0</v>
      </c>
    </row>
    <row r="99" spans="1:30" s="47" customFormat="1" ht="12.75" customHeight="1">
      <c r="A99" s="47" t="s">
        <v>123</v>
      </c>
      <c r="B99" s="51"/>
      <c r="C99" s="47" t="s">
        <v>45</v>
      </c>
      <c r="E99" s="44">
        <v>5841459</v>
      </c>
      <c r="F99" s="44"/>
      <c r="G99" s="44">
        <v>339855</v>
      </c>
      <c r="H99" s="44"/>
      <c r="I99" s="44">
        <v>315334</v>
      </c>
      <c r="J99" s="44"/>
      <c r="K99" s="44">
        <v>138115</v>
      </c>
      <c r="L99" s="44"/>
      <c r="M99" s="44">
        <v>971886</v>
      </c>
      <c r="N99" s="44"/>
      <c r="O99" s="44">
        <v>0</v>
      </c>
      <c r="P99" s="44"/>
      <c r="Q99" s="44">
        <v>1299480</v>
      </c>
      <c r="R99" s="44"/>
      <c r="S99" s="44">
        <v>0</v>
      </c>
      <c r="T99" s="44"/>
      <c r="U99" s="44">
        <v>295479</v>
      </c>
      <c r="V99" s="44"/>
      <c r="W99" s="44">
        <f t="shared" si="3"/>
        <v>9201608</v>
      </c>
      <c r="X99" s="44"/>
      <c r="Y99" s="44">
        <v>11908113</v>
      </c>
      <c r="Z99" s="44"/>
      <c r="AA99" s="44">
        <f>+'Stmt net assets'!Y99</f>
        <v>11636844</v>
      </c>
      <c r="AB99" s="44"/>
      <c r="AC99" s="44">
        <f>+Y99+'Stmt of activities-GA rev'!AC99-'Stmt of activities-GAexp'!W99-AA99</f>
        <v>0</v>
      </c>
    </row>
    <row r="100" spans="1:30" s="47" customFormat="1" ht="12.75" customHeight="1">
      <c r="A100" s="47" t="s">
        <v>124</v>
      </c>
      <c r="B100" s="51"/>
      <c r="C100" s="47" t="s">
        <v>125</v>
      </c>
      <c r="E100" s="44">
        <v>4950795</v>
      </c>
      <c r="F100" s="44"/>
      <c r="G100" s="44">
        <v>55500</v>
      </c>
      <c r="H100" s="44"/>
      <c r="I100" s="44">
        <v>1324421</v>
      </c>
      <c r="J100" s="44"/>
      <c r="K100" s="44">
        <v>249028</v>
      </c>
      <c r="L100" s="44"/>
      <c r="M100" s="44">
        <v>1692428</v>
      </c>
      <c r="N100" s="44"/>
      <c r="O100" s="44">
        <v>399949</v>
      </c>
      <c r="P100" s="44"/>
      <c r="Q100" s="44">
        <v>1482172</v>
      </c>
      <c r="R100" s="44"/>
      <c r="S100" s="44">
        <v>0</v>
      </c>
      <c r="T100" s="44"/>
      <c r="U100" s="44">
        <v>158538</v>
      </c>
      <c r="V100" s="44"/>
      <c r="W100" s="44">
        <f t="shared" si="3"/>
        <v>10312831</v>
      </c>
      <c r="X100" s="44"/>
      <c r="Y100" s="44">
        <v>32542130</v>
      </c>
      <c r="Z100" s="44"/>
      <c r="AA100" s="44">
        <f>+'Stmt net assets'!Y100</f>
        <v>32821988</v>
      </c>
      <c r="AB100" s="44"/>
      <c r="AC100" s="44">
        <f>+Y100+'Stmt of activities-GA rev'!AC100-'Stmt of activities-GAexp'!W100-AA100</f>
        <v>0</v>
      </c>
    </row>
    <row r="101" spans="1:30" s="47" customFormat="1" ht="12.75" customHeight="1">
      <c r="A101" s="47" t="s">
        <v>126</v>
      </c>
      <c r="B101" s="51"/>
      <c r="C101" s="47" t="s">
        <v>27</v>
      </c>
      <c r="E101" s="44">
        <v>6243865</v>
      </c>
      <c r="F101" s="44"/>
      <c r="G101" s="44">
        <v>37892</v>
      </c>
      <c r="H101" s="44"/>
      <c r="I101" s="44">
        <v>599631</v>
      </c>
      <c r="J101" s="44"/>
      <c r="K101" s="44">
        <v>100919</v>
      </c>
      <c r="L101" s="44"/>
      <c r="M101" s="44">
        <v>1489402</v>
      </c>
      <c r="N101" s="44"/>
      <c r="O101" s="44">
        <v>2622046</v>
      </c>
      <c r="P101" s="44"/>
      <c r="Q101" s="44">
        <v>2512030</v>
      </c>
      <c r="R101" s="44"/>
      <c r="S101" s="44">
        <v>0</v>
      </c>
      <c r="T101" s="44"/>
      <c r="U101" s="44">
        <v>579120</v>
      </c>
      <c r="V101" s="44"/>
      <c r="W101" s="44">
        <f t="shared" si="3"/>
        <v>14184905</v>
      </c>
      <c r="X101" s="44"/>
      <c r="Y101" s="44">
        <v>48248488</v>
      </c>
      <c r="Z101" s="44"/>
      <c r="AA101" s="44">
        <f>+'Stmt net assets'!Y101</f>
        <v>48175362</v>
      </c>
      <c r="AB101" s="44"/>
      <c r="AC101" s="44">
        <f>+Y101+'Stmt of activities-GA rev'!AC101-'Stmt of activities-GAexp'!W101-AA101</f>
        <v>0</v>
      </c>
    </row>
    <row r="102" spans="1:30" s="47" customFormat="1" ht="12.75" customHeight="1">
      <c r="A102" s="47" t="s">
        <v>127</v>
      </c>
      <c r="B102" s="51"/>
      <c r="C102" s="47" t="s">
        <v>43</v>
      </c>
      <c r="E102" s="44">
        <v>8553689</v>
      </c>
      <c r="F102" s="44"/>
      <c r="G102" s="44">
        <v>171913</v>
      </c>
      <c r="H102" s="44"/>
      <c r="I102" s="44">
        <v>2911718</v>
      </c>
      <c r="J102" s="44"/>
      <c r="K102" s="44">
        <v>3091413</v>
      </c>
      <c r="L102" s="44"/>
      <c r="M102" s="44">
        <v>8404994</v>
      </c>
      <c r="N102" s="44"/>
      <c r="O102" s="44">
        <v>7254778</v>
      </c>
      <c r="P102" s="44"/>
      <c r="Q102" s="44">
        <v>4820699</v>
      </c>
      <c r="R102" s="44"/>
      <c r="S102" s="44">
        <v>0</v>
      </c>
      <c r="T102" s="44"/>
      <c r="U102" s="44">
        <v>2599540</v>
      </c>
      <c r="V102" s="44"/>
      <c r="W102" s="44">
        <f t="shared" si="3"/>
        <v>37808744</v>
      </c>
      <c r="X102" s="44"/>
      <c r="Y102" s="44">
        <v>215662367</v>
      </c>
      <c r="Z102" s="44"/>
      <c r="AA102" s="44">
        <f>+'Stmt net assets'!Y102</f>
        <v>210890329</v>
      </c>
      <c r="AB102" s="44"/>
      <c r="AC102" s="44">
        <f>+Y102+'Stmt of activities-GA rev'!AC102-'Stmt of activities-GAexp'!W102-AA102</f>
        <v>0</v>
      </c>
    </row>
    <row r="103" spans="1:30" s="47" customFormat="1" ht="12.75" customHeight="1">
      <c r="A103" s="47" t="s">
        <v>128</v>
      </c>
      <c r="B103" s="51"/>
      <c r="C103" s="47" t="s">
        <v>119</v>
      </c>
      <c r="E103" s="44">
        <v>3679374</v>
      </c>
      <c r="F103" s="44"/>
      <c r="G103" s="44">
        <v>4485</v>
      </c>
      <c r="H103" s="44"/>
      <c r="I103" s="44">
        <v>125861</v>
      </c>
      <c r="J103" s="44"/>
      <c r="K103" s="44">
        <v>201382</v>
      </c>
      <c r="L103" s="44"/>
      <c r="M103" s="44">
        <v>713406</v>
      </c>
      <c r="N103" s="44"/>
      <c r="O103" s="44">
        <v>0</v>
      </c>
      <c r="P103" s="44"/>
      <c r="Q103" s="44">
        <f>1244576+376103</f>
        <v>1620679</v>
      </c>
      <c r="R103" s="44"/>
      <c r="S103" s="44">
        <v>0</v>
      </c>
      <c r="T103" s="44"/>
      <c r="U103" s="44">
        <v>152581</v>
      </c>
      <c r="V103" s="44"/>
      <c r="W103" s="44">
        <f t="shared" si="3"/>
        <v>6497768</v>
      </c>
      <c r="X103" s="44"/>
      <c r="Y103" s="44">
        <v>14964840</v>
      </c>
      <c r="Z103" s="44"/>
      <c r="AA103" s="44">
        <f>+'Stmt net assets'!Y103</f>
        <v>13377543</v>
      </c>
      <c r="AB103" s="44"/>
      <c r="AC103" s="44">
        <f>+Y103+'Stmt of activities-GA rev'!AC103-'Stmt of activities-GAexp'!W103-AA103</f>
        <v>0</v>
      </c>
    </row>
    <row r="104" spans="1:30" s="47" customFormat="1" ht="12.75" customHeight="1">
      <c r="A104" s="47" t="s">
        <v>129</v>
      </c>
      <c r="B104" s="51"/>
      <c r="C104" s="47" t="s">
        <v>80</v>
      </c>
      <c r="E104" s="44">
        <v>1920990</v>
      </c>
      <c r="F104" s="44"/>
      <c r="G104" s="44">
        <v>30049</v>
      </c>
      <c r="H104" s="44"/>
      <c r="I104" s="44">
        <v>50463</v>
      </c>
      <c r="J104" s="44"/>
      <c r="K104" s="44">
        <v>516</v>
      </c>
      <c r="L104" s="44"/>
      <c r="M104" s="44">
        <v>917874</v>
      </c>
      <c r="N104" s="44"/>
      <c r="O104" s="44">
        <v>0</v>
      </c>
      <c r="P104" s="44"/>
      <c r="Q104" s="44">
        <v>409678</v>
      </c>
      <c r="R104" s="44"/>
      <c r="S104" s="44">
        <v>0</v>
      </c>
      <c r="T104" s="44"/>
      <c r="U104" s="44">
        <v>139751</v>
      </c>
      <c r="V104" s="44"/>
      <c r="W104" s="44">
        <f t="shared" si="3"/>
        <v>3469321</v>
      </c>
      <c r="X104" s="44"/>
      <c r="Y104" s="44">
        <v>2518224</v>
      </c>
      <c r="Z104" s="44"/>
      <c r="AA104" s="44">
        <f>+'Stmt net assets'!Y104</f>
        <v>2349138</v>
      </c>
      <c r="AB104" s="44"/>
      <c r="AC104" s="44">
        <f>+Y104+'Stmt of activities-GA rev'!AC104-'Stmt of activities-GAexp'!W104-AA104</f>
        <v>0</v>
      </c>
    </row>
    <row r="105" spans="1:30" s="47" customFormat="1" ht="12.75" customHeight="1">
      <c r="A105" s="47" t="s">
        <v>130</v>
      </c>
      <c r="B105" s="51"/>
      <c r="C105" s="47" t="s">
        <v>66</v>
      </c>
      <c r="E105" s="44">
        <f>6362321+6726997+1421356</f>
        <v>14510674</v>
      </c>
      <c r="F105" s="44"/>
      <c r="G105" s="44">
        <v>0</v>
      </c>
      <c r="H105" s="44"/>
      <c r="I105" s="44">
        <v>703096</v>
      </c>
      <c r="J105" s="44"/>
      <c r="K105" s="44">
        <v>1090885</v>
      </c>
      <c r="L105" s="44"/>
      <c r="M105" s="44">
        <v>7355768</v>
      </c>
      <c r="N105" s="44"/>
      <c r="O105" s="44">
        <v>0</v>
      </c>
      <c r="P105" s="44"/>
      <c r="Q105" s="44">
        <v>3422259</v>
      </c>
      <c r="R105" s="44"/>
      <c r="S105" s="44">
        <v>0</v>
      </c>
      <c r="T105" s="44"/>
      <c r="U105" s="44">
        <v>1229166</v>
      </c>
      <c r="V105" s="44"/>
      <c r="W105" s="44">
        <f t="shared" si="3"/>
        <v>28311848</v>
      </c>
      <c r="X105" s="44"/>
      <c r="Y105" s="44">
        <v>117646609</v>
      </c>
      <c r="Z105" s="44"/>
      <c r="AA105" s="44">
        <f>+'Stmt net assets'!Y105</f>
        <v>113990985</v>
      </c>
      <c r="AB105" s="44"/>
      <c r="AC105" s="44">
        <f>+Y105+'Stmt of activities-GA rev'!AC105-'Stmt of activities-GAexp'!W105-AA105</f>
        <v>0</v>
      </c>
    </row>
    <row r="106" spans="1:30" s="47" customFormat="1" ht="12.75" customHeight="1">
      <c r="A106" s="47" t="s">
        <v>131</v>
      </c>
      <c r="B106" s="51"/>
      <c r="C106" s="47" t="s">
        <v>13</v>
      </c>
      <c r="E106" s="44">
        <v>6821004</v>
      </c>
      <c r="F106" s="44"/>
      <c r="G106" s="44">
        <v>1114217</v>
      </c>
      <c r="H106" s="44"/>
      <c r="I106" s="44">
        <v>1437000</v>
      </c>
      <c r="J106" s="44"/>
      <c r="K106" s="44">
        <v>1500469</v>
      </c>
      <c r="L106" s="44"/>
      <c r="M106" s="44">
        <v>6450521</v>
      </c>
      <c r="N106" s="44"/>
      <c r="O106" s="44">
        <v>0</v>
      </c>
      <c r="P106" s="44"/>
      <c r="Q106" s="44">
        <v>6531128</v>
      </c>
      <c r="R106" s="44"/>
      <c r="S106" s="44">
        <v>0</v>
      </c>
      <c r="T106" s="44"/>
      <c r="U106" s="44">
        <v>1450598</v>
      </c>
      <c r="V106" s="44"/>
      <c r="W106" s="44">
        <f t="shared" si="3"/>
        <v>25304937</v>
      </c>
      <c r="X106" s="44"/>
      <c r="Y106" s="44">
        <v>99633381</v>
      </c>
      <c r="Z106" s="44"/>
      <c r="AA106" s="44">
        <f>+'Stmt net assets'!Y106</f>
        <v>100766537</v>
      </c>
      <c r="AB106" s="44"/>
      <c r="AC106" s="44">
        <f>+Y106+'Stmt of activities-GA rev'!AC106-'Stmt of activities-GAexp'!W106-AA106</f>
        <v>0</v>
      </c>
    </row>
    <row r="107" spans="1:30" s="47" customFormat="1" ht="12.75" customHeight="1">
      <c r="A107" s="47" t="s">
        <v>38</v>
      </c>
      <c r="B107" s="51"/>
      <c r="C107" s="47" t="s">
        <v>132</v>
      </c>
      <c r="E107" s="44">
        <v>3284970</v>
      </c>
      <c r="F107" s="44"/>
      <c r="G107" s="44">
        <v>0</v>
      </c>
      <c r="H107" s="44"/>
      <c r="I107" s="44">
        <v>733785</v>
      </c>
      <c r="J107" s="44"/>
      <c r="K107" s="44">
        <v>0</v>
      </c>
      <c r="L107" s="44"/>
      <c r="M107" s="44">
        <v>1032342</v>
      </c>
      <c r="N107" s="44"/>
      <c r="O107" s="44">
        <v>0</v>
      </c>
      <c r="P107" s="44"/>
      <c r="Q107" s="44">
        <v>1043129</v>
      </c>
      <c r="R107" s="44"/>
      <c r="S107" s="44">
        <f>688060+35804</f>
        <v>723864</v>
      </c>
      <c r="T107" s="44"/>
      <c r="U107" s="44">
        <v>105364</v>
      </c>
      <c r="V107" s="44"/>
      <c r="W107" s="44">
        <f t="shared" si="3"/>
        <v>6923454</v>
      </c>
      <c r="X107" s="44"/>
      <c r="Y107" s="44">
        <v>4752585</v>
      </c>
      <c r="Z107" s="44"/>
      <c r="AA107" s="44">
        <f>+'Stmt net assets'!Y107</f>
        <v>11892999</v>
      </c>
      <c r="AB107" s="44"/>
      <c r="AC107" s="44">
        <f>+Y107+'Stmt of activities-GA rev'!AC107-'Stmt of activities-GAexp'!W107-AA107</f>
        <v>0</v>
      </c>
    </row>
    <row r="108" spans="1:30" s="47" customFormat="1" ht="12.75" customHeight="1">
      <c r="A108" s="47" t="s">
        <v>133</v>
      </c>
      <c r="B108" s="51"/>
      <c r="C108" s="47" t="s">
        <v>27</v>
      </c>
      <c r="E108" s="44">
        <v>8589758</v>
      </c>
      <c r="F108" s="44"/>
      <c r="G108" s="44">
        <v>212</v>
      </c>
      <c r="H108" s="44"/>
      <c r="I108" s="44">
        <v>3290294</v>
      </c>
      <c r="J108" s="44"/>
      <c r="K108" s="44">
        <v>2297512</v>
      </c>
      <c r="L108" s="44"/>
      <c r="M108" s="44">
        <v>3748132</v>
      </c>
      <c r="N108" s="44"/>
      <c r="O108" s="44">
        <v>899624</v>
      </c>
      <c r="P108" s="44"/>
      <c r="Q108" s="44">
        <v>8530699</v>
      </c>
      <c r="R108" s="44"/>
      <c r="S108" s="44">
        <v>0</v>
      </c>
      <c r="T108" s="44"/>
      <c r="U108" s="44">
        <v>1225360</v>
      </c>
      <c r="V108" s="44"/>
      <c r="W108" s="44">
        <f t="shared" si="3"/>
        <v>28581591</v>
      </c>
      <c r="X108" s="44"/>
      <c r="Y108" s="44">
        <v>75396795</v>
      </c>
      <c r="Z108" s="44"/>
      <c r="AA108" s="44">
        <f>+'Stmt net assets'!Y108</f>
        <v>74812680</v>
      </c>
      <c r="AB108" s="44"/>
      <c r="AC108" s="44">
        <f>+Y108+'Stmt of activities-GA rev'!AC108-'Stmt of activities-GAexp'!W108-AA108</f>
        <v>0</v>
      </c>
    </row>
    <row r="109" spans="1:30" s="47" customFormat="1" ht="12.75" customHeight="1">
      <c r="A109" s="47" t="s">
        <v>482</v>
      </c>
      <c r="B109" s="51"/>
      <c r="C109" s="47" t="s">
        <v>45</v>
      </c>
      <c r="E109" s="44">
        <v>4773732</v>
      </c>
      <c r="F109" s="44"/>
      <c r="G109" s="44">
        <v>141066</v>
      </c>
      <c r="H109" s="44"/>
      <c r="I109" s="44">
        <v>1304559</v>
      </c>
      <c r="J109" s="44"/>
      <c r="K109" s="44">
        <v>1658282</v>
      </c>
      <c r="L109" s="44"/>
      <c r="M109" s="44">
        <v>2049143</v>
      </c>
      <c r="N109" s="44"/>
      <c r="O109" s="44">
        <v>0</v>
      </c>
      <c r="P109" s="44"/>
      <c r="Q109" s="44">
        <v>2138214</v>
      </c>
      <c r="R109" s="44"/>
      <c r="S109" s="44">
        <v>0</v>
      </c>
      <c r="T109" s="44"/>
      <c r="U109" s="44">
        <v>96375</v>
      </c>
      <c r="V109" s="44"/>
      <c r="W109" s="44">
        <f t="shared" si="3"/>
        <v>12161371</v>
      </c>
      <c r="X109" s="44"/>
      <c r="Y109" s="44">
        <v>109745485</v>
      </c>
      <c r="Z109" s="44"/>
      <c r="AA109" s="44">
        <f>+'Stmt net assets'!Y109</f>
        <v>113050858</v>
      </c>
      <c r="AB109" s="44"/>
      <c r="AC109" s="44">
        <f>+Y109+'Stmt of activities-GA rev'!AC109-'Stmt of activities-GAexp'!W109-AA109</f>
        <v>0</v>
      </c>
    </row>
    <row r="110" spans="1:30" s="47" customFormat="1" ht="12.75" customHeight="1">
      <c r="A110" s="47" t="s">
        <v>136</v>
      </c>
      <c r="B110" s="51"/>
      <c r="C110" s="47" t="s">
        <v>136</v>
      </c>
      <c r="E110" s="44">
        <f>2023934+36036</f>
        <v>2059970</v>
      </c>
      <c r="F110" s="44"/>
      <c r="G110" s="44">
        <f>302463+39054</f>
        <v>341517</v>
      </c>
      <c r="H110" s="44"/>
      <c r="I110" s="44">
        <f>145716+16241</f>
        <v>161957</v>
      </c>
      <c r="J110" s="44"/>
      <c r="K110" s="44">
        <f>345877+12277</f>
        <v>358154</v>
      </c>
      <c r="L110" s="44"/>
      <c r="M110" s="44">
        <f>572596+49368</f>
        <v>621964</v>
      </c>
      <c r="N110" s="44"/>
      <c r="O110" s="44">
        <v>0</v>
      </c>
      <c r="P110" s="44"/>
      <c r="Q110" s="44">
        <f>1396380-996476</f>
        <v>399904</v>
      </c>
      <c r="R110" s="44"/>
      <c r="S110" s="44">
        <v>0</v>
      </c>
      <c r="T110" s="44"/>
      <c r="U110" s="44">
        <v>20002</v>
      </c>
      <c r="V110" s="44"/>
      <c r="W110" s="44">
        <f t="shared" si="3"/>
        <v>3963468</v>
      </c>
      <c r="X110" s="44"/>
      <c r="Y110" s="44">
        <v>12327150</v>
      </c>
      <c r="Z110" s="44"/>
      <c r="AA110" s="44">
        <f>+'Stmt net assets'!Y110</f>
        <v>12806804</v>
      </c>
      <c r="AB110" s="44"/>
      <c r="AC110" s="44">
        <f>+Y110+'Stmt of activities-GA rev'!AC110-'Stmt of activities-GAexp'!W110-AA110</f>
        <v>0</v>
      </c>
      <c r="AD110" s="47">
        <f>4806968-843500</f>
        <v>3963468</v>
      </c>
    </row>
    <row r="111" spans="1:30" s="47" customFormat="1" ht="12.75" customHeight="1">
      <c r="A111" s="47" t="s">
        <v>137</v>
      </c>
      <c r="B111" s="51"/>
      <c r="C111" s="47" t="s">
        <v>22</v>
      </c>
      <c r="E111" s="44">
        <v>10595357</v>
      </c>
      <c r="F111" s="44"/>
      <c r="G111" s="44">
        <v>632398</v>
      </c>
      <c r="H111" s="44"/>
      <c r="I111" s="44">
        <v>1438323</v>
      </c>
      <c r="J111" s="44"/>
      <c r="K111" s="44">
        <v>1720059</v>
      </c>
      <c r="L111" s="44"/>
      <c r="M111" s="44">
        <v>4093758</v>
      </c>
      <c r="N111" s="44"/>
      <c r="O111" s="44">
        <v>0</v>
      </c>
      <c r="P111" s="44"/>
      <c r="Q111" s="44">
        <v>2852097</v>
      </c>
      <c r="R111" s="44"/>
      <c r="S111" s="44">
        <v>0</v>
      </c>
      <c r="T111" s="44"/>
      <c r="U111" s="44">
        <v>143384</v>
      </c>
      <c r="V111" s="44"/>
      <c r="W111" s="44">
        <f t="shared" si="3"/>
        <v>21475376</v>
      </c>
      <c r="X111" s="44"/>
      <c r="Y111" s="44">
        <v>59670802</v>
      </c>
      <c r="Z111" s="44"/>
      <c r="AA111" s="44">
        <f>+'Stmt net assets'!Y111</f>
        <v>59862480</v>
      </c>
      <c r="AB111" s="44"/>
      <c r="AC111" s="44">
        <f>+Y111+'Stmt of activities-GA rev'!AC111-'Stmt of activities-GAexp'!W111-AA111</f>
        <v>0</v>
      </c>
    </row>
    <row r="112" spans="1:30" s="47" customFormat="1" ht="12.75" hidden="1" customHeight="1">
      <c r="A112" s="47" t="s">
        <v>138</v>
      </c>
      <c r="B112" s="51"/>
      <c r="C112" s="47" t="s">
        <v>139</v>
      </c>
      <c r="E112" s="44">
        <v>0</v>
      </c>
      <c r="F112" s="44"/>
      <c r="G112" s="44">
        <v>0</v>
      </c>
      <c r="H112" s="44"/>
      <c r="I112" s="44">
        <v>0</v>
      </c>
      <c r="J112" s="44"/>
      <c r="K112" s="44">
        <v>0</v>
      </c>
      <c r="L112" s="44"/>
      <c r="M112" s="44">
        <v>0</v>
      </c>
      <c r="N112" s="44"/>
      <c r="O112" s="44">
        <v>0</v>
      </c>
      <c r="P112" s="44"/>
      <c r="Q112" s="44">
        <v>0</v>
      </c>
      <c r="R112" s="44"/>
      <c r="S112" s="44">
        <v>0</v>
      </c>
      <c r="T112" s="44"/>
      <c r="U112" s="44">
        <v>0</v>
      </c>
      <c r="V112" s="44"/>
      <c r="W112" s="44">
        <f t="shared" si="3"/>
        <v>0</v>
      </c>
      <c r="X112" s="44"/>
      <c r="Y112" s="44">
        <v>0</v>
      </c>
      <c r="Z112" s="44"/>
      <c r="AA112" s="44">
        <f>+'Stmt net assets'!Y112</f>
        <v>0</v>
      </c>
      <c r="AB112" s="44"/>
      <c r="AC112" s="44">
        <f>+Y112+'Stmt of activities-GA rev'!AC112-'Stmt of activities-GAexp'!W112-AA112</f>
        <v>0</v>
      </c>
    </row>
    <row r="113" spans="1:29" s="47" customFormat="1" ht="12.75" customHeight="1">
      <c r="A113" s="47" t="s">
        <v>140</v>
      </c>
      <c r="B113" s="51"/>
      <c r="C113" s="47" t="s">
        <v>66</v>
      </c>
      <c r="E113" s="44">
        <f>14161364+10504095</f>
        <v>24665459</v>
      </c>
      <c r="F113" s="44"/>
      <c r="G113" s="44">
        <v>0</v>
      </c>
      <c r="H113" s="44"/>
      <c r="I113" s="44">
        <v>13038928</v>
      </c>
      <c r="J113" s="44"/>
      <c r="K113" s="44">
        <v>0</v>
      </c>
      <c r="L113" s="44"/>
      <c r="M113" s="44">
        <v>13425510</v>
      </c>
      <c r="N113" s="44"/>
      <c r="O113" s="44">
        <v>0</v>
      </c>
      <c r="P113" s="44"/>
      <c r="Q113" s="44">
        <v>12813463</v>
      </c>
      <c r="R113" s="44"/>
      <c r="S113" s="44">
        <v>0</v>
      </c>
      <c r="T113" s="44"/>
      <c r="U113" s="44">
        <v>671334</v>
      </c>
      <c r="V113" s="44"/>
      <c r="W113" s="44">
        <f t="shared" si="3"/>
        <v>64614694</v>
      </c>
      <c r="X113" s="44"/>
      <c r="Y113" s="44">
        <v>175811302</v>
      </c>
      <c r="Z113" s="44"/>
      <c r="AA113" s="44">
        <f>+'Stmt net assets'!Y113</f>
        <v>186335559</v>
      </c>
      <c r="AB113" s="44"/>
      <c r="AC113" s="44">
        <f>+Y113+'Stmt of activities-GA rev'!AC113-'Stmt of activities-GAexp'!W113-AA113</f>
        <v>0</v>
      </c>
    </row>
    <row r="114" spans="1:29" s="47" customFormat="1" ht="12.75" customHeight="1">
      <c r="A114" s="47" t="s">
        <v>478</v>
      </c>
      <c r="B114" s="51"/>
      <c r="C114" s="47" t="s">
        <v>92</v>
      </c>
      <c r="E114" s="44">
        <v>2439146</v>
      </c>
      <c r="F114" s="44"/>
      <c r="G114" s="44">
        <v>78735</v>
      </c>
      <c r="H114" s="44"/>
      <c r="I114" s="44">
        <v>341484</v>
      </c>
      <c r="J114" s="44"/>
      <c r="K114" s="44">
        <v>75954</v>
      </c>
      <c r="L114" s="44"/>
      <c r="M114" s="44">
        <v>2341940</v>
      </c>
      <c r="N114" s="44"/>
      <c r="O114" s="44">
        <v>0</v>
      </c>
      <c r="P114" s="44"/>
      <c r="Q114" s="44">
        <v>1773278</v>
      </c>
      <c r="R114" s="44"/>
      <c r="S114" s="44">
        <v>0</v>
      </c>
      <c r="T114" s="44"/>
      <c r="U114" s="44">
        <v>178434</v>
      </c>
      <c r="V114" s="44"/>
      <c r="W114" s="44">
        <f t="shared" si="3"/>
        <v>7228971</v>
      </c>
      <c r="X114" s="44"/>
      <c r="Y114" s="44">
        <v>16101244</v>
      </c>
      <c r="Z114" s="44"/>
      <c r="AA114" s="44">
        <f>+'Stmt net assets'!Y114</f>
        <v>16467303</v>
      </c>
      <c r="AB114" s="44"/>
      <c r="AC114" s="44">
        <f>+Y114+'Stmt of activities-GA rev'!AC114-'Stmt of activities-GAexp'!W114-AA114</f>
        <v>0</v>
      </c>
    </row>
    <row r="115" spans="1:29" s="47" customFormat="1" ht="12.75" customHeight="1">
      <c r="A115" s="47" t="s">
        <v>141</v>
      </c>
      <c r="B115" s="51"/>
      <c r="C115" s="47" t="s">
        <v>27</v>
      </c>
      <c r="E115" s="44">
        <f>12133960+9420687</f>
        <v>21554647</v>
      </c>
      <c r="F115" s="44"/>
      <c r="G115" s="44">
        <v>2356761</v>
      </c>
      <c r="H115" s="44"/>
      <c r="I115" s="44">
        <v>1814035</v>
      </c>
      <c r="J115" s="44"/>
      <c r="K115" s="44">
        <v>6742200</v>
      </c>
      <c r="L115" s="44"/>
      <c r="M115" s="44">
        <v>3070285</v>
      </c>
      <c r="N115" s="44"/>
      <c r="O115" s="44">
        <v>3464749</v>
      </c>
      <c r="P115" s="44"/>
      <c r="Q115" s="44">
        <v>8356407</v>
      </c>
      <c r="R115" s="44"/>
      <c r="S115" s="44">
        <v>0</v>
      </c>
      <c r="T115" s="44"/>
      <c r="U115" s="44">
        <v>1788103</v>
      </c>
      <c r="V115" s="44"/>
      <c r="W115" s="44">
        <f t="shared" si="3"/>
        <v>49147187</v>
      </c>
      <c r="X115" s="44"/>
      <c r="Y115" s="44">
        <v>39725191</v>
      </c>
      <c r="Z115" s="44"/>
      <c r="AA115" s="44">
        <f>+'Stmt net assets'!Y115</f>
        <v>46742223</v>
      </c>
      <c r="AB115" s="44"/>
      <c r="AC115" s="44">
        <f>+Y115+'Stmt of activities-GA rev'!AC115-'Stmt of activities-GAexp'!W115-AA115</f>
        <v>0</v>
      </c>
    </row>
    <row r="116" spans="1:29" s="122" customFormat="1" ht="12.75" hidden="1" customHeight="1">
      <c r="A116" s="122" t="s">
        <v>142</v>
      </c>
      <c r="B116" s="124"/>
      <c r="C116" s="122" t="s">
        <v>102</v>
      </c>
      <c r="E116" s="121">
        <v>0</v>
      </c>
      <c r="F116" s="121"/>
      <c r="G116" s="121">
        <v>0</v>
      </c>
      <c r="H116" s="121"/>
      <c r="I116" s="121">
        <v>0</v>
      </c>
      <c r="J116" s="121"/>
      <c r="K116" s="121">
        <v>0</v>
      </c>
      <c r="L116" s="121"/>
      <c r="M116" s="121">
        <v>0</v>
      </c>
      <c r="N116" s="121"/>
      <c r="O116" s="121">
        <v>0</v>
      </c>
      <c r="P116" s="121"/>
      <c r="Q116" s="121">
        <v>0</v>
      </c>
      <c r="R116" s="121"/>
      <c r="S116" s="121">
        <v>0</v>
      </c>
      <c r="T116" s="121"/>
      <c r="U116" s="121">
        <v>0</v>
      </c>
      <c r="V116" s="121"/>
      <c r="W116" s="121">
        <f t="shared" si="3"/>
        <v>0</v>
      </c>
      <c r="X116" s="121"/>
      <c r="Y116" s="121">
        <v>0</v>
      </c>
      <c r="Z116" s="121"/>
      <c r="AA116" s="121">
        <f>+'Stmt net assets'!Y116</f>
        <v>0</v>
      </c>
      <c r="AB116" s="121"/>
      <c r="AC116" s="121">
        <f>+Y116+'Stmt of activities-GA rev'!AC116-'Stmt of activities-GAexp'!W116-AA116</f>
        <v>0</v>
      </c>
    </row>
    <row r="117" spans="1:29" s="47" customFormat="1" ht="12.75" customHeight="1">
      <c r="A117" s="47" t="s">
        <v>143</v>
      </c>
      <c r="B117" s="51"/>
      <c r="C117" s="47" t="s">
        <v>111</v>
      </c>
      <c r="E117" s="44">
        <f>4470394+2832199</f>
        <v>7302593</v>
      </c>
      <c r="F117" s="44"/>
      <c r="G117" s="44">
        <v>197806</v>
      </c>
      <c r="H117" s="44"/>
      <c r="I117" s="44">
        <v>382313</v>
      </c>
      <c r="J117" s="44"/>
      <c r="K117" s="44">
        <v>873466</v>
      </c>
      <c r="L117" s="44"/>
      <c r="M117" s="44">
        <v>3790494</v>
      </c>
      <c r="N117" s="44"/>
      <c r="O117" s="44">
        <v>0</v>
      </c>
      <c r="P117" s="44"/>
      <c r="Q117" s="44">
        <v>4068631</v>
      </c>
      <c r="R117" s="44"/>
      <c r="S117" s="44">
        <v>277310</v>
      </c>
      <c r="T117" s="44"/>
      <c r="U117" s="44">
        <v>281437</v>
      </c>
      <c r="V117" s="44"/>
      <c r="W117" s="44">
        <f t="shared" si="3"/>
        <v>17174050</v>
      </c>
      <c r="X117" s="44"/>
      <c r="Y117" s="44">
        <v>59359393</v>
      </c>
      <c r="Z117" s="44"/>
      <c r="AA117" s="44">
        <f>+'Stmt net assets'!Y117</f>
        <v>59830387</v>
      </c>
      <c r="AB117" s="44"/>
      <c r="AC117" s="44">
        <f>+Y117+'Stmt of activities-GA rev'!AC117-'Stmt of activities-GAexp'!W117-AA117</f>
        <v>0</v>
      </c>
    </row>
    <row r="118" spans="1:29" s="47" customFormat="1" ht="12.75" customHeight="1">
      <c r="A118" s="47" t="s">
        <v>144</v>
      </c>
      <c r="B118" s="51"/>
      <c r="C118" s="47" t="s">
        <v>88</v>
      </c>
      <c r="E118" s="44">
        <v>15742649</v>
      </c>
      <c r="F118" s="44"/>
      <c r="G118" s="44">
        <v>0</v>
      </c>
      <c r="H118" s="44"/>
      <c r="I118" s="44">
        <v>1061948</v>
      </c>
      <c r="J118" s="44"/>
      <c r="K118" s="44">
        <v>4568793</v>
      </c>
      <c r="L118" s="44"/>
      <c r="M118" s="44">
        <v>5649293</v>
      </c>
      <c r="N118" s="44"/>
      <c r="O118" s="44">
        <v>0</v>
      </c>
      <c r="P118" s="44"/>
      <c r="Q118" s="44">
        <v>8555199</v>
      </c>
      <c r="R118" s="44"/>
      <c r="S118" s="44">
        <v>0</v>
      </c>
      <c r="T118" s="44"/>
      <c r="U118" s="44">
        <v>97438</v>
      </c>
      <c r="V118" s="44"/>
      <c r="W118" s="44">
        <f t="shared" si="3"/>
        <v>35675320</v>
      </c>
      <c r="X118" s="44"/>
      <c r="Y118" s="44">
        <v>58364333</v>
      </c>
      <c r="Z118" s="44"/>
      <c r="AA118" s="44">
        <f>+'Stmt net assets'!Y118</f>
        <v>65784886</v>
      </c>
      <c r="AB118" s="44"/>
      <c r="AC118" s="44">
        <f>+Y118+'Stmt of activities-GA rev'!AC118-'Stmt of activities-GAexp'!W118-AA118</f>
        <v>0</v>
      </c>
    </row>
    <row r="119" spans="1:29" s="47" customFormat="1" ht="12.75" customHeight="1">
      <c r="A119" s="47" t="s">
        <v>36</v>
      </c>
      <c r="B119" s="51"/>
      <c r="C119" s="47" t="s">
        <v>145</v>
      </c>
      <c r="E119" s="44">
        <f>1684449+849899</f>
        <v>2534348</v>
      </c>
      <c r="F119" s="44"/>
      <c r="G119" s="44">
        <v>295212</v>
      </c>
      <c r="H119" s="44"/>
      <c r="I119" s="44">
        <v>101161</v>
      </c>
      <c r="J119" s="44"/>
      <c r="K119" s="44">
        <v>111878</v>
      </c>
      <c r="L119" s="44"/>
      <c r="M119" s="44">
        <v>723373</v>
      </c>
      <c r="N119" s="44"/>
      <c r="O119" s="44">
        <v>2226</v>
      </c>
      <c r="P119" s="44"/>
      <c r="Q119" s="44">
        <v>916475</v>
      </c>
      <c r="R119" s="44"/>
      <c r="S119" s="44">
        <v>0</v>
      </c>
      <c r="T119" s="44"/>
      <c r="U119" s="44">
        <v>15985</v>
      </c>
      <c r="V119" s="44"/>
      <c r="W119" s="44">
        <f t="shared" si="3"/>
        <v>4700658</v>
      </c>
      <c r="X119" s="44"/>
      <c r="Y119" s="44">
        <v>9237160</v>
      </c>
      <c r="Z119" s="44"/>
      <c r="AA119" s="44">
        <f>+'Stmt net assets'!Y119</f>
        <v>9552669</v>
      </c>
      <c r="AB119" s="44"/>
      <c r="AC119" s="44">
        <f>+Y119+'Stmt of activities-GA rev'!AC119-'Stmt of activities-GAexp'!W119-AA119</f>
        <v>0</v>
      </c>
    </row>
    <row r="120" spans="1:29" s="47" customFormat="1" ht="12.75" customHeight="1">
      <c r="B120" s="51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8" t="s">
        <v>484</v>
      </c>
      <c r="AB120" s="44"/>
      <c r="AC120" s="44"/>
    </row>
    <row r="121" spans="1:29" s="47" customFormat="1" ht="12.75" customHeight="1">
      <c r="A121" s="47" t="s">
        <v>146</v>
      </c>
      <c r="B121" s="51"/>
      <c r="C121" s="47" t="s">
        <v>147</v>
      </c>
      <c r="E121" s="46">
        <v>3004870</v>
      </c>
      <c r="F121" s="46"/>
      <c r="G121" s="46">
        <v>300</v>
      </c>
      <c r="H121" s="46"/>
      <c r="I121" s="46">
        <v>170126</v>
      </c>
      <c r="J121" s="46"/>
      <c r="K121" s="46">
        <v>1119042</v>
      </c>
      <c r="L121" s="46"/>
      <c r="M121" s="46">
        <v>1152863</v>
      </c>
      <c r="N121" s="46"/>
      <c r="O121" s="46">
        <v>0</v>
      </c>
      <c r="P121" s="46"/>
      <c r="Q121" s="46">
        <v>1321576</v>
      </c>
      <c r="R121" s="46"/>
      <c r="S121" s="46">
        <v>0</v>
      </c>
      <c r="T121" s="46"/>
      <c r="U121" s="46">
        <v>60646</v>
      </c>
      <c r="V121" s="46"/>
      <c r="W121" s="46">
        <f t="shared" si="3"/>
        <v>6829423</v>
      </c>
      <c r="X121" s="46"/>
      <c r="Y121" s="46">
        <v>16942377</v>
      </c>
      <c r="Z121" s="46"/>
      <c r="AA121" s="46">
        <f>+'Stmt net assets'!Y121</f>
        <v>16849688</v>
      </c>
      <c r="AB121" s="44"/>
      <c r="AC121" s="44">
        <f>+Y121+'Stmt of activities-GA rev'!AC120-'Stmt of activities-GAexp'!W121-AA121</f>
        <v>0</v>
      </c>
    </row>
    <row r="122" spans="1:29" s="47" customFormat="1" ht="12.75" customHeight="1">
      <c r="A122" s="47" t="s">
        <v>17</v>
      </c>
      <c r="B122" s="51"/>
      <c r="C122" s="47" t="s">
        <v>17</v>
      </c>
      <c r="E122" s="44">
        <v>18236104</v>
      </c>
      <c r="F122" s="44"/>
      <c r="G122" s="44">
        <v>1352681</v>
      </c>
      <c r="H122" s="44"/>
      <c r="I122" s="44">
        <v>513928</v>
      </c>
      <c r="J122" s="44"/>
      <c r="K122" s="44">
        <f>3020976+461164</f>
        <v>3482140</v>
      </c>
      <c r="L122" s="44"/>
      <c r="M122" s="44">
        <v>12699874</v>
      </c>
      <c r="N122" s="44"/>
      <c r="O122" s="44">
        <v>0</v>
      </c>
      <c r="P122" s="44"/>
      <c r="Q122" s="44">
        <v>11620641</v>
      </c>
      <c r="R122" s="44"/>
      <c r="S122" s="44">
        <v>0</v>
      </c>
      <c r="T122" s="44"/>
      <c r="U122" s="44">
        <v>2252399</v>
      </c>
      <c r="V122" s="44"/>
      <c r="W122" s="44">
        <f t="shared" si="3"/>
        <v>50157767</v>
      </c>
      <c r="X122" s="44"/>
      <c r="Y122" s="44">
        <v>96272321</v>
      </c>
      <c r="Z122" s="44"/>
      <c r="AA122" s="44">
        <f>+'Stmt net assets'!Y122</f>
        <v>91381719</v>
      </c>
      <c r="AB122" s="44"/>
      <c r="AC122" s="44">
        <f>+Y122+'Stmt of activities-GA rev'!AC121-'Stmt of activities-GAexp'!W122-AA122</f>
        <v>0</v>
      </c>
    </row>
    <row r="123" spans="1:29" s="47" customFormat="1" ht="12.75" customHeight="1">
      <c r="A123" s="47" t="s">
        <v>148</v>
      </c>
      <c r="B123" s="51"/>
      <c r="C123" s="47" t="s">
        <v>15</v>
      </c>
      <c r="E123" s="44">
        <v>2182393</v>
      </c>
      <c r="F123" s="44"/>
      <c r="G123" s="44">
        <v>50860</v>
      </c>
      <c r="H123" s="44"/>
      <c r="I123" s="44">
        <v>214946</v>
      </c>
      <c r="J123" s="44"/>
      <c r="K123" s="44">
        <v>147504</v>
      </c>
      <c r="L123" s="44"/>
      <c r="M123" s="44">
        <v>681247</v>
      </c>
      <c r="N123" s="44"/>
      <c r="O123" s="44">
        <v>0</v>
      </c>
      <c r="P123" s="44"/>
      <c r="Q123" s="44">
        <v>891233</v>
      </c>
      <c r="R123" s="44"/>
      <c r="S123" s="44">
        <v>0</v>
      </c>
      <c r="T123" s="44"/>
      <c r="U123" s="44">
        <v>17085</v>
      </c>
      <c r="V123" s="44"/>
      <c r="W123" s="44">
        <f t="shared" si="3"/>
        <v>4185268</v>
      </c>
      <c r="X123" s="44"/>
      <c r="Y123" s="44">
        <v>6106289</v>
      </c>
      <c r="Z123" s="44"/>
      <c r="AA123" s="44">
        <f>+'Stmt net assets'!Y123</f>
        <v>7220144</v>
      </c>
      <c r="AB123" s="44"/>
      <c r="AC123" s="44">
        <f>+Y123+'Stmt of activities-GA rev'!AC122-'Stmt of activities-GAexp'!W123-AA123</f>
        <v>0</v>
      </c>
    </row>
    <row r="124" spans="1:29" s="47" customFormat="1" ht="12.75" customHeight="1">
      <c r="A124" s="47" t="s">
        <v>149</v>
      </c>
      <c r="B124" s="51"/>
      <c r="C124" s="47" t="s">
        <v>45</v>
      </c>
      <c r="E124" s="44">
        <v>5337088</v>
      </c>
      <c r="F124" s="44"/>
      <c r="G124" s="44">
        <v>0</v>
      </c>
      <c r="H124" s="44"/>
      <c r="I124" s="44">
        <v>944693</v>
      </c>
      <c r="J124" s="44"/>
      <c r="K124" s="44">
        <v>236337</v>
      </c>
      <c r="L124" s="44"/>
      <c r="M124" s="44">
        <v>1334262</v>
      </c>
      <c r="N124" s="44"/>
      <c r="O124" s="44">
        <v>0</v>
      </c>
      <c r="P124" s="44"/>
      <c r="Q124" s="44">
        <v>2709148</v>
      </c>
      <c r="R124" s="44"/>
      <c r="S124" s="44">
        <v>0</v>
      </c>
      <c r="T124" s="44"/>
      <c r="U124" s="44">
        <v>192228</v>
      </c>
      <c r="V124" s="44"/>
      <c r="W124" s="44">
        <f t="shared" si="3"/>
        <v>10753756</v>
      </c>
      <c r="X124" s="44"/>
      <c r="Y124" s="44">
        <v>19059312</v>
      </c>
      <c r="Z124" s="44"/>
      <c r="AA124" s="44">
        <f>+'Stmt net assets'!Y124</f>
        <v>19548321</v>
      </c>
      <c r="AB124" s="44"/>
      <c r="AC124" s="44">
        <f>+Y124+'Stmt of activities-GA rev'!AC123-'Stmt of activities-GAexp'!W124-AA124</f>
        <v>0</v>
      </c>
    </row>
    <row r="125" spans="1:29" s="47" customFormat="1" ht="12.75" customHeight="1">
      <c r="A125" s="47" t="s">
        <v>150</v>
      </c>
      <c r="B125" s="51"/>
      <c r="C125" s="47" t="s">
        <v>27</v>
      </c>
      <c r="E125" s="44">
        <v>7886774</v>
      </c>
      <c r="F125" s="44"/>
      <c r="G125" s="44">
        <v>56532</v>
      </c>
      <c r="H125" s="44"/>
      <c r="I125" s="44">
        <v>1597008</v>
      </c>
      <c r="J125" s="44"/>
      <c r="K125" s="44">
        <v>657980</v>
      </c>
      <c r="L125" s="44"/>
      <c r="M125" s="44">
        <v>1659267</v>
      </c>
      <c r="N125" s="44"/>
      <c r="O125" s="44">
        <v>3147896</v>
      </c>
      <c r="P125" s="44"/>
      <c r="Q125" s="44">
        <v>4879681</v>
      </c>
      <c r="R125" s="44"/>
      <c r="S125" s="44">
        <v>0</v>
      </c>
      <c r="T125" s="44"/>
      <c r="U125" s="44">
        <v>89304</v>
      </c>
      <c r="V125" s="44"/>
      <c r="W125" s="44">
        <f t="shared" si="3"/>
        <v>19974442</v>
      </c>
      <c r="X125" s="44"/>
      <c r="Y125" s="44">
        <v>90891207</v>
      </c>
      <c r="Z125" s="44"/>
      <c r="AA125" s="44">
        <f>+'Stmt net assets'!Y125</f>
        <v>90147669</v>
      </c>
      <c r="AB125" s="44"/>
      <c r="AC125" s="44">
        <f>+Y125+'Stmt of activities-GA rev'!AC124-'Stmt of activities-GAexp'!W125-AA125</f>
        <v>0</v>
      </c>
    </row>
    <row r="126" spans="1:29" s="47" customFormat="1" ht="12.75" customHeight="1">
      <c r="A126" s="47" t="s">
        <v>151</v>
      </c>
      <c r="B126" s="51"/>
      <c r="C126" s="47" t="s">
        <v>13</v>
      </c>
      <c r="E126" s="44">
        <v>5274018</v>
      </c>
      <c r="F126" s="44"/>
      <c r="G126" s="44">
        <v>205237</v>
      </c>
      <c r="H126" s="44"/>
      <c r="I126" s="44">
        <v>1575381</v>
      </c>
      <c r="J126" s="44"/>
      <c r="K126" s="44">
        <v>438418</v>
      </c>
      <c r="L126" s="44"/>
      <c r="M126" s="44">
        <v>2659524</v>
      </c>
      <c r="N126" s="44"/>
      <c r="O126" s="44">
        <v>561750</v>
      </c>
      <c r="P126" s="44"/>
      <c r="Q126" s="44">
        <v>2240940</v>
      </c>
      <c r="R126" s="44"/>
      <c r="S126" s="44">
        <v>0</v>
      </c>
      <c r="T126" s="44"/>
      <c r="U126" s="44">
        <v>483135</v>
      </c>
      <c r="V126" s="44"/>
      <c r="W126" s="44">
        <f t="shared" si="3"/>
        <v>13438403</v>
      </c>
      <c r="X126" s="44"/>
      <c r="Y126" s="44">
        <v>37103069</v>
      </c>
      <c r="Z126" s="44"/>
      <c r="AA126" s="44">
        <f>+'Stmt net assets'!Y126</f>
        <v>39404719</v>
      </c>
      <c r="AB126" s="44"/>
      <c r="AC126" s="44">
        <f>+Y126+'Stmt of activities-GA rev'!AC125-'Stmt of activities-GAexp'!W126-AA126</f>
        <v>0</v>
      </c>
    </row>
    <row r="127" spans="1:29" s="47" customFormat="1" ht="12.75" customHeight="1">
      <c r="A127" s="47" t="s">
        <v>481</v>
      </c>
      <c r="B127" s="51"/>
      <c r="C127" s="47" t="s">
        <v>45</v>
      </c>
      <c r="E127" s="44">
        <v>3107248</v>
      </c>
      <c r="F127" s="44"/>
      <c r="G127" s="44">
        <v>0</v>
      </c>
      <c r="H127" s="44"/>
      <c r="I127" s="44">
        <v>253154</v>
      </c>
      <c r="J127" s="44"/>
      <c r="K127" s="44">
        <v>99195</v>
      </c>
      <c r="L127" s="44"/>
      <c r="M127" s="44">
        <v>1126043</v>
      </c>
      <c r="N127" s="44"/>
      <c r="O127" s="44">
        <v>540817</v>
      </c>
      <c r="P127" s="44"/>
      <c r="Q127" s="44">
        <v>986450</v>
      </c>
      <c r="R127" s="44"/>
      <c r="S127" s="44">
        <v>0</v>
      </c>
      <c r="T127" s="44"/>
      <c r="U127" s="44">
        <v>27138</v>
      </c>
      <c r="V127" s="44"/>
      <c r="W127" s="44">
        <f t="shared" si="3"/>
        <v>6140045</v>
      </c>
      <c r="X127" s="44"/>
      <c r="Y127" s="44">
        <v>8604960</v>
      </c>
      <c r="Z127" s="44"/>
      <c r="AA127" s="44">
        <f>+'Stmt net assets'!Y127</f>
        <v>10600593</v>
      </c>
      <c r="AB127" s="44"/>
      <c r="AC127" s="44">
        <f>+Y127+'Stmt of activities-GA rev'!AC126-'Stmt of activities-GAexp'!W127-AA127</f>
        <v>0</v>
      </c>
    </row>
    <row r="128" spans="1:29" s="47" customFormat="1" ht="12.75" customHeight="1">
      <c r="A128" s="47" t="s">
        <v>152</v>
      </c>
      <c r="B128" s="51"/>
      <c r="C128" s="47" t="s">
        <v>153</v>
      </c>
      <c r="E128" s="44">
        <v>25028107</v>
      </c>
      <c r="F128" s="44"/>
      <c r="G128" s="44">
        <v>69089</v>
      </c>
      <c r="H128" s="44"/>
      <c r="I128" s="44">
        <v>215429</v>
      </c>
      <c r="J128" s="44"/>
      <c r="K128" s="44">
        <v>2697080</v>
      </c>
      <c r="L128" s="44"/>
      <c r="M128" s="44">
        <v>2196791</v>
      </c>
      <c r="N128" s="44"/>
      <c r="O128" s="44">
        <v>0</v>
      </c>
      <c r="P128" s="44"/>
      <c r="Q128" s="44">
        <v>12724498</v>
      </c>
      <c r="R128" s="44"/>
      <c r="S128" s="44">
        <v>0</v>
      </c>
      <c r="T128" s="44"/>
      <c r="U128" s="44">
        <v>292388</v>
      </c>
      <c r="V128" s="44"/>
      <c r="W128" s="44">
        <f t="shared" si="3"/>
        <v>43223382</v>
      </c>
      <c r="X128" s="44"/>
      <c r="Y128" s="44">
        <v>59676200</v>
      </c>
      <c r="Z128" s="44"/>
      <c r="AA128" s="44">
        <f>+'Stmt net assets'!Y128</f>
        <v>65251006</v>
      </c>
      <c r="AB128" s="44"/>
      <c r="AC128" s="44">
        <f>+Y128+'Stmt of activities-GA rev'!AC127-'Stmt of activities-GAexp'!W128-AA128</f>
        <v>0</v>
      </c>
    </row>
    <row r="129" spans="1:34" s="47" customFormat="1" ht="12.75" customHeight="1">
      <c r="A129" s="47" t="s">
        <v>154</v>
      </c>
      <c r="B129" s="51"/>
      <c r="C129" s="47" t="s">
        <v>27</v>
      </c>
      <c r="E129" s="44">
        <v>11356371</v>
      </c>
      <c r="F129" s="44"/>
      <c r="G129" s="44">
        <v>97077</v>
      </c>
      <c r="H129" s="44"/>
      <c r="I129" s="44">
        <v>1094354</v>
      </c>
      <c r="J129" s="44"/>
      <c r="K129" s="44">
        <v>1528090</v>
      </c>
      <c r="L129" s="44"/>
      <c r="M129" s="44">
        <v>1636337</v>
      </c>
      <c r="N129" s="44"/>
      <c r="O129" s="44">
        <v>2112979</v>
      </c>
      <c r="P129" s="44"/>
      <c r="Q129" s="44">
        <v>5782854</v>
      </c>
      <c r="R129" s="44"/>
      <c r="S129" s="44">
        <v>0</v>
      </c>
      <c r="T129" s="44"/>
      <c r="U129" s="44">
        <v>943262</v>
      </c>
      <c r="V129" s="44"/>
      <c r="W129" s="44">
        <f t="shared" si="3"/>
        <v>24551324</v>
      </c>
      <c r="X129" s="44"/>
      <c r="Y129" s="44">
        <v>38398844</v>
      </c>
      <c r="Z129" s="44"/>
      <c r="AA129" s="44">
        <f>+'Stmt net assets'!Y129</f>
        <v>37242478</v>
      </c>
      <c r="AB129" s="44"/>
      <c r="AC129" s="44">
        <f>+Y129+'Stmt of activities-GA rev'!AC128-'Stmt of activities-GAexp'!W129-AA129</f>
        <v>0</v>
      </c>
    </row>
    <row r="130" spans="1:34" s="47" customFormat="1" ht="12.75" customHeight="1">
      <c r="A130" s="47" t="s">
        <v>155</v>
      </c>
      <c r="B130" s="51"/>
      <c r="C130" s="47" t="s">
        <v>40</v>
      </c>
      <c r="E130" s="44">
        <f>3173067+3540639</f>
        <v>6713706</v>
      </c>
      <c r="F130" s="44"/>
      <c r="G130" s="44">
        <v>891678</v>
      </c>
      <c r="H130" s="44"/>
      <c r="I130" s="44">
        <v>613873</v>
      </c>
      <c r="J130" s="44"/>
      <c r="K130" s="44">
        <f>1177808+2198869</f>
        <v>3376677</v>
      </c>
      <c r="L130" s="44"/>
      <c r="M130" s="44">
        <f>3251976+4784</f>
        <v>3256760</v>
      </c>
      <c r="N130" s="44"/>
      <c r="O130" s="44">
        <v>0</v>
      </c>
      <c r="P130" s="44"/>
      <c r="Q130" s="44">
        <f>4623158+1064790</f>
        <v>5687948</v>
      </c>
      <c r="R130" s="44"/>
      <c r="S130" s="44">
        <v>0</v>
      </c>
      <c r="T130" s="44"/>
      <c r="U130" s="44">
        <v>43103</v>
      </c>
      <c r="V130" s="44"/>
      <c r="W130" s="44">
        <f t="shared" si="3"/>
        <v>20583745</v>
      </c>
      <c r="X130" s="44"/>
      <c r="Y130" s="44">
        <v>27570026</v>
      </c>
      <c r="Z130" s="44"/>
      <c r="AA130" s="44">
        <f>+'Stmt net assets'!Y130</f>
        <v>27635833</v>
      </c>
      <c r="AB130" s="44"/>
      <c r="AC130" s="44">
        <f>+Y130+'Stmt of activities-GA rev'!AC129-'Stmt of activities-GAexp'!W130-AA130</f>
        <v>0</v>
      </c>
    </row>
    <row r="131" spans="1:34" s="122" customFormat="1" ht="12.75" hidden="1" customHeight="1">
      <c r="A131" s="122" t="s">
        <v>156</v>
      </c>
      <c r="B131" s="124"/>
      <c r="C131" s="122" t="s">
        <v>156</v>
      </c>
      <c r="E131" s="121">
        <v>0</v>
      </c>
      <c r="F131" s="121"/>
      <c r="G131" s="121">
        <v>0</v>
      </c>
      <c r="H131" s="121"/>
      <c r="I131" s="121">
        <v>0</v>
      </c>
      <c r="J131" s="121"/>
      <c r="K131" s="121">
        <v>0</v>
      </c>
      <c r="L131" s="121"/>
      <c r="M131" s="121">
        <v>0</v>
      </c>
      <c r="N131" s="121"/>
      <c r="O131" s="121">
        <v>0</v>
      </c>
      <c r="P131" s="121"/>
      <c r="Q131" s="121">
        <v>0</v>
      </c>
      <c r="R131" s="121"/>
      <c r="S131" s="121">
        <v>0</v>
      </c>
      <c r="T131" s="121"/>
      <c r="U131" s="121">
        <v>0</v>
      </c>
      <c r="V131" s="121"/>
      <c r="W131" s="121">
        <f t="shared" si="3"/>
        <v>0</v>
      </c>
      <c r="X131" s="121"/>
      <c r="Y131" s="121">
        <v>0</v>
      </c>
      <c r="Z131" s="121"/>
      <c r="AA131" s="121">
        <f>+'Stmt net assets'!Y131</f>
        <v>0</v>
      </c>
      <c r="AB131" s="123"/>
      <c r="AC131" s="123">
        <f>+Y131+'Stmt of activities-GA rev'!AC130-'Stmt of activities-GAexp'!W131-AA131</f>
        <v>0</v>
      </c>
      <c r="AD131" s="123"/>
      <c r="AE131" s="123"/>
      <c r="AF131" s="123"/>
      <c r="AG131" s="123"/>
      <c r="AH131" s="123"/>
    </row>
    <row r="132" spans="1:34" s="47" customFormat="1" ht="12.75" customHeight="1">
      <c r="A132" s="47" t="s">
        <v>157</v>
      </c>
      <c r="B132" s="51"/>
      <c r="C132" s="47" t="s">
        <v>33</v>
      </c>
      <c r="E132" s="44">
        <v>2473080</v>
      </c>
      <c r="F132" s="44"/>
      <c r="G132" s="44">
        <v>68940</v>
      </c>
      <c r="H132" s="44"/>
      <c r="I132" s="44">
        <v>61961</v>
      </c>
      <c r="J132" s="44"/>
      <c r="K132" s="44">
        <v>179944</v>
      </c>
      <c r="L132" s="44"/>
      <c r="M132" s="44">
        <v>423862</v>
      </c>
      <c r="N132" s="44"/>
      <c r="O132" s="44">
        <v>0</v>
      </c>
      <c r="P132" s="44"/>
      <c r="Q132" s="44">
        <v>726087</v>
      </c>
      <c r="R132" s="44"/>
      <c r="S132" s="44">
        <v>0</v>
      </c>
      <c r="T132" s="44"/>
      <c r="U132" s="44">
        <v>16677</v>
      </c>
      <c r="V132" s="44"/>
      <c r="W132" s="44">
        <f t="shared" si="3"/>
        <v>3950551</v>
      </c>
      <c r="X132" s="44"/>
      <c r="Y132" s="44">
        <v>6192503</v>
      </c>
      <c r="Z132" s="44"/>
      <c r="AA132" s="44">
        <f>+'Stmt net assets'!Y132</f>
        <v>6644860</v>
      </c>
      <c r="AB132" s="44"/>
      <c r="AC132" s="44">
        <f>+Y132+'Stmt of activities-GA rev'!AC131-'Stmt of activities-GAexp'!W132-AA132</f>
        <v>0</v>
      </c>
    </row>
    <row r="133" spans="1:34" s="47" customFormat="1" ht="12.75" customHeight="1">
      <c r="A133" s="47" t="s">
        <v>158</v>
      </c>
      <c r="B133" s="51"/>
      <c r="C133" s="47" t="s">
        <v>159</v>
      </c>
      <c r="E133" s="44">
        <f>3805804+3374557+885308</f>
        <v>8065669</v>
      </c>
      <c r="F133" s="44"/>
      <c r="G133" s="44">
        <v>356768</v>
      </c>
      <c r="H133" s="44"/>
      <c r="I133" s="44">
        <v>318027</v>
      </c>
      <c r="J133" s="44"/>
      <c r="K133" s="44">
        <v>1785546</v>
      </c>
      <c r="L133" s="44"/>
      <c r="M133" s="44">
        <v>2826219</v>
      </c>
      <c r="N133" s="44"/>
      <c r="O133" s="44">
        <v>0</v>
      </c>
      <c r="P133" s="44"/>
      <c r="Q133" s="44">
        <v>3083726</v>
      </c>
      <c r="R133" s="44"/>
      <c r="S133" s="44">
        <v>0</v>
      </c>
      <c r="T133" s="44"/>
      <c r="U133" s="44">
        <v>572550</v>
      </c>
      <c r="V133" s="44"/>
      <c r="W133" s="44">
        <f t="shared" si="3"/>
        <v>17008505</v>
      </c>
      <c r="X133" s="44"/>
      <c r="Y133" s="44">
        <v>29999880</v>
      </c>
      <c r="Z133" s="44"/>
      <c r="AA133" s="44">
        <f>+'Stmt net assets'!Y133</f>
        <v>33332830</v>
      </c>
      <c r="AB133" s="44"/>
      <c r="AC133" s="44">
        <f>+Y133+'Stmt of activities-GA rev'!AC132-'Stmt of activities-GAexp'!W133-AA133</f>
        <v>0</v>
      </c>
    </row>
    <row r="134" spans="1:34" s="46" customFormat="1" ht="12.75" customHeight="1">
      <c r="A134" s="46" t="s">
        <v>160</v>
      </c>
      <c r="B134" s="66"/>
      <c r="C134" s="46" t="s">
        <v>111</v>
      </c>
      <c r="E134" s="44">
        <v>11753670</v>
      </c>
      <c r="F134" s="44"/>
      <c r="G134" s="44">
        <v>0</v>
      </c>
      <c r="H134" s="44"/>
      <c r="I134" s="44">
        <v>2426474</v>
      </c>
      <c r="J134" s="44"/>
      <c r="K134" s="44">
        <v>2016271</v>
      </c>
      <c r="L134" s="44"/>
      <c r="M134" s="44">
        <v>4691128</v>
      </c>
      <c r="N134" s="44"/>
      <c r="O134" s="44">
        <v>224627</v>
      </c>
      <c r="P134" s="44"/>
      <c r="Q134" s="44">
        <v>8418723</v>
      </c>
      <c r="R134" s="44"/>
      <c r="S134" s="44">
        <v>0</v>
      </c>
      <c r="T134" s="44"/>
      <c r="U134" s="44">
        <v>1459621</v>
      </c>
      <c r="V134" s="44"/>
      <c r="W134" s="44">
        <f t="shared" ref="W134" si="4">SUM(E134:U134)</f>
        <v>30990514</v>
      </c>
      <c r="X134" s="44"/>
      <c r="Y134" s="44">
        <v>162024437</v>
      </c>
      <c r="Z134" s="44"/>
      <c r="AA134" s="44">
        <f>+'Stmt net assets'!Y134</f>
        <v>166874240</v>
      </c>
      <c r="AB134" s="44"/>
      <c r="AC134" s="44">
        <f>+Y134+'Stmt of activities-GA rev'!AC133-'Stmt of activities-GAexp'!W134-AA134</f>
        <v>0</v>
      </c>
    </row>
    <row r="135" spans="1:34" s="47" customFormat="1" ht="12.75" customHeight="1">
      <c r="A135" s="47" t="s">
        <v>161</v>
      </c>
      <c r="B135" s="51"/>
      <c r="C135" s="47" t="s">
        <v>15</v>
      </c>
      <c r="E135" s="44">
        <v>9834554</v>
      </c>
      <c r="F135" s="44"/>
      <c r="G135" s="44">
        <v>589508</v>
      </c>
      <c r="H135" s="44"/>
      <c r="I135" s="44">
        <v>2752294</v>
      </c>
      <c r="J135" s="44"/>
      <c r="K135" s="44">
        <f>1829931+134308</f>
        <v>1964239</v>
      </c>
      <c r="L135" s="44"/>
      <c r="M135" s="44">
        <v>3880026</v>
      </c>
      <c r="N135" s="44"/>
      <c r="O135" s="44">
        <v>18660</v>
      </c>
      <c r="P135" s="44"/>
      <c r="Q135" s="44">
        <v>6675097</v>
      </c>
      <c r="R135" s="44"/>
      <c r="S135" s="44">
        <v>0</v>
      </c>
      <c r="T135" s="44"/>
      <c r="U135" s="44">
        <v>1383304</v>
      </c>
      <c r="V135" s="44"/>
      <c r="W135" s="44">
        <f t="shared" ref="W135:W196" si="5">SUM(E135:U135)</f>
        <v>27097682</v>
      </c>
      <c r="X135" s="44"/>
      <c r="Y135" s="44">
        <v>22376209</v>
      </c>
      <c r="Z135" s="44"/>
      <c r="AA135" s="44">
        <f>+'Stmt net assets'!Y135</f>
        <v>21902195</v>
      </c>
      <c r="AB135" s="44"/>
      <c r="AC135" s="44">
        <f>+Y135+'Stmt of activities-GA rev'!AC134-'Stmt of activities-GAexp'!W135-AA135</f>
        <v>0</v>
      </c>
    </row>
    <row r="136" spans="1:34" s="47" customFormat="1" ht="12.75" customHeight="1">
      <c r="A136" s="47" t="s">
        <v>162</v>
      </c>
      <c r="B136" s="51"/>
      <c r="C136" s="47" t="s">
        <v>163</v>
      </c>
      <c r="E136" s="44">
        <v>10822188</v>
      </c>
      <c r="F136" s="44"/>
      <c r="G136" s="44">
        <v>187287</v>
      </c>
      <c r="H136" s="44"/>
      <c r="I136" s="44">
        <v>2227463</v>
      </c>
      <c r="J136" s="44"/>
      <c r="K136" s="44">
        <v>1812937</v>
      </c>
      <c r="L136" s="44"/>
      <c r="M136" s="44">
        <v>2574980</v>
      </c>
      <c r="N136" s="44"/>
      <c r="O136" s="44">
        <v>1324529</v>
      </c>
      <c r="P136" s="44"/>
      <c r="Q136" s="44">
        <v>4445298</v>
      </c>
      <c r="R136" s="44"/>
      <c r="S136" s="44">
        <v>0</v>
      </c>
      <c r="T136" s="44"/>
      <c r="U136" s="44">
        <v>959801</v>
      </c>
      <c r="V136" s="44"/>
      <c r="W136" s="44">
        <f t="shared" si="5"/>
        <v>24354483</v>
      </c>
      <c r="X136" s="44"/>
      <c r="Y136" s="44">
        <v>81472145</v>
      </c>
      <c r="Z136" s="44"/>
      <c r="AA136" s="44">
        <f>+'Stmt net assets'!Y136</f>
        <v>83324575</v>
      </c>
      <c r="AB136" s="44"/>
      <c r="AC136" s="44">
        <f>+Y136+'Stmt of activities-GA rev'!AC136-'Stmt of activities-GAexp'!W136-AA136</f>
        <v>0</v>
      </c>
    </row>
    <row r="137" spans="1:34" s="47" customFormat="1" ht="12.75" customHeight="1">
      <c r="A137" s="47" t="s">
        <v>164</v>
      </c>
      <c r="B137" s="51"/>
      <c r="C137" s="47" t="s">
        <v>27</v>
      </c>
      <c r="E137" s="44">
        <v>11344517</v>
      </c>
      <c r="F137" s="44"/>
      <c r="G137" s="44">
        <v>331866</v>
      </c>
      <c r="H137" s="44"/>
      <c r="I137" s="44">
        <v>1614856</v>
      </c>
      <c r="J137" s="44"/>
      <c r="K137" s="44">
        <v>1049423</v>
      </c>
      <c r="L137" s="44"/>
      <c r="M137" s="44">
        <v>5283386</v>
      </c>
      <c r="N137" s="44"/>
      <c r="O137" s="44">
        <v>1080768</v>
      </c>
      <c r="P137" s="44"/>
      <c r="Q137" s="44">
        <v>2436810</v>
      </c>
      <c r="R137" s="44"/>
      <c r="S137" s="44">
        <v>0</v>
      </c>
      <c r="T137" s="44"/>
      <c r="U137" s="44">
        <v>39148</v>
      </c>
      <c r="V137" s="44"/>
      <c r="W137" s="44">
        <f t="shared" si="5"/>
        <v>23180774</v>
      </c>
      <c r="X137" s="44"/>
      <c r="Y137" s="44">
        <v>49117246</v>
      </c>
      <c r="Z137" s="44"/>
      <c r="AA137" s="44">
        <f>+'Stmt net assets'!Y137</f>
        <v>46677732</v>
      </c>
      <c r="AB137" s="44"/>
      <c r="AC137" s="44">
        <f>+Y137+'Stmt of activities-GA rev'!AC137-'Stmt of activities-GAexp'!W137-AA137</f>
        <v>0</v>
      </c>
    </row>
    <row r="138" spans="1:34" s="47" customFormat="1" ht="12.75" customHeight="1">
      <c r="A138" s="47" t="s">
        <v>53</v>
      </c>
      <c r="B138" s="51"/>
      <c r="C138" s="47" t="s">
        <v>53</v>
      </c>
      <c r="E138" s="44">
        <v>7573059</v>
      </c>
      <c r="F138" s="44"/>
      <c r="G138" s="44">
        <v>197159</v>
      </c>
      <c r="H138" s="44"/>
      <c r="I138" s="44">
        <v>859950</v>
      </c>
      <c r="J138" s="44"/>
      <c r="K138" s="44">
        <v>987010</v>
      </c>
      <c r="L138" s="44"/>
      <c r="M138" s="44">
        <v>3876787</v>
      </c>
      <c r="N138" s="44"/>
      <c r="O138" s="44">
        <v>61132</v>
      </c>
      <c r="P138" s="44"/>
      <c r="Q138" s="44">
        <v>7687085</v>
      </c>
      <c r="R138" s="44"/>
      <c r="S138" s="44">
        <v>0</v>
      </c>
      <c r="T138" s="44"/>
      <c r="U138" s="44">
        <v>85664</v>
      </c>
      <c r="V138" s="44"/>
      <c r="W138" s="44">
        <f t="shared" si="5"/>
        <v>21327846</v>
      </c>
      <c r="X138" s="44"/>
      <c r="Y138" s="44">
        <v>79447624</v>
      </c>
      <c r="Z138" s="44"/>
      <c r="AA138" s="44">
        <f>+'Stmt net assets'!Y138</f>
        <v>80725943</v>
      </c>
      <c r="AB138" s="44"/>
      <c r="AC138" s="44">
        <f>+Y138+'Stmt of activities-GA rev'!AC138-'Stmt of activities-GAexp'!W138-AA138</f>
        <v>0</v>
      </c>
    </row>
    <row r="139" spans="1:34" s="47" customFormat="1" ht="12.75" customHeight="1">
      <c r="A139" s="47" t="s">
        <v>165</v>
      </c>
      <c r="B139" s="51"/>
      <c r="C139" s="47" t="s">
        <v>92</v>
      </c>
      <c r="E139" s="44">
        <f>12727229+12012648</f>
        <v>24739877</v>
      </c>
      <c r="F139" s="44"/>
      <c r="G139" s="44">
        <v>0</v>
      </c>
      <c r="H139" s="44"/>
      <c r="I139" s="44">
        <v>7944763</v>
      </c>
      <c r="J139" s="44"/>
      <c r="K139" s="44">
        <v>1953020</v>
      </c>
      <c r="L139" s="44"/>
      <c r="M139" s="44">
        <v>17822415</v>
      </c>
      <c r="N139" s="44"/>
      <c r="O139" s="44">
        <v>0</v>
      </c>
      <c r="P139" s="44"/>
      <c r="Q139" s="44">
        <v>7232734</v>
      </c>
      <c r="R139" s="44"/>
      <c r="S139" s="44">
        <v>2245519</v>
      </c>
      <c r="T139" s="44"/>
      <c r="U139" s="44">
        <v>1519472</v>
      </c>
      <c r="V139" s="44"/>
      <c r="W139" s="44">
        <f t="shared" si="5"/>
        <v>63457800</v>
      </c>
      <c r="X139" s="44"/>
      <c r="Y139" s="44">
        <v>189722204</v>
      </c>
      <c r="Z139" s="44"/>
      <c r="AA139" s="44">
        <f>+'Stmt net assets'!Y139</f>
        <v>187308857</v>
      </c>
      <c r="AB139" s="44"/>
      <c r="AC139" s="44">
        <f>+Y139+'Stmt of activities-GA rev'!AC139-'Stmt of activities-GAexp'!W139-AA139</f>
        <v>0</v>
      </c>
    </row>
    <row r="140" spans="1:34" s="47" customFormat="1" ht="12.75" customHeight="1">
      <c r="A140" s="47" t="s">
        <v>166</v>
      </c>
      <c r="B140" s="51"/>
      <c r="C140" s="47" t="s">
        <v>92</v>
      </c>
      <c r="E140" s="44">
        <v>2469591</v>
      </c>
      <c r="F140" s="44"/>
      <c r="G140" s="44">
        <v>65189</v>
      </c>
      <c r="H140" s="44"/>
      <c r="I140" s="44">
        <v>64919</v>
      </c>
      <c r="J140" s="44"/>
      <c r="K140" s="44">
        <v>0</v>
      </c>
      <c r="L140" s="44"/>
      <c r="M140" s="44">
        <v>614935</v>
      </c>
      <c r="N140" s="44"/>
      <c r="O140" s="44">
        <v>0</v>
      </c>
      <c r="P140" s="44"/>
      <c r="Q140" s="44">
        <v>718371</v>
      </c>
      <c r="R140" s="44"/>
      <c r="S140" s="44">
        <f>294169+11943</f>
        <v>306112</v>
      </c>
      <c r="T140" s="44"/>
      <c r="U140" s="44">
        <v>18522</v>
      </c>
      <c r="V140" s="44"/>
      <c r="W140" s="44">
        <f t="shared" si="5"/>
        <v>4257639</v>
      </c>
      <c r="X140" s="44"/>
      <c r="Y140" s="44">
        <v>6280943</v>
      </c>
      <c r="Z140" s="44"/>
      <c r="AA140" s="44">
        <f>+'Stmt net assets'!Y140</f>
        <v>6428925</v>
      </c>
      <c r="AB140" s="44"/>
      <c r="AC140" s="44">
        <f>+Y140+'Stmt of activities-GA rev'!AC140-'Stmt of activities-GAexp'!W140-AA140</f>
        <v>0</v>
      </c>
    </row>
    <row r="141" spans="1:34" s="47" customFormat="1" ht="12.75" customHeight="1">
      <c r="A141" s="47" t="s">
        <v>167</v>
      </c>
      <c r="B141" s="51"/>
      <c r="C141" s="47" t="s">
        <v>66</v>
      </c>
      <c r="E141" s="44">
        <v>8682865</v>
      </c>
      <c r="F141" s="44"/>
      <c r="G141" s="44">
        <v>9322</v>
      </c>
      <c r="H141" s="44"/>
      <c r="I141" s="44">
        <v>2220395</v>
      </c>
      <c r="J141" s="44"/>
      <c r="K141" s="44">
        <v>887618</v>
      </c>
      <c r="L141" s="44"/>
      <c r="M141" s="44">
        <v>1590104</v>
      </c>
      <c r="N141" s="44"/>
      <c r="O141" s="44">
        <v>941785</v>
      </c>
      <c r="P141" s="44"/>
      <c r="Q141" s="44">
        <v>5198985</v>
      </c>
      <c r="R141" s="44"/>
      <c r="S141" s="44">
        <v>0</v>
      </c>
      <c r="T141" s="44"/>
      <c r="U141" s="44">
        <v>265724</v>
      </c>
      <c r="V141" s="44"/>
      <c r="W141" s="44">
        <f t="shared" si="5"/>
        <v>19796798</v>
      </c>
      <c r="X141" s="44"/>
      <c r="Y141" s="44">
        <v>45144027</v>
      </c>
      <c r="Z141" s="44"/>
      <c r="AA141" s="44">
        <f>+'Stmt net assets'!Y141</f>
        <v>46858368</v>
      </c>
      <c r="AB141" s="44"/>
      <c r="AC141" s="44">
        <f>+Y141+'Stmt of activities-GA rev'!AC141-'Stmt of activities-GAexp'!W141-AA141</f>
        <v>0</v>
      </c>
    </row>
    <row r="142" spans="1:34" s="47" customFormat="1" ht="12.75" customHeight="1">
      <c r="A142" s="44" t="s">
        <v>168</v>
      </c>
      <c r="B142" s="51"/>
      <c r="C142" s="44" t="s">
        <v>27</v>
      </c>
      <c r="E142" s="44">
        <f>5143489+3726461+59728</f>
        <v>8929678</v>
      </c>
      <c r="F142" s="44"/>
      <c r="G142" s="44">
        <v>362515</v>
      </c>
      <c r="H142" s="44"/>
      <c r="I142" s="44">
        <v>3237956</v>
      </c>
      <c r="J142" s="44"/>
      <c r="K142" s="44">
        <f>552358+325270</f>
        <v>877628</v>
      </c>
      <c r="L142" s="44"/>
      <c r="M142" s="44">
        <v>3140956</v>
      </c>
      <c r="N142" s="44"/>
      <c r="O142" s="44">
        <v>933094</v>
      </c>
      <c r="P142" s="44"/>
      <c r="Q142" s="44">
        <v>7089138</v>
      </c>
      <c r="R142" s="44"/>
      <c r="S142" s="44">
        <v>0</v>
      </c>
      <c r="T142" s="44"/>
      <c r="U142" s="44">
        <v>527452</v>
      </c>
      <c r="V142" s="44"/>
      <c r="W142" s="44">
        <f t="shared" si="5"/>
        <v>25098417</v>
      </c>
      <c r="X142" s="44"/>
      <c r="Y142" s="44">
        <v>53679213</v>
      </c>
      <c r="Z142" s="44"/>
      <c r="AA142" s="44">
        <f>+'Stmt net assets'!Y142</f>
        <v>55092564</v>
      </c>
      <c r="AB142" s="44"/>
      <c r="AC142" s="44">
        <f>+Y142+'Stmt of activities-GA rev'!AC142-'Stmt of activities-GAexp'!W142-AA142</f>
        <v>0</v>
      </c>
    </row>
    <row r="143" spans="1:34" s="47" customFormat="1" ht="12.75" customHeight="1">
      <c r="A143" s="47" t="s">
        <v>169</v>
      </c>
      <c r="B143" s="51"/>
      <c r="C143" s="47" t="s">
        <v>103</v>
      </c>
      <c r="E143" s="44">
        <v>23950832</v>
      </c>
      <c r="F143" s="44"/>
      <c r="G143" s="44">
        <v>940919</v>
      </c>
      <c r="H143" s="44"/>
      <c r="I143" s="44">
        <v>947024</v>
      </c>
      <c r="J143" s="44"/>
      <c r="K143" s="44">
        <v>13318014</v>
      </c>
      <c r="L143" s="44"/>
      <c r="M143" s="44">
        <v>9775766</v>
      </c>
      <c r="N143" s="44"/>
      <c r="O143" s="44">
        <v>0</v>
      </c>
      <c r="P143" s="44"/>
      <c r="Q143" s="44">
        <v>6160682</v>
      </c>
      <c r="R143" s="44"/>
      <c r="S143" s="44">
        <v>0</v>
      </c>
      <c r="T143" s="44"/>
      <c r="U143" s="44">
        <v>1241212</v>
      </c>
      <c r="V143" s="44"/>
      <c r="W143" s="44">
        <f t="shared" si="5"/>
        <v>56334449</v>
      </c>
      <c r="X143" s="44"/>
      <c r="Y143" s="44">
        <v>101267549</v>
      </c>
      <c r="Z143" s="44"/>
      <c r="AA143" s="44">
        <f>+'Stmt net assets'!Y143</f>
        <v>102367011</v>
      </c>
      <c r="AB143" s="44"/>
      <c r="AC143" s="44">
        <f>+Y143+'Stmt of activities-GA rev'!AC143-'Stmt of activities-GAexp'!W143-AA143</f>
        <v>0</v>
      </c>
    </row>
    <row r="144" spans="1:34" s="47" customFormat="1" ht="12.75" customHeight="1">
      <c r="A144" s="47" t="s">
        <v>170</v>
      </c>
      <c r="B144" s="51"/>
      <c r="C144" s="47" t="s">
        <v>171</v>
      </c>
      <c r="E144" s="44">
        <v>3578892</v>
      </c>
      <c r="F144" s="44"/>
      <c r="G144" s="44">
        <v>516122</v>
      </c>
      <c r="H144" s="44"/>
      <c r="I144" s="44">
        <v>93031</v>
      </c>
      <c r="J144" s="44"/>
      <c r="K144" s="44">
        <v>0</v>
      </c>
      <c r="L144" s="44"/>
      <c r="M144" s="44">
        <v>812311</v>
      </c>
      <c r="N144" s="44"/>
      <c r="O144" s="44">
        <v>0</v>
      </c>
      <c r="P144" s="44"/>
      <c r="Q144" s="44">
        <v>1657881</v>
      </c>
      <c r="R144" s="44"/>
      <c r="S144" s="44">
        <v>50000</v>
      </c>
      <c r="T144" s="44"/>
      <c r="U144" s="44">
        <v>183018</v>
      </c>
      <c r="V144" s="44"/>
      <c r="W144" s="44">
        <f t="shared" si="5"/>
        <v>6891255</v>
      </c>
      <c r="X144" s="44"/>
      <c r="Y144" s="44">
        <v>10610265</v>
      </c>
      <c r="Z144" s="44"/>
      <c r="AA144" s="44">
        <f>+'Stmt net assets'!Y144</f>
        <v>10713638</v>
      </c>
      <c r="AB144" s="44"/>
      <c r="AC144" s="44">
        <f>+Y144+'Stmt of activities-GA rev'!AC144-'Stmt of activities-GAexp'!W144-AA144</f>
        <v>0</v>
      </c>
    </row>
    <row r="145" spans="1:29" s="47" customFormat="1" ht="12.75" customHeight="1">
      <c r="A145" s="47" t="s">
        <v>172</v>
      </c>
      <c r="B145" s="51"/>
      <c r="C145" s="47" t="s">
        <v>103</v>
      </c>
      <c r="E145" s="44">
        <v>7317214</v>
      </c>
      <c r="F145" s="44"/>
      <c r="G145" s="44">
        <v>237599</v>
      </c>
      <c r="H145" s="44"/>
      <c r="I145" s="44">
        <v>289661</v>
      </c>
      <c r="J145" s="44"/>
      <c r="K145" s="44">
        <v>0</v>
      </c>
      <c r="L145" s="44"/>
      <c r="M145" s="44">
        <v>2884709</v>
      </c>
      <c r="N145" s="44"/>
      <c r="O145" s="44">
        <v>0</v>
      </c>
      <c r="P145" s="44"/>
      <c r="Q145" s="44">
        <v>4258487</v>
      </c>
      <c r="R145" s="44"/>
      <c r="S145" s="44">
        <v>0</v>
      </c>
      <c r="T145" s="44"/>
      <c r="U145" s="44">
        <v>521416</v>
      </c>
      <c r="V145" s="44"/>
      <c r="W145" s="44">
        <f t="shared" si="5"/>
        <v>15509086</v>
      </c>
      <c r="X145" s="44"/>
      <c r="Y145" s="44">
        <v>72280184</v>
      </c>
      <c r="Z145" s="44"/>
      <c r="AA145" s="44">
        <f>+'Stmt net assets'!Y145</f>
        <v>71415274</v>
      </c>
      <c r="AB145" s="44"/>
      <c r="AC145" s="44">
        <f>+Y145+'Stmt of activities-GA rev'!AC145-'Stmt of activities-GAexp'!W145-AA145</f>
        <v>0</v>
      </c>
    </row>
    <row r="146" spans="1:29" s="47" customFormat="1" ht="12.75" customHeight="1">
      <c r="A146" s="47" t="s">
        <v>66</v>
      </c>
      <c r="B146" s="51"/>
      <c r="C146" s="47" t="s">
        <v>45</v>
      </c>
      <c r="E146" s="44">
        <v>5625518</v>
      </c>
      <c r="F146" s="44"/>
      <c r="G146" s="44">
        <v>13668</v>
      </c>
      <c r="H146" s="44"/>
      <c r="I146" s="44">
        <v>1384928</v>
      </c>
      <c r="J146" s="44"/>
      <c r="K146" s="44">
        <v>447491</v>
      </c>
      <c r="L146" s="44"/>
      <c r="M146" s="44">
        <v>2700671</v>
      </c>
      <c r="N146" s="44"/>
      <c r="O146" s="44">
        <v>0</v>
      </c>
      <c r="P146" s="44"/>
      <c r="Q146" s="44">
        <v>3902984</v>
      </c>
      <c r="R146" s="44"/>
      <c r="S146" s="44">
        <v>0</v>
      </c>
      <c r="T146" s="44"/>
      <c r="U146" s="44">
        <v>187006</v>
      </c>
      <c r="V146" s="44"/>
      <c r="W146" s="44">
        <f t="shared" si="5"/>
        <v>14262266</v>
      </c>
      <c r="X146" s="44"/>
      <c r="Y146" s="44">
        <v>64813334</v>
      </c>
      <c r="Z146" s="44"/>
      <c r="AA146" s="44">
        <f>+'Stmt net assets'!Y146</f>
        <v>67193066</v>
      </c>
      <c r="AB146" s="44"/>
      <c r="AC146" s="44">
        <f>+Y146+'Stmt of activities-GA rev'!AC146-'Stmt of activities-GAexp'!W146-AA146</f>
        <v>0</v>
      </c>
    </row>
    <row r="147" spans="1:29" s="47" customFormat="1" ht="12.75" customHeight="1">
      <c r="A147" s="47" t="s">
        <v>173</v>
      </c>
      <c r="B147" s="51"/>
      <c r="C147" s="47" t="s">
        <v>66</v>
      </c>
      <c r="E147" s="44">
        <v>8730333</v>
      </c>
      <c r="F147" s="44"/>
      <c r="G147" s="44">
        <v>83285</v>
      </c>
      <c r="H147" s="44"/>
      <c r="I147" s="44">
        <v>1249115</v>
      </c>
      <c r="J147" s="44"/>
      <c r="K147" s="44">
        <v>326036</v>
      </c>
      <c r="L147" s="44"/>
      <c r="M147" s="44">
        <v>3658041</v>
      </c>
      <c r="N147" s="44"/>
      <c r="O147" s="44">
        <v>345969</v>
      </c>
      <c r="P147" s="44"/>
      <c r="Q147" s="44">
        <v>4079039</v>
      </c>
      <c r="R147" s="44"/>
      <c r="S147" s="44">
        <v>0</v>
      </c>
      <c r="T147" s="44"/>
      <c r="U147" s="44">
        <v>89794</v>
      </c>
      <c r="V147" s="44"/>
      <c r="W147" s="44">
        <f t="shared" si="5"/>
        <v>18561612</v>
      </c>
      <c r="X147" s="44"/>
      <c r="Y147" s="44">
        <v>48156245</v>
      </c>
      <c r="Z147" s="44"/>
      <c r="AA147" s="44">
        <f>+'Stmt net assets'!Y147</f>
        <v>44401195</v>
      </c>
      <c r="AB147" s="44"/>
      <c r="AC147" s="44">
        <f>+Y147+'Stmt of activities-GA rev'!AC147-'Stmt of activities-GAexp'!W147-AA147</f>
        <v>0</v>
      </c>
    </row>
    <row r="148" spans="1:29" s="47" customFormat="1" ht="12.75" customHeight="1">
      <c r="A148" s="47" t="s">
        <v>174</v>
      </c>
      <c r="B148" s="51"/>
      <c r="C148" s="47" t="s">
        <v>45</v>
      </c>
      <c r="E148" s="44">
        <v>1970854</v>
      </c>
      <c r="F148" s="44"/>
      <c r="G148" s="44">
        <v>476773</v>
      </c>
      <c r="H148" s="44"/>
      <c r="I148" s="44">
        <v>197557</v>
      </c>
      <c r="J148" s="44"/>
      <c r="K148" s="44">
        <v>1376984</v>
      </c>
      <c r="L148" s="44"/>
      <c r="M148" s="44">
        <v>510059</v>
      </c>
      <c r="N148" s="44"/>
      <c r="O148" s="44">
        <v>0</v>
      </c>
      <c r="P148" s="44"/>
      <c r="Q148" s="44">
        <v>635475</v>
      </c>
      <c r="R148" s="44"/>
      <c r="S148" s="44">
        <v>0</v>
      </c>
      <c r="T148" s="44"/>
      <c r="U148" s="44">
        <v>91476</v>
      </c>
      <c r="V148" s="44"/>
      <c r="W148" s="44">
        <f t="shared" si="5"/>
        <v>5259178</v>
      </c>
      <c r="X148" s="44"/>
      <c r="Y148" s="44">
        <v>3327485</v>
      </c>
      <c r="Z148" s="44"/>
      <c r="AA148" s="44">
        <f>+'Stmt net assets'!Y148</f>
        <v>2798719</v>
      </c>
      <c r="AB148" s="44"/>
      <c r="AC148" s="44">
        <f>+Y148+'Stmt of activities-GA rev'!AC148-'Stmt of activities-GAexp'!W148-AA148</f>
        <v>0</v>
      </c>
    </row>
    <row r="149" spans="1:29" s="47" customFormat="1" ht="12.75" customHeight="1">
      <c r="A149" s="47" t="s">
        <v>175</v>
      </c>
      <c r="B149" s="51"/>
      <c r="C149" s="47" t="s">
        <v>176</v>
      </c>
      <c r="E149" s="44">
        <v>5950098</v>
      </c>
      <c r="F149" s="44"/>
      <c r="G149" s="44">
        <v>693029</v>
      </c>
      <c r="H149" s="44"/>
      <c r="I149" s="44">
        <v>963163</v>
      </c>
      <c r="J149" s="44"/>
      <c r="K149" s="44">
        <v>1560761</v>
      </c>
      <c r="L149" s="44"/>
      <c r="M149" s="44">
        <v>2586915</v>
      </c>
      <c r="N149" s="44"/>
      <c r="O149" s="44">
        <v>0</v>
      </c>
      <c r="P149" s="44"/>
      <c r="Q149" s="44">
        <v>4711970</v>
      </c>
      <c r="R149" s="44"/>
      <c r="S149" s="44">
        <v>0</v>
      </c>
      <c r="T149" s="44"/>
      <c r="U149" s="44">
        <v>350672</v>
      </c>
      <c r="V149" s="44"/>
      <c r="W149" s="44">
        <f t="shared" si="5"/>
        <v>16816608</v>
      </c>
      <c r="X149" s="44"/>
      <c r="Y149" s="44">
        <v>48898510</v>
      </c>
      <c r="Z149" s="44"/>
      <c r="AA149" s="44">
        <f>+'Stmt net assets'!Y149</f>
        <v>49515108</v>
      </c>
      <c r="AB149" s="44"/>
      <c r="AC149" s="44">
        <f>+Y149+'Stmt of activities-GA rev'!AC149-'Stmt of activities-GAexp'!W149-AA149</f>
        <v>0</v>
      </c>
    </row>
    <row r="150" spans="1:29" s="47" customFormat="1" ht="12.75" customHeight="1">
      <c r="A150" s="47" t="s">
        <v>177</v>
      </c>
      <c r="B150" s="51"/>
      <c r="C150" s="47" t="s">
        <v>13</v>
      </c>
      <c r="E150" s="44">
        <v>1624670</v>
      </c>
      <c r="F150" s="44"/>
      <c r="G150" s="44">
        <v>39749</v>
      </c>
      <c r="H150" s="44"/>
      <c r="I150" s="44">
        <v>70475</v>
      </c>
      <c r="J150" s="44"/>
      <c r="K150" s="44">
        <v>0</v>
      </c>
      <c r="L150" s="44"/>
      <c r="M150" s="44">
        <v>455420</v>
      </c>
      <c r="N150" s="44"/>
      <c r="O150" s="44">
        <v>0</v>
      </c>
      <c r="P150" s="44"/>
      <c r="Q150" s="44">
        <v>747569</v>
      </c>
      <c r="R150" s="44"/>
      <c r="S150" s="44">
        <v>0</v>
      </c>
      <c r="T150" s="44"/>
      <c r="U150" s="44">
        <v>91555</v>
      </c>
      <c r="V150" s="44"/>
      <c r="W150" s="44">
        <f t="shared" si="5"/>
        <v>3029438</v>
      </c>
      <c r="X150" s="44"/>
      <c r="Y150" s="44">
        <v>8941100</v>
      </c>
      <c r="Z150" s="44"/>
      <c r="AA150" s="44">
        <f>+'Stmt net assets'!Y150</f>
        <v>9238970</v>
      </c>
      <c r="AB150" s="44"/>
      <c r="AC150" s="44">
        <f>+Y150+'Stmt of activities-GA rev'!AC150-'Stmt of activities-GAexp'!W150-AA150</f>
        <v>0</v>
      </c>
    </row>
    <row r="151" spans="1:29" s="47" customFormat="1" ht="12.75" customHeight="1">
      <c r="A151" s="47" t="s">
        <v>178</v>
      </c>
      <c r="B151" s="51"/>
      <c r="C151" s="47" t="s">
        <v>179</v>
      </c>
      <c r="E151" s="44">
        <v>3084835</v>
      </c>
      <c r="F151" s="44"/>
      <c r="G151" s="44">
        <v>112004</v>
      </c>
      <c r="H151" s="44"/>
      <c r="I151" s="44">
        <v>895156</v>
      </c>
      <c r="J151" s="44"/>
      <c r="K151" s="44">
        <v>510349</v>
      </c>
      <c r="L151" s="44"/>
      <c r="M151" s="44">
        <v>1296232</v>
      </c>
      <c r="N151" s="44"/>
      <c r="O151" s="44">
        <v>0</v>
      </c>
      <c r="P151" s="44"/>
      <c r="Q151" s="44">
        <v>1091299</v>
      </c>
      <c r="R151" s="44"/>
      <c r="S151" s="44">
        <v>0</v>
      </c>
      <c r="T151" s="44"/>
      <c r="U151" s="44">
        <v>85907</v>
      </c>
      <c r="V151" s="44"/>
      <c r="W151" s="44">
        <f t="shared" si="5"/>
        <v>7075782</v>
      </c>
      <c r="X151" s="44"/>
      <c r="Y151" s="44">
        <v>35802342</v>
      </c>
      <c r="Z151" s="44"/>
      <c r="AA151" s="44">
        <f>+'Stmt net assets'!Y151</f>
        <v>35808039</v>
      </c>
      <c r="AB151" s="44"/>
      <c r="AC151" s="44">
        <f>+Y151+'Stmt of activities-GA rev'!AC151-'Stmt of activities-GAexp'!W151-AA151</f>
        <v>0</v>
      </c>
    </row>
    <row r="152" spans="1:29" s="47" customFormat="1" ht="12.75" customHeight="1">
      <c r="A152" s="47" t="s">
        <v>180</v>
      </c>
      <c r="B152" s="51"/>
      <c r="C152" s="47" t="s">
        <v>20</v>
      </c>
      <c r="E152" s="44">
        <f>844414+405254</f>
        <v>1249668</v>
      </c>
      <c r="F152" s="44"/>
      <c r="G152" s="44">
        <v>0</v>
      </c>
      <c r="H152" s="44"/>
      <c r="I152" s="44">
        <v>243922</v>
      </c>
      <c r="J152" s="44"/>
      <c r="K152" s="44">
        <v>138427</v>
      </c>
      <c r="L152" s="44"/>
      <c r="M152" s="44">
        <v>994752</v>
      </c>
      <c r="N152" s="44"/>
      <c r="O152" s="44">
        <v>0</v>
      </c>
      <c r="P152" s="44"/>
      <c r="Q152" s="44">
        <v>646764</v>
      </c>
      <c r="R152" s="44"/>
      <c r="S152" s="44">
        <v>0</v>
      </c>
      <c r="T152" s="44"/>
      <c r="U152" s="44">
        <v>32535</v>
      </c>
      <c r="V152" s="44"/>
      <c r="W152" s="44">
        <f t="shared" si="5"/>
        <v>3306068</v>
      </c>
      <c r="X152" s="44"/>
      <c r="Y152" s="44">
        <v>14526471</v>
      </c>
      <c r="Z152" s="44"/>
      <c r="AA152" s="44">
        <f>+'Stmt net assets'!Y152</f>
        <v>14081183</v>
      </c>
      <c r="AB152" s="44"/>
      <c r="AC152" s="44">
        <f>+Y152+'Stmt of activities-GA rev'!AC152-'Stmt of activities-GAexp'!W152-AA152</f>
        <v>0</v>
      </c>
    </row>
    <row r="153" spans="1:29" s="47" customFormat="1" ht="12.75" customHeight="1">
      <c r="A153" s="47" t="s">
        <v>182</v>
      </c>
      <c r="B153" s="51"/>
      <c r="C153" s="47" t="s">
        <v>183</v>
      </c>
      <c r="E153" s="44">
        <v>628926</v>
      </c>
      <c r="F153" s="44"/>
      <c r="G153" s="44">
        <v>782150</v>
      </c>
      <c r="H153" s="44"/>
      <c r="I153" s="44">
        <v>68892</v>
      </c>
      <c r="J153" s="44"/>
      <c r="K153" s="44">
        <v>45687</v>
      </c>
      <c r="L153" s="44"/>
      <c r="M153" s="44">
        <v>312896</v>
      </c>
      <c r="N153" s="44"/>
      <c r="O153" s="44">
        <v>0</v>
      </c>
      <c r="P153" s="44"/>
      <c r="Q153" s="44">
        <v>741617</v>
      </c>
      <c r="R153" s="44"/>
      <c r="S153" s="44">
        <v>0</v>
      </c>
      <c r="T153" s="44"/>
      <c r="U153" s="44">
        <v>149165</v>
      </c>
      <c r="V153" s="44"/>
      <c r="W153" s="44">
        <f t="shared" si="5"/>
        <v>2729333</v>
      </c>
      <c r="X153" s="44"/>
      <c r="Y153" s="44">
        <v>4448367</v>
      </c>
      <c r="Z153" s="44"/>
      <c r="AA153" s="44">
        <f>+'Stmt net assets'!Y153</f>
        <v>4995626</v>
      </c>
      <c r="AB153" s="44"/>
      <c r="AC153" s="44">
        <f>+Y153+'Stmt of activities-GA rev'!AC153-'Stmt of activities-GAexp'!W153-AA153</f>
        <v>0</v>
      </c>
    </row>
    <row r="154" spans="1:29" s="47" customFormat="1" ht="12.75" customHeight="1">
      <c r="A154" s="47" t="s">
        <v>487</v>
      </c>
      <c r="B154" s="51"/>
      <c r="C154" s="47" t="s">
        <v>13</v>
      </c>
      <c r="E154" s="44">
        <v>4117915</v>
      </c>
      <c r="F154" s="44"/>
      <c r="G154" s="44">
        <v>127998</v>
      </c>
      <c r="H154" s="44"/>
      <c r="I154" s="44">
        <v>50418</v>
      </c>
      <c r="J154" s="44"/>
      <c r="K154" s="44">
        <v>128885</v>
      </c>
      <c r="L154" s="44"/>
      <c r="M154" s="44">
        <v>1050457</v>
      </c>
      <c r="N154" s="44"/>
      <c r="O154" s="44">
        <v>0</v>
      </c>
      <c r="P154" s="44"/>
      <c r="Q154" s="44">
        <v>944737</v>
      </c>
      <c r="R154" s="44"/>
      <c r="S154" s="44">
        <v>0</v>
      </c>
      <c r="T154" s="44"/>
      <c r="U154" s="44">
        <v>5073</v>
      </c>
      <c r="V154" s="44"/>
      <c r="W154" s="44">
        <f t="shared" si="5"/>
        <v>6425483</v>
      </c>
      <c r="X154" s="44"/>
      <c r="Y154" s="44">
        <v>8623708</v>
      </c>
      <c r="Z154" s="44"/>
      <c r="AA154" s="44">
        <f>+'Stmt net assets'!Y154</f>
        <v>8809558</v>
      </c>
      <c r="AB154" s="44"/>
      <c r="AC154" s="44">
        <f>+Y154+'Stmt of activities-GA rev'!AC154-'Stmt of activities-GAexp'!W154-AA154</f>
        <v>0</v>
      </c>
    </row>
    <row r="155" spans="1:29" s="47" customFormat="1" ht="12.75" customHeight="1">
      <c r="A155" s="47" t="s">
        <v>184</v>
      </c>
      <c r="B155" s="51"/>
      <c r="C155" s="47" t="s">
        <v>89</v>
      </c>
      <c r="E155" s="44">
        <v>4619642</v>
      </c>
      <c r="F155" s="44"/>
      <c r="G155" s="44">
        <v>644113</v>
      </c>
      <c r="H155" s="44"/>
      <c r="I155" s="44">
        <v>977255</v>
      </c>
      <c r="J155" s="44"/>
      <c r="K155" s="44">
        <v>307735</v>
      </c>
      <c r="L155" s="44"/>
      <c r="M155" s="44">
        <v>2289501</v>
      </c>
      <c r="N155" s="44"/>
      <c r="O155" s="44">
        <v>0</v>
      </c>
      <c r="P155" s="44"/>
      <c r="Q155" s="44">
        <v>3346006</v>
      </c>
      <c r="R155" s="44"/>
      <c r="S155" s="44">
        <v>0</v>
      </c>
      <c r="T155" s="44"/>
      <c r="U155" s="44">
        <v>94753</v>
      </c>
      <c r="V155" s="44"/>
      <c r="W155" s="44">
        <f t="shared" si="5"/>
        <v>12279005</v>
      </c>
      <c r="X155" s="44"/>
      <c r="Y155" s="44">
        <v>31023164</v>
      </c>
      <c r="Z155" s="44"/>
      <c r="AA155" s="44">
        <f>+'Stmt net assets'!Y155</f>
        <v>32722200</v>
      </c>
      <c r="AB155" s="44"/>
      <c r="AC155" s="44">
        <f>+Y155+'Stmt of activities-GA rev'!AC155-'Stmt of activities-GAexp'!W155-AA155</f>
        <v>0</v>
      </c>
    </row>
    <row r="156" spans="1:29" s="47" customFormat="1" ht="12.75" customHeight="1">
      <c r="A156" s="47" t="s">
        <v>181</v>
      </c>
      <c r="B156" s="51"/>
      <c r="C156" s="47" t="s">
        <v>125</v>
      </c>
      <c r="E156" s="44">
        <v>18825824</v>
      </c>
      <c r="F156" s="44"/>
      <c r="G156" s="44">
        <v>157745</v>
      </c>
      <c r="H156" s="44"/>
      <c r="I156" s="44">
        <v>0</v>
      </c>
      <c r="J156" s="44"/>
      <c r="K156" s="44">
        <v>2666668</v>
      </c>
      <c r="L156" s="44"/>
      <c r="M156" s="44">
        <v>5686444</v>
      </c>
      <c r="N156" s="44"/>
      <c r="O156" s="44">
        <v>0</v>
      </c>
      <c r="P156" s="44"/>
      <c r="Q156" s="44">
        <v>12247040</v>
      </c>
      <c r="R156" s="44"/>
      <c r="S156" s="44">
        <v>0</v>
      </c>
      <c r="T156" s="44"/>
      <c r="U156" s="44">
        <v>787437</v>
      </c>
      <c r="V156" s="44"/>
      <c r="W156" s="44">
        <f t="shared" si="5"/>
        <v>40371158</v>
      </c>
      <c r="X156" s="44"/>
      <c r="Y156" s="44">
        <v>57132194</v>
      </c>
      <c r="Z156" s="44"/>
      <c r="AA156" s="44">
        <f>+'Stmt net assets'!Y156</f>
        <v>53710503</v>
      </c>
      <c r="AB156" s="44"/>
      <c r="AC156" s="44">
        <f>+Y156+'Stmt of activities-GA rev'!AC156-'Stmt of activities-GAexp'!W156-AA156</f>
        <v>0</v>
      </c>
    </row>
    <row r="157" spans="1:29" s="47" customFormat="1" ht="12.75" customHeight="1">
      <c r="A157" s="47" t="s">
        <v>185</v>
      </c>
      <c r="B157" s="51"/>
      <c r="C157" s="47" t="s">
        <v>80</v>
      </c>
      <c r="E157" s="44">
        <v>8477699</v>
      </c>
      <c r="F157" s="44"/>
      <c r="G157" s="44">
        <v>608849</v>
      </c>
      <c r="H157" s="44"/>
      <c r="I157" s="44">
        <v>523985</v>
      </c>
      <c r="J157" s="44"/>
      <c r="K157" s="44">
        <v>695800</v>
      </c>
      <c r="L157" s="44"/>
      <c r="M157" s="44">
        <v>1626641</v>
      </c>
      <c r="N157" s="44"/>
      <c r="O157" s="44">
        <v>0</v>
      </c>
      <c r="P157" s="44"/>
      <c r="Q157" s="44">
        <v>2138386</v>
      </c>
      <c r="R157" s="44"/>
      <c r="S157" s="44">
        <v>159946</v>
      </c>
      <c r="T157" s="44"/>
      <c r="U157" s="44">
        <v>73868</v>
      </c>
      <c r="V157" s="44"/>
      <c r="W157" s="44">
        <f t="shared" si="5"/>
        <v>14305174</v>
      </c>
      <c r="X157" s="44"/>
      <c r="Y157" s="44">
        <v>27918849</v>
      </c>
      <c r="Z157" s="44"/>
      <c r="AA157" s="44">
        <f>+'Stmt net assets'!Y157</f>
        <v>27250011</v>
      </c>
      <c r="AB157" s="44"/>
      <c r="AC157" s="44">
        <f>+Y157+'Stmt of activities-GA rev'!AC157-'Stmt of activities-GAexp'!W157-AA157</f>
        <v>0</v>
      </c>
    </row>
    <row r="158" spans="1:29" s="47" customFormat="1" ht="12.75" customHeight="1">
      <c r="A158" s="44" t="s">
        <v>186</v>
      </c>
      <c r="B158" s="44"/>
      <c r="C158" s="44" t="s">
        <v>15</v>
      </c>
      <c r="D158" s="44"/>
      <c r="E158" s="44">
        <f>3269935+623594</f>
        <v>3893529</v>
      </c>
      <c r="F158" s="44"/>
      <c r="G158" s="44">
        <v>1537536</v>
      </c>
      <c r="H158" s="44"/>
      <c r="I158" s="44">
        <v>903568</v>
      </c>
      <c r="J158" s="44"/>
      <c r="K158" s="44">
        <f>456226+207434</f>
        <v>663660</v>
      </c>
      <c r="L158" s="44"/>
      <c r="M158" s="44">
        <v>2420679</v>
      </c>
      <c r="N158" s="44"/>
      <c r="O158" s="44">
        <v>406544</v>
      </c>
      <c r="P158" s="44"/>
      <c r="Q158" s="44">
        <v>1958753</v>
      </c>
      <c r="R158" s="44"/>
      <c r="S158" s="44">
        <v>0</v>
      </c>
      <c r="T158" s="44"/>
      <c r="U158" s="44">
        <v>20525</v>
      </c>
      <c r="V158" s="44"/>
      <c r="W158" s="44">
        <f t="shared" si="5"/>
        <v>11804794</v>
      </c>
      <c r="X158" s="44"/>
      <c r="Y158" s="44">
        <v>33605686</v>
      </c>
      <c r="Z158" s="44"/>
      <c r="AA158" s="44">
        <f>+'Stmt net assets'!Y158</f>
        <v>33511148</v>
      </c>
      <c r="AB158" s="44"/>
      <c r="AC158" s="44">
        <f>+Y158+'Stmt of activities-GA rev'!AC158-'Stmt of activities-GAexp'!W158-AA158</f>
        <v>0</v>
      </c>
    </row>
    <row r="159" spans="1:29" s="44" customFormat="1" ht="12.75" customHeight="1">
      <c r="A159" s="44" t="s">
        <v>187</v>
      </c>
      <c r="B159" s="65"/>
      <c r="C159" s="44" t="s">
        <v>27</v>
      </c>
      <c r="E159" s="44">
        <v>11627831</v>
      </c>
      <c r="G159" s="44">
        <v>467464</v>
      </c>
      <c r="I159" s="44">
        <v>2519617</v>
      </c>
      <c r="K159" s="44">
        <v>377094</v>
      </c>
      <c r="M159" s="44">
        <v>9184733</v>
      </c>
      <c r="O159" s="44">
        <v>2246112</v>
      </c>
      <c r="Q159" s="44">
        <v>3276027</v>
      </c>
      <c r="S159" s="44">
        <v>0</v>
      </c>
      <c r="U159" s="44">
        <v>1580084</v>
      </c>
      <c r="W159" s="44">
        <f t="shared" si="5"/>
        <v>31278962</v>
      </c>
      <c r="Y159" s="44">
        <v>46066334</v>
      </c>
      <c r="AA159" s="44">
        <f>+'Stmt net assets'!Y159</f>
        <v>54707562</v>
      </c>
      <c r="AC159" s="44">
        <f>+Y159+'Stmt of activities-GA rev'!AC159-'Stmt of activities-GAexp'!W159-AA159</f>
        <v>0</v>
      </c>
    </row>
    <row r="160" spans="1:29" s="47" customFormat="1" ht="12.75" customHeight="1">
      <c r="A160" s="47" t="s">
        <v>189</v>
      </c>
      <c r="B160" s="51"/>
      <c r="C160" s="47" t="s">
        <v>17</v>
      </c>
      <c r="E160" s="44">
        <v>10462747</v>
      </c>
      <c r="F160" s="44"/>
      <c r="G160" s="44">
        <v>425218</v>
      </c>
      <c r="H160" s="44"/>
      <c r="I160" s="44">
        <v>377164</v>
      </c>
      <c r="J160" s="44"/>
      <c r="K160" s="44">
        <v>1457665</v>
      </c>
      <c r="L160" s="44"/>
      <c r="M160" s="44">
        <v>5852535</v>
      </c>
      <c r="N160" s="44"/>
      <c r="O160" s="44">
        <v>0</v>
      </c>
      <c r="P160" s="44"/>
      <c r="Q160" s="44">
        <v>6081311</v>
      </c>
      <c r="R160" s="44"/>
      <c r="S160" s="44">
        <v>0</v>
      </c>
      <c r="T160" s="44"/>
      <c r="U160" s="44">
        <v>291769</v>
      </c>
      <c r="V160" s="44"/>
      <c r="W160" s="44">
        <f t="shared" si="5"/>
        <v>24948409</v>
      </c>
      <c r="X160" s="44"/>
      <c r="Y160" s="44">
        <v>67015784</v>
      </c>
      <c r="Z160" s="44"/>
      <c r="AA160" s="44">
        <f>+'Stmt net assets'!Y160</f>
        <v>66884850</v>
      </c>
      <c r="AB160" s="44"/>
      <c r="AC160" s="44">
        <f>+Y160+'Stmt of activities-GA rev'!AC160-'Stmt of activities-GAexp'!W160-AA160</f>
        <v>0</v>
      </c>
    </row>
    <row r="161" spans="1:30" s="47" customFormat="1" ht="12.75" customHeight="1">
      <c r="A161" s="47" t="s">
        <v>188</v>
      </c>
      <c r="B161" s="51"/>
      <c r="C161" s="47" t="s">
        <v>27</v>
      </c>
      <c r="E161" s="44">
        <v>10534664</v>
      </c>
      <c r="F161" s="44"/>
      <c r="G161" s="44">
        <v>378150</v>
      </c>
      <c r="H161" s="44"/>
      <c r="I161" s="44">
        <v>208693</v>
      </c>
      <c r="J161" s="44"/>
      <c r="K161" s="44">
        <v>692409</v>
      </c>
      <c r="L161" s="44"/>
      <c r="M161" s="44">
        <v>4370487</v>
      </c>
      <c r="N161" s="44"/>
      <c r="O161" s="44">
        <v>3243687</v>
      </c>
      <c r="P161" s="44"/>
      <c r="Q161" s="44">
        <v>4756794</v>
      </c>
      <c r="R161" s="44"/>
      <c r="S161" s="44">
        <v>0</v>
      </c>
      <c r="T161" s="44"/>
      <c r="U161" s="44">
        <v>608037</v>
      </c>
      <c r="V161" s="44"/>
      <c r="W161" s="44">
        <f t="shared" si="5"/>
        <v>24792921</v>
      </c>
      <c r="X161" s="44"/>
      <c r="Y161" s="44">
        <v>108617779</v>
      </c>
      <c r="Z161" s="44"/>
      <c r="AA161" s="44">
        <f>+'Stmt net assets'!Y161</f>
        <v>107717899</v>
      </c>
      <c r="AB161" s="44"/>
      <c r="AC161" s="44">
        <f>+Y161+'Stmt of activities-GA rev'!AC161-'Stmt of activities-GAexp'!W161-AA161</f>
        <v>0</v>
      </c>
    </row>
    <row r="162" spans="1:30" s="47" customFormat="1" ht="12.75" customHeight="1">
      <c r="A162" s="47" t="s">
        <v>190</v>
      </c>
      <c r="B162" s="51"/>
      <c r="C162" s="47" t="s">
        <v>47</v>
      </c>
      <c r="E162" s="44">
        <v>2503028</v>
      </c>
      <c r="F162" s="44"/>
      <c r="G162" s="44">
        <v>8833</v>
      </c>
      <c r="H162" s="44"/>
      <c r="I162" s="44">
        <v>82707</v>
      </c>
      <c r="J162" s="44"/>
      <c r="K162" s="44">
        <v>381282</v>
      </c>
      <c r="L162" s="44"/>
      <c r="M162" s="44">
        <v>347918</v>
      </c>
      <c r="N162" s="44"/>
      <c r="O162" s="44">
        <v>135029</v>
      </c>
      <c r="P162" s="44"/>
      <c r="Q162" s="44">
        <v>1468895</v>
      </c>
      <c r="R162" s="44"/>
      <c r="S162" s="44">
        <v>0</v>
      </c>
      <c r="T162" s="44"/>
      <c r="U162" s="44">
        <v>181053</v>
      </c>
      <c r="V162" s="44"/>
      <c r="W162" s="44">
        <f t="shared" si="5"/>
        <v>5108745</v>
      </c>
      <c r="X162" s="44"/>
      <c r="Y162" s="44">
        <v>10414774</v>
      </c>
      <c r="Z162" s="44"/>
      <c r="AA162" s="44">
        <f>+'Stmt net assets'!Y162</f>
        <v>11926905</v>
      </c>
      <c r="AB162" s="44"/>
      <c r="AC162" s="44">
        <f>+Y162+'Stmt of activities-GA rev'!AC162-'Stmt of activities-GAexp'!W162-AA162</f>
        <v>0</v>
      </c>
    </row>
    <row r="163" spans="1:30" s="47" customFormat="1" ht="12.75" customHeight="1">
      <c r="A163" s="47" t="s">
        <v>191</v>
      </c>
      <c r="B163" s="51"/>
      <c r="C163" s="47" t="s">
        <v>13</v>
      </c>
      <c r="E163" s="44">
        <v>4794961</v>
      </c>
      <c r="F163" s="44"/>
      <c r="G163" s="44">
        <v>1828462</v>
      </c>
      <c r="H163" s="44"/>
      <c r="I163" s="44">
        <v>158588</v>
      </c>
      <c r="J163" s="44"/>
      <c r="K163" s="44">
        <v>211457</v>
      </c>
      <c r="L163" s="44"/>
      <c r="M163" s="44">
        <v>1579625</v>
      </c>
      <c r="N163" s="44"/>
      <c r="O163" s="44">
        <v>0</v>
      </c>
      <c r="P163" s="44"/>
      <c r="Q163" s="44">
        <v>2235735</v>
      </c>
      <c r="R163" s="44"/>
      <c r="S163" s="44">
        <v>0</v>
      </c>
      <c r="T163" s="44"/>
      <c r="U163" s="44">
        <v>241181</v>
      </c>
      <c r="V163" s="44"/>
      <c r="W163" s="44">
        <f t="shared" si="5"/>
        <v>11050009</v>
      </c>
      <c r="X163" s="44"/>
      <c r="Y163" s="44">
        <v>19828700</v>
      </c>
      <c r="Z163" s="44"/>
      <c r="AA163" s="44">
        <f>+'Stmt net assets'!Y163</f>
        <v>19918401</v>
      </c>
      <c r="AB163" s="44"/>
      <c r="AC163" s="44">
        <f>+Y163+'Stmt of activities-GA rev'!AC163-'Stmt of activities-GAexp'!W163-AA163</f>
        <v>0</v>
      </c>
    </row>
    <row r="164" spans="1:30" s="47" customFormat="1" ht="12.75" customHeight="1">
      <c r="A164" s="47" t="s">
        <v>192</v>
      </c>
      <c r="B164" s="51"/>
      <c r="C164" s="47" t="s">
        <v>38</v>
      </c>
      <c r="E164" s="44">
        <v>4945446</v>
      </c>
      <c r="F164" s="44"/>
      <c r="G164" s="44">
        <v>149795</v>
      </c>
      <c r="H164" s="44"/>
      <c r="I164" s="44">
        <v>1722467</v>
      </c>
      <c r="J164" s="44"/>
      <c r="K164" s="44">
        <v>1241094</v>
      </c>
      <c r="L164" s="44"/>
      <c r="M164" s="44">
        <v>1812652</v>
      </c>
      <c r="N164" s="44"/>
      <c r="O164" s="44">
        <v>0</v>
      </c>
      <c r="P164" s="44"/>
      <c r="Q164" s="44">
        <v>2097550</v>
      </c>
      <c r="R164" s="44"/>
      <c r="S164" s="44">
        <v>0</v>
      </c>
      <c r="T164" s="44"/>
      <c r="U164" s="44">
        <v>59567</v>
      </c>
      <c r="V164" s="44"/>
      <c r="W164" s="44">
        <f t="shared" si="5"/>
        <v>12028571</v>
      </c>
      <c r="X164" s="44"/>
      <c r="Y164" s="44">
        <v>28721299</v>
      </c>
      <c r="Z164" s="44"/>
      <c r="AA164" s="44">
        <f>+'Stmt net assets'!Y164</f>
        <v>28352651</v>
      </c>
      <c r="AB164" s="44"/>
      <c r="AC164" s="44">
        <f>+Y164+'Stmt of activities-GA rev'!AC164-'Stmt of activities-GAexp'!W164-AA164</f>
        <v>0</v>
      </c>
    </row>
    <row r="165" spans="1:30" s="47" customFormat="1" ht="12.75" customHeight="1">
      <c r="A165" s="47" t="s">
        <v>193</v>
      </c>
      <c r="B165" s="51"/>
      <c r="C165" s="47" t="s">
        <v>45</v>
      </c>
      <c r="E165" s="44">
        <f>7361336+7771995</f>
        <v>15133331</v>
      </c>
      <c r="F165" s="44"/>
      <c r="G165" s="44">
        <v>1175166</v>
      </c>
      <c r="H165" s="44"/>
      <c r="I165" s="44">
        <v>442876</v>
      </c>
      <c r="J165" s="44"/>
      <c r="K165" s="44">
        <v>577</v>
      </c>
      <c r="L165" s="44"/>
      <c r="M165" s="44">
        <v>1640137</v>
      </c>
      <c r="N165" s="44"/>
      <c r="O165" s="44">
        <v>69101</v>
      </c>
      <c r="P165" s="44"/>
      <c r="Q165" s="44">
        <v>4450505</v>
      </c>
      <c r="R165" s="44"/>
      <c r="S165" s="44">
        <v>319951</v>
      </c>
      <c r="T165" s="44"/>
      <c r="U165" s="44">
        <v>1428434</v>
      </c>
      <c r="V165" s="44"/>
      <c r="W165" s="44">
        <f t="shared" si="5"/>
        <v>24660078</v>
      </c>
      <c r="X165" s="44"/>
      <c r="Y165" s="44">
        <v>4507792</v>
      </c>
      <c r="Z165" s="44"/>
      <c r="AA165" s="44">
        <f>+'Stmt net assets'!Y165</f>
        <v>2785601</v>
      </c>
      <c r="AB165" s="44"/>
      <c r="AC165" s="44">
        <f>+Y165+'Stmt of activities-GA rev'!AC165-'Stmt of activities-GAexp'!W165-AA165</f>
        <v>0</v>
      </c>
      <c r="AD165" s="65"/>
    </row>
    <row r="166" spans="1:30" s="47" customFormat="1" ht="12.75" customHeight="1">
      <c r="A166" s="47" t="s">
        <v>194</v>
      </c>
      <c r="B166" s="51"/>
      <c r="C166" s="47" t="s">
        <v>66</v>
      </c>
      <c r="E166" s="44">
        <v>5362463</v>
      </c>
      <c r="F166" s="44"/>
      <c r="G166" s="44">
        <v>110417</v>
      </c>
      <c r="H166" s="44"/>
      <c r="I166" s="44">
        <v>1070497</v>
      </c>
      <c r="J166" s="44"/>
      <c r="K166" s="44">
        <v>1916923</v>
      </c>
      <c r="L166" s="44"/>
      <c r="M166" s="44">
        <v>1076544</v>
      </c>
      <c r="N166" s="44"/>
      <c r="O166" s="44">
        <v>1390707</v>
      </c>
      <c r="P166" s="44"/>
      <c r="Q166" s="44">
        <v>2682118</v>
      </c>
      <c r="R166" s="44"/>
      <c r="S166" s="44">
        <v>0</v>
      </c>
      <c r="T166" s="44"/>
      <c r="U166" s="44">
        <v>52657</v>
      </c>
      <c r="V166" s="44"/>
      <c r="W166" s="44">
        <f t="shared" si="5"/>
        <v>13662326</v>
      </c>
      <c r="X166" s="44"/>
      <c r="Y166" s="44">
        <v>54221866</v>
      </c>
      <c r="Z166" s="44"/>
      <c r="AA166" s="44">
        <f>+'Stmt net assets'!Y166</f>
        <v>50626688</v>
      </c>
      <c r="AB166" s="44"/>
      <c r="AC166" s="44">
        <f>+Y166+'Stmt of activities-GA rev'!AC166-'Stmt of activities-GAexp'!W166-AA166</f>
        <v>0</v>
      </c>
    </row>
    <row r="167" spans="1:30" s="47" customFormat="1" ht="12.75" customHeight="1">
      <c r="A167" s="47" t="s">
        <v>195</v>
      </c>
      <c r="B167" s="51"/>
      <c r="C167" s="47" t="s">
        <v>17</v>
      </c>
      <c r="E167" s="44">
        <v>4167266</v>
      </c>
      <c r="F167" s="44"/>
      <c r="G167" s="44">
        <v>143170</v>
      </c>
      <c r="H167" s="44"/>
      <c r="I167" s="44">
        <v>807593</v>
      </c>
      <c r="J167" s="44"/>
      <c r="K167" s="44">
        <v>511366</v>
      </c>
      <c r="L167" s="44"/>
      <c r="M167" s="44">
        <v>2626738</v>
      </c>
      <c r="N167" s="44"/>
      <c r="O167" s="44">
        <v>239352</v>
      </c>
      <c r="P167" s="44"/>
      <c r="Q167" s="44">
        <v>3456468</v>
      </c>
      <c r="R167" s="44"/>
      <c r="S167" s="44">
        <v>0</v>
      </c>
      <c r="T167" s="44"/>
      <c r="U167" s="44">
        <v>254452</v>
      </c>
      <c r="V167" s="44"/>
      <c r="W167" s="44">
        <f t="shared" si="5"/>
        <v>12206405</v>
      </c>
      <c r="X167" s="44"/>
      <c r="Y167" s="44">
        <v>38401902</v>
      </c>
      <c r="Z167" s="44"/>
      <c r="AA167" s="44">
        <f>+'Stmt net assets'!Y167</f>
        <v>37461814</v>
      </c>
      <c r="AB167" s="44"/>
      <c r="AC167" s="44">
        <f>+Y167+'Stmt of activities-GA rev'!AC167-'Stmt of activities-GAexp'!W167-AA167</f>
        <v>0</v>
      </c>
    </row>
    <row r="168" spans="1:30" s="47" customFormat="1" ht="12.75" customHeight="1">
      <c r="A168" s="44" t="s">
        <v>196</v>
      </c>
      <c r="B168" s="51"/>
      <c r="C168" s="44" t="s">
        <v>27</v>
      </c>
      <c r="E168" s="44">
        <v>3055879</v>
      </c>
      <c r="F168" s="44"/>
      <c r="G168" s="44">
        <v>86785</v>
      </c>
      <c r="H168" s="44"/>
      <c r="I168" s="44">
        <v>191999</v>
      </c>
      <c r="J168" s="44"/>
      <c r="K168" s="44">
        <f>296412+408897</f>
        <v>705309</v>
      </c>
      <c r="L168" s="44"/>
      <c r="M168" s="44">
        <v>1850424</v>
      </c>
      <c r="N168" s="44"/>
      <c r="O168" s="44">
        <v>0</v>
      </c>
      <c r="P168" s="44"/>
      <c r="Q168" s="44">
        <v>1325725</v>
      </c>
      <c r="R168" s="44"/>
      <c r="S168" s="44">
        <v>0</v>
      </c>
      <c r="T168" s="44"/>
      <c r="U168" s="44">
        <v>272061</v>
      </c>
      <c r="V168" s="44"/>
      <c r="W168" s="44">
        <f t="shared" si="5"/>
        <v>7488182</v>
      </c>
      <c r="X168" s="44"/>
      <c r="Y168" s="44">
        <v>19920803</v>
      </c>
      <c r="Z168" s="44"/>
      <c r="AA168" s="44">
        <f>+'Stmt net assets'!Y168</f>
        <v>24763280</v>
      </c>
      <c r="AB168" s="44"/>
      <c r="AC168" s="44">
        <f>+Y168+'Stmt of activities-GA rev'!AC168-'Stmt of activities-GAexp'!W168-AA168</f>
        <v>0</v>
      </c>
    </row>
    <row r="169" spans="1:30" s="47" customFormat="1" ht="12.75" customHeight="1">
      <c r="A169" s="44" t="s">
        <v>386</v>
      </c>
      <c r="B169" s="51"/>
      <c r="C169" s="44" t="s">
        <v>153</v>
      </c>
      <c r="E169" s="44">
        <v>2242169</v>
      </c>
      <c r="F169" s="44"/>
      <c r="G169" s="44">
        <v>1973</v>
      </c>
      <c r="H169" s="44"/>
      <c r="I169" s="44">
        <v>242769</v>
      </c>
      <c r="J169" s="44"/>
      <c r="K169" s="44">
        <v>33085</v>
      </c>
      <c r="L169" s="44"/>
      <c r="M169" s="44">
        <v>1917605</v>
      </c>
      <c r="N169" s="44"/>
      <c r="O169" s="44">
        <v>0</v>
      </c>
      <c r="P169" s="44"/>
      <c r="Q169" s="44">
        <v>1765423</v>
      </c>
      <c r="R169" s="44"/>
      <c r="S169" s="44">
        <v>0</v>
      </c>
      <c r="T169" s="44"/>
      <c r="U169" s="44">
        <v>85227</v>
      </c>
      <c r="V169" s="44"/>
      <c r="W169" s="44">
        <f t="shared" si="5"/>
        <v>6288251</v>
      </c>
      <c r="X169" s="44"/>
      <c r="Y169" s="44">
        <v>25541898</v>
      </c>
      <c r="Z169" s="44"/>
      <c r="AA169" s="44">
        <f>+'Stmt net assets'!Y169</f>
        <v>25324213</v>
      </c>
      <c r="AB169" s="44"/>
      <c r="AC169" s="44">
        <f>+Y169+'Stmt of activities-GA rev'!AC169-'Stmt of activities-GAexp'!W169-AA169</f>
        <v>0</v>
      </c>
    </row>
    <row r="170" spans="1:30" s="47" customFormat="1" ht="12.75" customHeight="1">
      <c r="A170" s="47" t="s">
        <v>197</v>
      </c>
      <c r="B170" s="51"/>
      <c r="C170" s="47" t="s">
        <v>163</v>
      </c>
      <c r="E170" s="44">
        <v>11205739</v>
      </c>
      <c r="F170" s="44"/>
      <c r="G170" s="44">
        <v>445839</v>
      </c>
      <c r="H170" s="44"/>
      <c r="I170" s="44">
        <v>1027805</v>
      </c>
      <c r="J170" s="44"/>
      <c r="K170" s="44">
        <v>1377599</v>
      </c>
      <c r="L170" s="44"/>
      <c r="M170" s="44">
        <v>8862822</v>
      </c>
      <c r="N170" s="44"/>
      <c r="O170" s="44">
        <v>459674</v>
      </c>
      <c r="P170" s="44"/>
      <c r="Q170" s="44">
        <v>5664569</v>
      </c>
      <c r="R170" s="44"/>
      <c r="S170" s="44">
        <v>0</v>
      </c>
      <c r="T170" s="44"/>
      <c r="U170" s="44">
        <v>588373</v>
      </c>
      <c r="V170" s="44"/>
      <c r="W170" s="44">
        <f t="shared" si="5"/>
        <v>29632420</v>
      </c>
      <c r="X170" s="44"/>
      <c r="Y170" s="44">
        <v>57464008</v>
      </c>
      <c r="Z170" s="44"/>
      <c r="AA170" s="44">
        <f>+'Stmt net assets'!Y170</f>
        <v>55552840</v>
      </c>
      <c r="AB170" s="44"/>
      <c r="AC170" s="44">
        <f>+Y170+'Stmt of activities-GA rev'!AC170-'Stmt of activities-GAexp'!W170-AA170</f>
        <v>0</v>
      </c>
    </row>
    <row r="171" spans="1:30" s="47" customFormat="1" ht="12.75" customHeight="1">
      <c r="A171" s="47" t="s">
        <v>198</v>
      </c>
      <c r="B171" s="51"/>
      <c r="C171" s="47" t="s">
        <v>199</v>
      </c>
      <c r="E171" s="44">
        <f>1761008+513253</f>
        <v>2274261</v>
      </c>
      <c r="F171" s="44"/>
      <c r="G171" s="44">
        <v>358574</v>
      </c>
      <c r="H171" s="44"/>
      <c r="I171" s="44">
        <v>382833</v>
      </c>
      <c r="J171" s="44"/>
      <c r="K171" s="44">
        <v>0</v>
      </c>
      <c r="L171" s="44"/>
      <c r="M171" s="44">
        <v>3127157</v>
      </c>
      <c r="N171" s="44"/>
      <c r="O171" s="44">
        <v>407762</v>
      </c>
      <c r="P171" s="44"/>
      <c r="Q171" s="44">
        <v>1000403</v>
      </c>
      <c r="R171" s="44"/>
      <c r="S171" s="44">
        <v>0</v>
      </c>
      <c r="T171" s="44"/>
      <c r="U171" s="44">
        <v>64704</v>
      </c>
      <c r="V171" s="44"/>
      <c r="W171" s="44">
        <f t="shared" si="5"/>
        <v>7615694</v>
      </c>
      <c r="X171" s="44"/>
      <c r="Y171" s="44">
        <v>49077394</v>
      </c>
      <c r="Z171" s="44"/>
      <c r="AA171" s="44">
        <f>+'Stmt net assets'!Y171</f>
        <v>49231665</v>
      </c>
      <c r="AB171" s="44"/>
      <c r="AC171" s="44">
        <f>+Y171+'Stmt of activities-GA rev'!AC171-'Stmt of activities-GAexp'!W171-AA171</f>
        <v>0</v>
      </c>
    </row>
    <row r="172" spans="1:30" s="47" customFormat="1" ht="12.75" customHeight="1">
      <c r="A172" s="47" t="s">
        <v>200</v>
      </c>
      <c r="B172" s="51"/>
      <c r="C172" s="47" t="s">
        <v>103</v>
      </c>
      <c r="E172" s="44">
        <v>5938681</v>
      </c>
      <c r="F172" s="44"/>
      <c r="G172" s="44">
        <v>125408</v>
      </c>
      <c r="H172" s="44"/>
      <c r="I172" s="44">
        <v>1658279</v>
      </c>
      <c r="J172" s="44"/>
      <c r="K172" s="44">
        <v>1035942</v>
      </c>
      <c r="L172" s="44"/>
      <c r="M172" s="44">
        <v>2341539</v>
      </c>
      <c r="N172" s="44"/>
      <c r="O172" s="44">
        <v>0</v>
      </c>
      <c r="P172" s="44"/>
      <c r="Q172" s="44">
        <v>1901916</v>
      </c>
      <c r="R172" s="44"/>
      <c r="S172" s="44">
        <v>0</v>
      </c>
      <c r="T172" s="44"/>
      <c r="U172" s="44">
        <v>142352</v>
      </c>
      <c r="V172" s="44"/>
      <c r="W172" s="44">
        <f t="shared" si="5"/>
        <v>13144117</v>
      </c>
      <c r="X172" s="44"/>
      <c r="Y172" s="44">
        <v>48228269</v>
      </c>
      <c r="Z172" s="44"/>
      <c r="AA172" s="44">
        <f>+'Stmt net assets'!Y172</f>
        <v>48405359</v>
      </c>
      <c r="AB172" s="44"/>
      <c r="AC172" s="44">
        <f>+Y172+'Stmt of activities-GA rev'!AC172-'Stmt of activities-GAexp'!W172-AA172</f>
        <v>0</v>
      </c>
    </row>
    <row r="173" spans="1:30" s="47" customFormat="1" ht="12.75" customHeight="1">
      <c r="B173" s="51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8" t="s">
        <v>484</v>
      </c>
      <c r="AB173" s="44"/>
      <c r="AC173" s="44"/>
    </row>
    <row r="174" spans="1:30" s="47" customFormat="1" ht="12.75" customHeight="1">
      <c r="A174" s="47" t="s">
        <v>201</v>
      </c>
      <c r="B174" s="51"/>
      <c r="C174" s="47" t="s">
        <v>92</v>
      </c>
      <c r="E174" s="46">
        <v>7029666</v>
      </c>
      <c r="F174" s="46"/>
      <c r="G174" s="46">
        <v>637876</v>
      </c>
      <c r="H174" s="46"/>
      <c r="I174" s="46">
        <v>778109</v>
      </c>
      <c r="J174" s="46"/>
      <c r="K174" s="46">
        <v>525976</v>
      </c>
      <c r="L174" s="46"/>
      <c r="M174" s="46">
        <v>2226110</v>
      </c>
      <c r="N174" s="46"/>
      <c r="O174" s="46">
        <v>0</v>
      </c>
      <c r="P174" s="46"/>
      <c r="Q174" s="46">
        <v>4391700</v>
      </c>
      <c r="R174" s="46"/>
      <c r="S174" s="46">
        <v>0</v>
      </c>
      <c r="T174" s="46"/>
      <c r="U174" s="46">
        <v>237803</v>
      </c>
      <c r="V174" s="46"/>
      <c r="W174" s="46">
        <f t="shared" si="5"/>
        <v>15827240</v>
      </c>
      <c r="X174" s="46"/>
      <c r="Y174" s="46">
        <v>40360581</v>
      </c>
      <c r="Z174" s="46"/>
      <c r="AA174" s="46">
        <f>+'Stmt net assets'!Y174</f>
        <v>40598361</v>
      </c>
      <c r="AB174" s="44"/>
      <c r="AC174" s="44">
        <f>+Y174+'Stmt of activities-GA rev'!AC173-'Stmt of activities-GAexp'!W174-AA174</f>
        <v>0</v>
      </c>
    </row>
    <row r="175" spans="1:30" s="47" customFormat="1" ht="12.75" customHeight="1">
      <c r="A175" s="47" t="s">
        <v>202</v>
      </c>
      <c r="B175" s="51"/>
      <c r="C175" s="47" t="s">
        <v>27</v>
      </c>
      <c r="E175" s="44">
        <v>29051675</v>
      </c>
      <c r="F175" s="44"/>
      <c r="G175" s="44">
        <v>316924</v>
      </c>
      <c r="H175" s="44"/>
      <c r="I175" s="44">
        <v>3222549</v>
      </c>
      <c r="J175" s="44"/>
      <c r="K175" s="44">
        <v>9310349</v>
      </c>
      <c r="L175" s="44"/>
      <c r="M175" s="44">
        <v>5481895</v>
      </c>
      <c r="N175" s="44"/>
      <c r="O175" s="44">
        <v>4018476</v>
      </c>
      <c r="P175" s="44"/>
      <c r="Q175" s="44">
        <v>24496676</v>
      </c>
      <c r="R175" s="44"/>
      <c r="S175" s="44">
        <v>0</v>
      </c>
      <c r="T175" s="44"/>
      <c r="U175" s="44">
        <v>1395337</v>
      </c>
      <c r="V175" s="44"/>
      <c r="W175" s="44">
        <f t="shared" si="5"/>
        <v>77293881</v>
      </c>
      <c r="X175" s="44"/>
      <c r="Y175" s="44">
        <v>73025585</v>
      </c>
      <c r="Z175" s="44"/>
      <c r="AA175" s="44">
        <f>+'Stmt net assets'!Y175</f>
        <v>80474980</v>
      </c>
      <c r="AB175" s="44"/>
      <c r="AC175" s="44">
        <f>+Y175+'Stmt of activities-GA rev'!AC174-'Stmt of activities-GAexp'!W175-AA175</f>
        <v>0</v>
      </c>
    </row>
    <row r="176" spans="1:30" s="47" customFormat="1" ht="12.75" customHeight="1">
      <c r="A176" s="47" t="s">
        <v>203</v>
      </c>
      <c r="B176" s="51"/>
      <c r="C176" s="47" t="s">
        <v>27</v>
      </c>
      <c r="E176" s="44">
        <v>7847133</v>
      </c>
      <c r="F176" s="44"/>
      <c r="G176" s="44">
        <v>375773</v>
      </c>
      <c r="H176" s="44"/>
      <c r="I176" s="44">
        <v>519050</v>
      </c>
      <c r="J176" s="44"/>
      <c r="K176" s="44">
        <v>2780283</v>
      </c>
      <c r="L176" s="44"/>
      <c r="M176" s="44">
        <v>1415758</v>
      </c>
      <c r="N176" s="44"/>
      <c r="O176" s="44">
        <v>1024663</v>
      </c>
      <c r="P176" s="44"/>
      <c r="Q176" s="44">
        <v>1865090</v>
      </c>
      <c r="R176" s="44"/>
      <c r="S176" s="44">
        <v>0</v>
      </c>
      <c r="T176" s="44"/>
      <c r="U176" s="44">
        <v>463088</v>
      </c>
      <c r="V176" s="44"/>
      <c r="W176" s="44">
        <f t="shared" si="5"/>
        <v>16290838</v>
      </c>
      <c r="X176" s="44"/>
      <c r="Y176" s="44">
        <v>26836271</v>
      </c>
      <c r="Z176" s="44"/>
      <c r="AA176" s="44">
        <f>+'Stmt net assets'!Y176</f>
        <v>32004231</v>
      </c>
      <c r="AB176" s="44"/>
      <c r="AC176" s="44">
        <f>+Y176+'Stmt of activities-GA rev'!AC175-'Stmt of activities-GAexp'!W176-AA176</f>
        <v>0</v>
      </c>
    </row>
    <row r="177" spans="1:29" s="47" customFormat="1" ht="12.75" customHeight="1">
      <c r="A177" s="47" t="s">
        <v>204</v>
      </c>
      <c r="B177" s="51"/>
      <c r="C177" s="47" t="s">
        <v>125</v>
      </c>
      <c r="E177" s="44">
        <v>1373081</v>
      </c>
      <c r="F177" s="44"/>
      <c r="G177" s="44">
        <v>59300</v>
      </c>
      <c r="H177" s="44"/>
      <c r="I177" s="44">
        <v>46494</v>
      </c>
      <c r="J177" s="44"/>
      <c r="K177" s="44">
        <f>270207+4462</f>
        <v>274669</v>
      </c>
      <c r="L177" s="44"/>
      <c r="M177" s="44">
        <v>1228925</v>
      </c>
      <c r="N177" s="44"/>
      <c r="O177" s="44">
        <v>0</v>
      </c>
      <c r="P177" s="44"/>
      <c r="Q177" s="44">
        <v>871750</v>
      </c>
      <c r="R177" s="44"/>
      <c r="S177" s="44">
        <v>0</v>
      </c>
      <c r="T177" s="44"/>
      <c r="U177" s="44">
        <v>51942</v>
      </c>
      <c r="V177" s="44"/>
      <c r="W177" s="44">
        <f t="shared" si="5"/>
        <v>3906161</v>
      </c>
      <c r="X177" s="44"/>
      <c r="Y177" s="44">
        <v>9079114</v>
      </c>
      <c r="Z177" s="44"/>
      <c r="AA177" s="44">
        <f>+'Stmt net assets'!Y177</f>
        <v>12062556</v>
      </c>
      <c r="AB177" s="44"/>
      <c r="AC177" s="44">
        <f>+Y177+'Stmt of activities-GA rev'!AC176-'Stmt of activities-GAexp'!W177-AA177</f>
        <v>0</v>
      </c>
    </row>
    <row r="178" spans="1:29" s="122" customFormat="1" ht="12.75" hidden="1" customHeight="1">
      <c r="A178" s="122" t="s">
        <v>205</v>
      </c>
      <c r="B178" s="124"/>
      <c r="C178" s="122" t="s">
        <v>27</v>
      </c>
      <c r="E178" s="121">
        <v>0</v>
      </c>
      <c r="F178" s="121"/>
      <c r="G178" s="121">
        <v>0</v>
      </c>
      <c r="H178" s="121"/>
      <c r="I178" s="121">
        <v>0</v>
      </c>
      <c r="J178" s="121"/>
      <c r="K178" s="121">
        <v>0</v>
      </c>
      <c r="L178" s="121"/>
      <c r="M178" s="121">
        <v>0</v>
      </c>
      <c r="N178" s="121"/>
      <c r="O178" s="121">
        <v>0</v>
      </c>
      <c r="P178" s="121"/>
      <c r="Q178" s="121">
        <v>0</v>
      </c>
      <c r="R178" s="121"/>
      <c r="S178" s="121">
        <v>0</v>
      </c>
      <c r="T178" s="121"/>
      <c r="U178" s="121">
        <v>0</v>
      </c>
      <c r="V178" s="121"/>
      <c r="W178" s="121">
        <f t="shared" si="5"/>
        <v>0</v>
      </c>
      <c r="X178" s="121"/>
      <c r="Y178" s="121">
        <v>0</v>
      </c>
      <c r="Z178" s="121"/>
      <c r="AA178" s="121">
        <f>+'Stmt net assets'!Y178</f>
        <v>0</v>
      </c>
      <c r="AB178" s="121"/>
      <c r="AC178" s="121">
        <f>+Y178+'Stmt of activities-GA rev'!AC177-'Stmt of activities-GAexp'!W178-AA178</f>
        <v>0</v>
      </c>
    </row>
    <row r="179" spans="1:29" s="47" customFormat="1" ht="12.75" customHeight="1">
      <c r="A179" s="47" t="s">
        <v>206</v>
      </c>
      <c r="B179" s="51"/>
      <c r="C179" s="47" t="s">
        <v>47</v>
      </c>
      <c r="E179" s="44">
        <v>7907580</v>
      </c>
      <c r="F179" s="44"/>
      <c r="G179" s="44">
        <v>36301</v>
      </c>
      <c r="H179" s="44"/>
      <c r="I179" s="44">
        <v>1338132</v>
      </c>
      <c r="J179" s="44"/>
      <c r="K179" s="44">
        <v>727342</v>
      </c>
      <c r="L179" s="44"/>
      <c r="M179" s="44">
        <v>2880603</v>
      </c>
      <c r="N179" s="44"/>
      <c r="O179" s="44">
        <v>1279541</v>
      </c>
      <c r="P179" s="44"/>
      <c r="Q179" s="44">
        <v>4451533</v>
      </c>
      <c r="R179" s="44"/>
      <c r="S179" s="44">
        <v>0</v>
      </c>
      <c r="T179" s="44"/>
      <c r="U179" s="44">
        <v>94004</v>
      </c>
      <c r="V179" s="44"/>
      <c r="W179" s="44">
        <f t="shared" si="5"/>
        <v>18715036</v>
      </c>
      <c r="X179" s="44"/>
      <c r="Y179" s="44">
        <v>79502910</v>
      </c>
      <c r="Z179" s="44"/>
      <c r="AA179" s="44">
        <f>+'Stmt net assets'!Y179</f>
        <v>84114991</v>
      </c>
      <c r="AB179" s="44"/>
      <c r="AC179" s="44">
        <f>+Y179+'Stmt of activities-GA rev'!AC178-'Stmt of activities-GAexp'!W179-AA179</f>
        <v>0</v>
      </c>
    </row>
    <row r="180" spans="1:29" s="47" customFormat="1" ht="12.75" customHeight="1">
      <c r="A180" s="47" t="s">
        <v>207</v>
      </c>
      <c r="B180" s="51"/>
      <c r="C180" s="47" t="s">
        <v>102</v>
      </c>
      <c r="E180" s="44">
        <v>4239816</v>
      </c>
      <c r="F180" s="44"/>
      <c r="G180" s="44">
        <v>93643</v>
      </c>
      <c r="H180" s="44"/>
      <c r="I180" s="44">
        <v>561867</v>
      </c>
      <c r="J180" s="44"/>
      <c r="K180" s="44">
        <v>614957</v>
      </c>
      <c r="L180" s="44"/>
      <c r="M180" s="44">
        <v>2952265</v>
      </c>
      <c r="N180" s="44"/>
      <c r="O180" s="44">
        <v>0</v>
      </c>
      <c r="P180" s="44"/>
      <c r="Q180" s="44">
        <v>3000709</v>
      </c>
      <c r="R180" s="44"/>
      <c r="S180" s="44">
        <v>0</v>
      </c>
      <c r="T180" s="44"/>
      <c r="U180" s="44">
        <v>419544</v>
      </c>
      <c r="V180" s="44"/>
      <c r="W180" s="44">
        <f t="shared" si="5"/>
        <v>11882801</v>
      </c>
      <c r="X180" s="44"/>
      <c r="Y180" s="44">
        <v>50345536</v>
      </c>
      <c r="Z180" s="44"/>
      <c r="AA180" s="44">
        <f>+'Stmt net assets'!Y180</f>
        <v>48388258</v>
      </c>
      <c r="AB180" s="44"/>
      <c r="AC180" s="44">
        <f>+Y180+'Stmt of activities-GA rev'!AC179-'Stmt of activities-GAexp'!W180-AA180</f>
        <v>0</v>
      </c>
    </row>
    <row r="181" spans="1:29" s="47" customFormat="1" ht="12.75" customHeight="1">
      <c r="A181" s="47" t="s">
        <v>208</v>
      </c>
      <c r="B181" s="51"/>
      <c r="C181" s="47" t="s">
        <v>209</v>
      </c>
      <c r="E181" s="44">
        <v>7797867</v>
      </c>
      <c r="F181" s="44"/>
      <c r="G181" s="44">
        <v>0</v>
      </c>
      <c r="H181" s="44"/>
      <c r="I181" s="44">
        <v>548724</v>
      </c>
      <c r="J181" s="44"/>
      <c r="K181" s="44">
        <v>628434</v>
      </c>
      <c r="L181" s="44"/>
      <c r="M181" s="44">
        <v>3250497</v>
      </c>
      <c r="N181" s="44"/>
      <c r="O181" s="44">
        <v>0</v>
      </c>
      <c r="P181" s="44"/>
      <c r="Q181" s="44">
        <v>1893928</v>
      </c>
      <c r="R181" s="44"/>
      <c r="S181" s="44">
        <v>0</v>
      </c>
      <c r="T181" s="44"/>
      <c r="U181" s="44">
        <v>250261</v>
      </c>
      <c r="V181" s="44"/>
      <c r="W181" s="44">
        <f t="shared" si="5"/>
        <v>14369711</v>
      </c>
      <c r="X181" s="44"/>
      <c r="Y181" s="44">
        <v>66205576</v>
      </c>
      <c r="Z181" s="44"/>
      <c r="AA181" s="44">
        <f>+'Stmt net assets'!Y181</f>
        <v>67923788</v>
      </c>
      <c r="AB181" s="44"/>
      <c r="AC181" s="44">
        <f>+Y181+'Stmt of activities-GA rev'!AC180-'Stmt of activities-GAexp'!W181-AA181</f>
        <v>0</v>
      </c>
    </row>
    <row r="182" spans="1:29" s="47" customFormat="1" ht="12.75" customHeight="1">
      <c r="A182" s="47" t="s">
        <v>210</v>
      </c>
      <c r="B182" s="51"/>
      <c r="C182" s="47" t="s">
        <v>211</v>
      </c>
      <c r="E182" s="44">
        <f>1906801+302588</f>
        <v>2209389</v>
      </c>
      <c r="F182" s="44"/>
      <c r="G182" s="44">
        <v>205794</v>
      </c>
      <c r="H182" s="44"/>
      <c r="I182" s="44">
        <v>65607</v>
      </c>
      <c r="J182" s="44"/>
      <c r="K182" s="44">
        <v>405879</v>
      </c>
      <c r="L182" s="44"/>
      <c r="M182" s="44">
        <v>712886</v>
      </c>
      <c r="N182" s="44"/>
      <c r="O182" s="44">
        <v>0</v>
      </c>
      <c r="P182" s="44"/>
      <c r="Q182" s="44">
        <v>1467995</v>
      </c>
      <c r="R182" s="44"/>
      <c r="S182" s="44">
        <v>0</v>
      </c>
      <c r="T182" s="44"/>
      <c r="U182" s="44">
        <v>28652</v>
      </c>
      <c r="V182" s="44"/>
      <c r="W182" s="44">
        <f t="shared" si="5"/>
        <v>5096202</v>
      </c>
      <c r="X182" s="44"/>
      <c r="Y182" s="44">
        <v>11152031</v>
      </c>
      <c r="Z182" s="44"/>
      <c r="AA182" s="44">
        <f>+'Stmt net assets'!Y182</f>
        <v>11593834</v>
      </c>
      <c r="AB182" s="44"/>
      <c r="AC182" s="44">
        <f>+Y182+'Stmt of activities-GA rev'!AC181-'Stmt of activities-GAexp'!W182-AA182</f>
        <v>0</v>
      </c>
    </row>
    <row r="183" spans="1:29" s="47" customFormat="1" ht="12.75" customHeight="1">
      <c r="A183" s="47" t="s">
        <v>212</v>
      </c>
      <c r="B183" s="51"/>
      <c r="C183" s="47" t="s">
        <v>213</v>
      </c>
      <c r="E183" s="44">
        <v>7785766</v>
      </c>
      <c r="F183" s="44"/>
      <c r="G183" s="44">
        <v>3147332</v>
      </c>
      <c r="H183" s="44"/>
      <c r="I183" s="44">
        <v>68553</v>
      </c>
      <c r="J183" s="44"/>
      <c r="K183" s="44">
        <v>547972</v>
      </c>
      <c r="L183" s="44"/>
      <c r="M183" s="44">
        <v>2395925</v>
      </c>
      <c r="N183" s="44"/>
      <c r="O183" s="44">
        <v>0</v>
      </c>
      <c r="P183" s="44"/>
      <c r="Q183" s="44">
        <v>3651111</v>
      </c>
      <c r="R183" s="44"/>
      <c r="S183" s="44">
        <v>0</v>
      </c>
      <c r="T183" s="44"/>
      <c r="U183" s="44">
        <v>126256</v>
      </c>
      <c r="V183" s="44"/>
      <c r="W183" s="44">
        <f t="shared" si="5"/>
        <v>17722915</v>
      </c>
      <c r="X183" s="44"/>
      <c r="Y183" s="44">
        <v>23651641</v>
      </c>
      <c r="Z183" s="44"/>
      <c r="AA183" s="44">
        <f>+'Stmt net assets'!Y183</f>
        <v>22581119</v>
      </c>
      <c r="AB183" s="44"/>
      <c r="AC183" s="44">
        <f>+Y183+'Stmt of activities-GA rev'!AC182-'Stmt of activities-GAexp'!W183-AA183</f>
        <v>0</v>
      </c>
    </row>
    <row r="184" spans="1:29" s="47" customFormat="1" ht="12.75" customHeight="1">
      <c r="A184" s="47" t="s">
        <v>214</v>
      </c>
      <c r="B184" s="51"/>
      <c r="C184" s="47" t="s">
        <v>86</v>
      </c>
      <c r="E184" s="44">
        <v>2309528</v>
      </c>
      <c r="F184" s="44"/>
      <c r="G184" s="44">
        <v>0</v>
      </c>
      <c r="H184" s="44"/>
      <c r="I184" s="44">
        <v>1002506</v>
      </c>
      <c r="J184" s="44"/>
      <c r="K184" s="44">
        <v>980563</v>
      </c>
      <c r="L184" s="44"/>
      <c r="M184" s="44">
        <v>0</v>
      </c>
      <c r="N184" s="44"/>
      <c r="O184" s="44">
        <v>2173177</v>
      </c>
      <c r="P184" s="44"/>
      <c r="Q184" s="44">
        <v>1599452</v>
      </c>
      <c r="R184" s="44"/>
      <c r="S184" s="44">
        <v>0</v>
      </c>
      <c r="T184" s="44"/>
      <c r="U184" s="44">
        <v>1104642</v>
      </c>
      <c r="V184" s="44"/>
      <c r="W184" s="44">
        <f t="shared" si="5"/>
        <v>9169868</v>
      </c>
      <c r="X184" s="44"/>
      <c r="Y184" s="44">
        <v>28221208</v>
      </c>
      <c r="Z184" s="44"/>
      <c r="AA184" s="44">
        <f>+'Stmt net assets'!Y184</f>
        <v>28195310</v>
      </c>
      <c r="AB184" s="44"/>
      <c r="AC184" s="44">
        <f>+Y184+'Stmt of activities-GA rev'!AC183-'Stmt of activities-GAexp'!W184-AA184</f>
        <v>0</v>
      </c>
    </row>
    <row r="185" spans="1:29" s="47" customFormat="1" ht="12.75" customHeight="1">
      <c r="A185" s="47" t="s">
        <v>215</v>
      </c>
      <c r="B185" s="51"/>
      <c r="C185" s="47" t="s">
        <v>22</v>
      </c>
      <c r="E185" s="44">
        <f>3714456+2191613</f>
        <v>5906069</v>
      </c>
      <c r="F185" s="44"/>
      <c r="G185" s="44">
        <v>296549</v>
      </c>
      <c r="H185" s="44"/>
      <c r="I185" s="44">
        <v>802681</v>
      </c>
      <c r="J185" s="44"/>
      <c r="K185" s="44">
        <f>1139136+49777</f>
        <v>1188913</v>
      </c>
      <c r="L185" s="44"/>
      <c r="M185" s="44">
        <v>1943106</v>
      </c>
      <c r="N185" s="44"/>
      <c r="O185" s="44">
        <v>35994</v>
      </c>
      <c r="P185" s="44"/>
      <c r="Q185" s="44">
        <v>1801926</v>
      </c>
      <c r="R185" s="44"/>
      <c r="S185" s="44">
        <v>0</v>
      </c>
      <c r="T185" s="44"/>
      <c r="U185" s="44">
        <v>304014</v>
      </c>
      <c r="V185" s="44"/>
      <c r="W185" s="44">
        <f t="shared" si="5"/>
        <v>12279252</v>
      </c>
      <c r="X185" s="44"/>
      <c r="Y185" s="44">
        <v>48239068</v>
      </c>
      <c r="Z185" s="44"/>
      <c r="AA185" s="44">
        <f>+'Stmt net assets'!Y185</f>
        <v>47390676</v>
      </c>
      <c r="AB185" s="44"/>
      <c r="AC185" s="44">
        <f>+Y185+'Stmt of activities-GA rev'!AC184-'Stmt of activities-GAexp'!W185-AA185</f>
        <v>0</v>
      </c>
    </row>
    <row r="186" spans="1:29" s="47" customFormat="1" ht="12.75" customHeight="1">
      <c r="A186" s="47" t="s">
        <v>216</v>
      </c>
      <c r="B186" s="51"/>
      <c r="C186" s="47" t="s">
        <v>45</v>
      </c>
      <c r="E186" s="44">
        <v>5741299</v>
      </c>
      <c r="F186" s="44"/>
      <c r="G186" s="44">
        <v>10552</v>
      </c>
      <c r="H186" s="44"/>
      <c r="I186" s="44">
        <v>531092</v>
      </c>
      <c r="J186" s="44"/>
      <c r="K186" s="44">
        <v>173310</v>
      </c>
      <c r="L186" s="44"/>
      <c r="M186" s="44">
        <v>2224693</v>
      </c>
      <c r="N186" s="44"/>
      <c r="O186" s="44">
        <v>565550</v>
      </c>
      <c r="P186" s="44"/>
      <c r="Q186" s="44">
        <v>2095411</v>
      </c>
      <c r="R186" s="44"/>
      <c r="S186" s="44">
        <v>0</v>
      </c>
      <c r="T186" s="44"/>
      <c r="U186" s="44">
        <v>103521</v>
      </c>
      <c r="V186" s="44"/>
      <c r="W186" s="44">
        <f t="shared" si="5"/>
        <v>11445428</v>
      </c>
      <c r="X186" s="44"/>
      <c r="Y186" s="44">
        <v>7610099</v>
      </c>
      <c r="Z186" s="44"/>
      <c r="AA186" s="44">
        <f>+'Stmt net assets'!Y186</f>
        <v>6611070</v>
      </c>
      <c r="AB186" s="44"/>
      <c r="AC186" s="44">
        <f>+Y186+'Stmt of activities-GA rev'!AC185-'Stmt of activities-GAexp'!W186-AA186</f>
        <v>0</v>
      </c>
    </row>
    <row r="187" spans="1:29" s="47" customFormat="1" ht="12.75" customHeight="1">
      <c r="A187" s="47" t="s">
        <v>217</v>
      </c>
      <c r="B187" s="51"/>
      <c r="C187" s="47" t="s">
        <v>43</v>
      </c>
      <c r="E187" s="44">
        <v>8047511</v>
      </c>
      <c r="F187" s="44"/>
      <c r="G187" s="44">
        <v>202756</v>
      </c>
      <c r="H187" s="44"/>
      <c r="I187" s="44">
        <v>1068709</v>
      </c>
      <c r="J187" s="44"/>
      <c r="K187" s="44">
        <v>1369353</v>
      </c>
      <c r="L187" s="44"/>
      <c r="M187" s="44">
        <v>3154638</v>
      </c>
      <c r="N187" s="44"/>
      <c r="O187" s="44">
        <v>0</v>
      </c>
      <c r="P187" s="44"/>
      <c r="Q187" s="44">
        <v>5330658</v>
      </c>
      <c r="R187" s="44"/>
      <c r="S187" s="44">
        <v>0</v>
      </c>
      <c r="T187" s="44"/>
      <c r="U187" s="44">
        <v>1024105</v>
      </c>
      <c r="V187" s="44"/>
      <c r="W187" s="44">
        <f t="shared" si="5"/>
        <v>20197730</v>
      </c>
      <c r="X187" s="44"/>
      <c r="Y187" s="44">
        <v>49324935</v>
      </c>
      <c r="Z187" s="44"/>
      <c r="AA187" s="44">
        <f>+'Stmt net assets'!Y187</f>
        <v>48625836</v>
      </c>
      <c r="AB187" s="44"/>
      <c r="AC187" s="44">
        <f>+Y187+'Stmt of activities-GA rev'!AC186-'Stmt of activities-GAexp'!W187-AA187</f>
        <v>0</v>
      </c>
    </row>
    <row r="188" spans="1:29" s="122" customFormat="1" ht="12.75" hidden="1" customHeight="1">
      <c r="A188" s="122" t="s">
        <v>218</v>
      </c>
      <c r="B188" s="124"/>
      <c r="C188" s="122" t="s">
        <v>27</v>
      </c>
      <c r="E188" s="121">
        <v>0</v>
      </c>
      <c r="F188" s="121"/>
      <c r="G188" s="121">
        <v>0</v>
      </c>
      <c r="H188" s="121"/>
      <c r="I188" s="121">
        <v>0</v>
      </c>
      <c r="J188" s="121"/>
      <c r="K188" s="121">
        <v>0</v>
      </c>
      <c r="L188" s="121"/>
      <c r="M188" s="121">
        <v>0</v>
      </c>
      <c r="N188" s="121"/>
      <c r="O188" s="121">
        <v>0</v>
      </c>
      <c r="P188" s="121"/>
      <c r="Q188" s="121">
        <v>0</v>
      </c>
      <c r="R188" s="121"/>
      <c r="S188" s="121">
        <v>0</v>
      </c>
      <c r="T188" s="121"/>
      <c r="U188" s="121">
        <v>0</v>
      </c>
      <c r="V188" s="121"/>
      <c r="W188" s="121">
        <f t="shared" si="5"/>
        <v>0</v>
      </c>
      <c r="X188" s="121"/>
      <c r="Y188" s="121">
        <v>0</v>
      </c>
      <c r="Z188" s="121"/>
      <c r="AA188" s="121">
        <f>+'Stmt net assets'!Y188</f>
        <v>0</v>
      </c>
      <c r="AB188" s="121"/>
      <c r="AC188" s="121">
        <f>+Y188+'Stmt of activities-GA rev'!AC187-'Stmt of activities-GAexp'!W188-AA188</f>
        <v>0</v>
      </c>
    </row>
    <row r="189" spans="1:29" s="47" customFormat="1" ht="12.75" customHeight="1">
      <c r="A189" s="47" t="s">
        <v>219</v>
      </c>
      <c r="B189" s="51"/>
      <c r="C189" s="47" t="s">
        <v>199</v>
      </c>
      <c r="E189" s="44">
        <v>1666378</v>
      </c>
      <c r="F189" s="44"/>
      <c r="G189" s="44">
        <v>115459</v>
      </c>
      <c r="H189" s="44"/>
      <c r="I189" s="44">
        <v>510580</v>
      </c>
      <c r="J189" s="44"/>
      <c r="K189" s="44">
        <v>0</v>
      </c>
      <c r="L189" s="44"/>
      <c r="M189" s="44">
        <v>783398</v>
      </c>
      <c r="N189" s="44"/>
      <c r="O189" s="44">
        <v>458957</v>
      </c>
      <c r="P189" s="44"/>
      <c r="Q189" s="44">
        <v>664213</v>
      </c>
      <c r="R189" s="44"/>
      <c r="S189" s="44">
        <v>0</v>
      </c>
      <c r="T189" s="44"/>
      <c r="U189" s="44">
        <v>52024</v>
      </c>
      <c r="V189" s="44"/>
      <c r="W189" s="44">
        <f t="shared" si="5"/>
        <v>4251009</v>
      </c>
      <c r="X189" s="44"/>
      <c r="Y189" s="44">
        <v>7393482</v>
      </c>
      <c r="Z189" s="44"/>
      <c r="AA189" s="44">
        <f>+'Stmt net assets'!Y189</f>
        <v>7317960</v>
      </c>
      <c r="AB189" s="44"/>
      <c r="AC189" s="44">
        <f>+Y189+'Stmt of activities-GA rev'!AC188-'Stmt of activities-GAexp'!W189-AA189</f>
        <v>0</v>
      </c>
    </row>
    <row r="190" spans="1:29" s="47" customFormat="1" ht="12.75" customHeight="1">
      <c r="A190" s="47" t="s">
        <v>220</v>
      </c>
      <c r="B190" s="51"/>
      <c r="C190" s="47" t="s">
        <v>66</v>
      </c>
      <c r="E190" s="44">
        <v>6409554</v>
      </c>
      <c r="F190" s="44"/>
      <c r="G190" s="44">
        <v>3301</v>
      </c>
      <c r="H190" s="44"/>
      <c r="I190" s="44">
        <v>17086</v>
      </c>
      <c r="J190" s="44"/>
      <c r="K190" s="44">
        <v>254906</v>
      </c>
      <c r="L190" s="44"/>
      <c r="M190" s="44">
        <v>1759742</v>
      </c>
      <c r="N190" s="44"/>
      <c r="O190" s="44">
        <v>0</v>
      </c>
      <c r="P190" s="44"/>
      <c r="Q190" s="44">
        <v>2390157</v>
      </c>
      <c r="R190" s="44"/>
      <c r="S190" s="44">
        <v>0</v>
      </c>
      <c r="T190" s="44"/>
      <c r="U190" s="44">
        <v>95746</v>
      </c>
      <c r="V190" s="44"/>
      <c r="W190" s="44">
        <f t="shared" si="5"/>
        <v>10930492</v>
      </c>
      <c r="X190" s="44"/>
      <c r="Y190" s="44">
        <v>17002342</v>
      </c>
      <c r="Z190" s="44"/>
      <c r="AA190" s="44">
        <f>+'Stmt net assets'!Y190</f>
        <v>20667556</v>
      </c>
      <c r="AB190" s="44"/>
      <c r="AC190" s="44">
        <f>+Y190+'Stmt of activities-GA rev'!AC189-'Stmt of activities-GAexp'!W190-AA190</f>
        <v>0</v>
      </c>
    </row>
    <row r="191" spans="1:29" s="47" customFormat="1" ht="12.75" customHeight="1">
      <c r="A191" s="47" t="s">
        <v>221</v>
      </c>
      <c r="B191" s="51"/>
      <c r="C191" s="47" t="s">
        <v>27</v>
      </c>
      <c r="E191" s="44">
        <v>8792172</v>
      </c>
      <c r="F191" s="44"/>
      <c r="G191" s="44">
        <v>1405597</v>
      </c>
      <c r="H191" s="44"/>
      <c r="I191" s="44">
        <v>3881431</v>
      </c>
      <c r="J191" s="44"/>
      <c r="K191" s="44">
        <v>797723</v>
      </c>
      <c r="L191" s="44"/>
      <c r="M191" s="44">
        <v>2335260</v>
      </c>
      <c r="N191" s="44"/>
      <c r="O191" s="44">
        <v>2094212</v>
      </c>
      <c r="P191" s="44"/>
      <c r="Q191" s="44">
        <v>7495724</v>
      </c>
      <c r="R191" s="44"/>
      <c r="S191" s="44">
        <v>0</v>
      </c>
      <c r="T191" s="44"/>
      <c r="U191" s="44">
        <v>790980</v>
      </c>
      <c r="V191" s="44"/>
      <c r="W191" s="44">
        <f t="shared" si="5"/>
        <v>27593099</v>
      </c>
      <c r="X191" s="44"/>
      <c r="Y191" s="44">
        <v>42476159</v>
      </c>
      <c r="Z191" s="44"/>
      <c r="AA191" s="44">
        <f>+'Stmt net assets'!Y191</f>
        <v>41969430</v>
      </c>
      <c r="AB191" s="44"/>
      <c r="AC191" s="44">
        <f>+Y191+'Stmt of activities-GA rev'!AC190-'Stmt of activities-GAexp'!W191-AA191</f>
        <v>0</v>
      </c>
    </row>
    <row r="192" spans="1:29" s="47" customFormat="1" ht="12.75" customHeight="1">
      <c r="A192" s="47" t="s">
        <v>222</v>
      </c>
      <c r="B192" s="51"/>
      <c r="C192" s="47" t="s">
        <v>47</v>
      </c>
      <c r="E192" s="44">
        <v>2278312</v>
      </c>
      <c r="F192" s="44"/>
      <c r="G192" s="44">
        <v>0</v>
      </c>
      <c r="H192" s="44"/>
      <c r="I192" s="44">
        <v>343283</v>
      </c>
      <c r="J192" s="44"/>
      <c r="K192" s="44">
        <v>0</v>
      </c>
      <c r="L192" s="44"/>
      <c r="M192" s="44">
        <v>1259259</v>
      </c>
      <c r="N192" s="44"/>
      <c r="O192" s="44">
        <v>245451</v>
      </c>
      <c r="P192" s="44"/>
      <c r="Q192" s="44">
        <v>1526620</v>
      </c>
      <c r="R192" s="44"/>
      <c r="S192" s="44">
        <v>0</v>
      </c>
      <c r="T192" s="44"/>
      <c r="U192" s="44">
        <v>170187</v>
      </c>
      <c r="V192" s="44"/>
      <c r="W192" s="44">
        <f t="shared" si="5"/>
        <v>5823112</v>
      </c>
      <c r="X192" s="44"/>
      <c r="Y192" s="44">
        <v>6954015</v>
      </c>
      <c r="Z192" s="44"/>
      <c r="AA192" s="44">
        <f>+'Stmt net assets'!Y192</f>
        <v>8534289</v>
      </c>
      <c r="AB192" s="44"/>
      <c r="AC192" s="44">
        <f>+Y192+'Stmt of activities-GA rev'!AC191-'Stmt of activities-GAexp'!W192-AA192</f>
        <v>0</v>
      </c>
    </row>
    <row r="193" spans="1:30" s="47" customFormat="1" ht="12.75" customHeight="1">
      <c r="A193" s="47" t="s">
        <v>223</v>
      </c>
      <c r="B193" s="51"/>
      <c r="C193" s="47" t="s">
        <v>94</v>
      </c>
      <c r="E193" s="44">
        <v>3649834</v>
      </c>
      <c r="F193" s="44"/>
      <c r="G193" s="44">
        <v>99797</v>
      </c>
      <c r="H193" s="44"/>
      <c r="I193" s="44">
        <v>516422</v>
      </c>
      <c r="J193" s="44"/>
      <c r="K193" s="44">
        <v>498173</v>
      </c>
      <c r="L193" s="44"/>
      <c r="M193" s="44">
        <v>1404361</v>
      </c>
      <c r="N193" s="44"/>
      <c r="O193" s="44">
        <v>0</v>
      </c>
      <c r="P193" s="44"/>
      <c r="Q193" s="44">
        <v>1222646</v>
      </c>
      <c r="R193" s="44"/>
      <c r="S193" s="44">
        <v>0</v>
      </c>
      <c r="T193" s="44"/>
      <c r="U193" s="44">
        <v>158193</v>
      </c>
      <c r="V193" s="44"/>
      <c r="W193" s="44">
        <f t="shared" si="5"/>
        <v>7549426</v>
      </c>
      <c r="X193" s="44"/>
      <c r="Y193" s="44">
        <v>16769976</v>
      </c>
      <c r="Z193" s="44"/>
      <c r="AA193" s="44">
        <f>+'Stmt net assets'!Y193</f>
        <v>17281317</v>
      </c>
      <c r="AB193" s="44"/>
      <c r="AC193" s="44">
        <f>+Y193+'Stmt of activities-GA rev'!AC192-'Stmt of activities-GAexp'!W193-AA193</f>
        <v>0</v>
      </c>
    </row>
    <row r="194" spans="1:30" s="47" customFormat="1" ht="12.75" customHeight="1">
      <c r="A194" s="47" t="s">
        <v>76</v>
      </c>
      <c r="B194" s="51"/>
      <c r="C194" s="47" t="s">
        <v>132</v>
      </c>
      <c r="E194" s="44">
        <f>5516364+5515869+249581</f>
        <v>11281814</v>
      </c>
      <c r="F194" s="44"/>
      <c r="G194" s="44">
        <v>329948</v>
      </c>
      <c r="H194" s="44"/>
      <c r="I194" s="44">
        <v>460013</v>
      </c>
      <c r="J194" s="44"/>
      <c r="K194" s="44">
        <v>3331774</v>
      </c>
      <c r="L194" s="44"/>
      <c r="M194" s="44">
        <v>4239588</v>
      </c>
      <c r="N194" s="44"/>
      <c r="O194" s="44">
        <v>0</v>
      </c>
      <c r="P194" s="44"/>
      <c r="Q194" s="44">
        <f>970915+3456520</f>
        <v>4427435</v>
      </c>
      <c r="R194" s="44"/>
      <c r="S194" s="44">
        <v>0</v>
      </c>
      <c r="T194" s="44"/>
      <c r="U194" s="44">
        <v>1252643</v>
      </c>
      <c r="V194" s="44"/>
      <c r="W194" s="44">
        <f t="shared" si="5"/>
        <v>25323215</v>
      </c>
      <c r="X194" s="44"/>
      <c r="Y194" s="44">
        <v>44082688</v>
      </c>
      <c r="Z194" s="44"/>
      <c r="AA194" s="44">
        <f>+'Stmt net assets'!Y194</f>
        <v>46783488</v>
      </c>
      <c r="AB194" s="44"/>
      <c r="AC194" s="44">
        <f>+Y194+'Stmt of activities-GA rev'!AC193-'Stmt of activities-GAexp'!W194-AA194</f>
        <v>0</v>
      </c>
    </row>
    <row r="195" spans="1:30" s="47" customFormat="1" ht="12.75" customHeight="1">
      <c r="A195" s="47" t="s">
        <v>224</v>
      </c>
      <c r="B195" s="51"/>
      <c r="C195" s="47" t="s">
        <v>27</v>
      </c>
      <c r="E195" s="44">
        <v>4385565</v>
      </c>
      <c r="F195" s="44"/>
      <c r="G195" s="44">
        <v>943836</v>
      </c>
      <c r="H195" s="44"/>
      <c r="I195" s="44">
        <v>1656594</v>
      </c>
      <c r="J195" s="44"/>
      <c r="K195" s="44">
        <v>691390</v>
      </c>
      <c r="L195" s="44"/>
      <c r="M195" s="44">
        <v>2404556</v>
      </c>
      <c r="N195" s="44"/>
      <c r="O195" s="44">
        <v>114526</v>
      </c>
      <c r="P195" s="44"/>
      <c r="Q195" s="44">
        <v>2383304</v>
      </c>
      <c r="R195" s="44"/>
      <c r="S195" s="44">
        <v>0</v>
      </c>
      <c r="T195" s="44"/>
      <c r="U195" s="44">
        <v>862382</v>
      </c>
      <c r="V195" s="44"/>
      <c r="W195" s="44">
        <f t="shared" si="5"/>
        <v>13442153</v>
      </c>
      <c r="X195" s="44"/>
      <c r="Y195" s="44">
        <v>15113539</v>
      </c>
      <c r="Z195" s="44"/>
      <c r="AA195" s="44">
        <f>+'Stmt net assets'!Y195</f>
        <v>12620306</v>
      </c>
      <c r="AB195" s="44"/>
      <c r="AC195" s="44">
        <f>+Y195+'Stmt of activities-GA rev'!AC194-'Stmt of activities-GAexp'!W195-AA195</f>
        <v>0</v>
      </c>
    </row>
    <row r="196" spans="1:30" s="47" customFormat="1" ht="12.75" customHeight="1">
      <c r="A196" s="47" t="s">
        <v>225</v>
      </c>
      <c r="B196" s="51"/>
      <c r="C196" s="47" t="s">
        <v>27</v>
      </c>
      <c r="E196" s="44">
        <f>13572239+7593638+753187</f>
        <v>21919064</v>
      </c>
      <c r="F196" s="44"/>
      <c r="G196" s="44">
        <v>590758</v>
      </c>
      <c r="H196" s="44"/>
      <c r="I196" s="44">
        <f>2877434+970001</f>
        <v>3847435</v>
      </c>
      <c r="J196" s="44"/>
      <c r="K196" s="44">
        <v>6381587</v>
      </c>
      <c r="L196" s="44"/>
      <c r="M196" s="44">
        <v>2923298</v>
      </c>
      <c r="N196" s="44"/>
      <c r="O196" s="44">
        <v>4737490</v>
      </c>
      <c r="P196" s="44"/>
      <c r="Q196" s="44">
        <f>4748853+2420458</f>
        <v>7169311</v>
      </c>
      <c r="R196" s="44"/>
      <c r="S196" s="44">
        <v>2913412</v>
      </c>
      <c r="T196" s="44"/>
      <c r="U196" s="44">
        <v>919281</v>
      </c>
      <c r="V196" s="44"/>
      <c r="W196" s="44">
        <f t="shared" si="5"/>
        <v>51401636</v>
      </c>
      <c r="X196" s="44"/>
      <c r="Y196" s="44">
        <v>104888297</v>
      </c>
      <c r="Z196" s="44"/>
      <c r="AA196" s="44">
        <f>+'Stmt net assets'!Y196</f>
        <v>102710056</v>
      </c>
      <c r="AB196" s="46"/>
      <c r="AC196" s="46">
        <f>+Y196+'Stmt of activities-GA rev'!AC195-'Stmt of activities-GAexp'!W196-AA196</f>
        <v>0</v>
      </c>
    </row>
    <row r="197" spans="1:30" s="47" customFormat="1" ht="12.75" customHeight="1">
      <c r="A197" s="47" t="s">
        <v>226</v>
      </c>
      <c r="B197" s="51"/>
      <c r="C197" s="47" t="s">
        <v>45</v>
      </c>
      <c r="E197" s="44">
        <v>12016995</v>
      </c>
      <c r="F197" s="44"/>
      <c r="G197" s="44">
        <v>445232</v>
      </c>
      <c r="H197" s="44"/>
      <c r="I197" s="44">
        <v>3176146</v>
      </c>
      <c r="J197" s="44"/>
      <c r="K197" s="44">
        <v>544214</v>
      </c>
      <c r="L197" s="44"/>
      <c r="M197" s="44">
        <v>2509460</v>
      </c>
      <c r="N197" s="44"/>
      <c r="O197" s="44">
        <v>466805</v>
      </c>
      <c r="P197" s="44"/>
      <c r="Q197" s="44">
        <v>3538547</v>
      </c>
      <c r="R197" s="44"/>
      <c r="S197" s="44">
        <v>0</v>
      </c>
      <c r="T197" s="44"/>
      <c r="U197" s="44">
        <v>657907</v>
      </c>
      <c r="V197" s="44"/>
      <c r="W197" s="44">
        <f t="shared" ref="W197" si="6">SUM(E197:U197)</f>
        <v>23355306</v>
      </c>
      <c r="X197" s="44"/>
      <c r="Y197" s="44">
        <v>28611525</v>
      </c>
      <c r="Z197" s="44"/>
      <c r="AA197" s="44">
        <f>+'Stmt net assets'!Y197</f>
        <v>34035484</v>
      </c>
      <c r="AB197" s="44"/>
      <c r="AC197" s="44">
        <f>+Y197+'Stmt of activities-GA rev'!AC197-'Stmt of activities-GAexp'!W197-AA197</f>
        <v>0</v>
      </c>
      <c r="AD197" s="103"/>
    </row>
    <row r="198" spans="1:30" s="46" customFormat="1" ht="12.75" customHeight="1">
      <c r="A198" s="46" t="s">
        <v>227</v>
      </c>
      <c r="B198" s="66"/>
      <c r="C198" s="46" t="s">
        <v>17</v>
      </c>
      <c r="E198" s="44">
        <v>2806099</v>
      </c>
      <c r="F198" s="44"/>
      <c r="G198" s="44">
        <v>22205</v>
      </c>
      <c r="H198" s="44"/>
      <c r="I198" s="44">
        <v>182404</v>
      </c>
      <c r="J198" s="44"/>
      <c r="K198" s="44">
        <v>139827</v>
      </c>
      <c r="L198" s="44"/>
      <c r="M198" s="44">
        <v>1501187</v>
      </c>
      <c r="N198" s="44"/>
      <c r="O198" s="44">
        <v>720625</v>
      </c>
      <c r="P198" s="44"/>
      <c r="Q198" s="44">
        <v>1220478</v>
      </c>
      <c r="R198" s="44"/>
      <c r="S198" s="44">
        <v>0</v>
      </c>
      <c r="T198" s="44"/>
      <c r="U198" s="44">
        <v>108555</v>
      </c>
      <c r="V198" s="44"/>
      <c r="W198" s="44">
        <f t="shared" ref="W198:W256" si="7">SUM(E198:U198)</f>
        <v>6701380</v>
      </c>
      <c r="X198" s="44"/>
      <c r="Y198" s="44">
        <v>15411362</v>
      </c>
      <c r="Z198" s="44"/>
      <c r="AA198" s="44">
        <f>+'Stmt net assets'!Y198</f>
        <v>15454511</v>
      </c>
      <c r="AB198" s="44"/>
      <c r="AC198" s="44">
        <f>+Y198+'Stmt of activities-GA rev'!AC198-'Stmt of activities-GAexp'!W198-AA198</f>
        <v>0</v>
      </c>
    </row>
    <row r="199" spans="1:30" s="47" customFormat="1" ht="12.75" customHeight="1">
      <c r="A199" s="47" t="s">
        <v>228</v>
      </c>
      <c r="B199" s="51"/>
      <c r="C199" s="47" t="s">
        <v>153</v>
      </c>
      <c r="E199" s="44">
        <v>3259757</v>
      </c>
      <c r="F199" s="44"/>
      <c r="G199" s="44">
        <v>285986</v>
      </c>
      <c r="H199" s="44"/>
      <c r="I199" s="44">
        <v>81926</v>
      </c>
      <c r="J199" s="44"/>
      <c r="K199" s="44">
        <v>1045972</v>
      </c>
      <c r="L199" s="44"/>
      <c r="M199" s="44">
        <v>1147815</v>
      </c>
      <c r="N199" s="44"/>
      <c r="O199" s="44">
        <v>0</v>
      </c>
      <c r="P199" s="44"/>
      <c r="Q199" s="44">
        <v>910453</v>
      </c>
      <c r="R199" s="44"/>
      <c r="S199" s="44">
        <v>42995</v>
      </c>
      <c r="T199" s="44"/>
      <c r="U199" s="44">
        <v>31637</v>
      </c>
      <c r="V199" s="44"/>
      <c r="W199" s="44">
        <f t="shared" si="7"/>
        <v>6806541</v>
      </c>
      <c r="X199" s="44"/>
      <c r="Y199" s="44">
        <v>20629253</v>
      </c>
      <c r="Z199" s="44"/>
      <c r="AA199" s="44">
        <f>+'Stmt net assets'!Y199</f>
        <v>20940805</v>
      </c>
      <c r="AB199" s="44"/>
      <c r="AC199" s="44">
        <f>+Y199+'Stmt of activities-GA rev'!AC199-'Stmt of activities-GAexp'!W199-AA199</f>
        <v>0</v>
      </c>
    </row>
    <row r="200" spans="1:30" s="47" customFormat="1" ht="12.75" customHeight="1">
      <c r="A200" s="47" t="s">
        <v>229</v>
      </c>
      <c r="B200" s="51"/>
      <c r="C200" s="47" t="s">
        <v>228</v>
      </c>
      <c r="E200" s="44">
        <f>6142034+4334589+1563723</f>
        <v>12040346</v>
      </c>
      <c r="F200" s="44"/>
      <c r="G200" s="44">
        <v>197366</v>
      </c>
      <c r="H200" s="44"/>
      <c r="I200" s="44">
        <v>1388202</v>
      </c>
      <c r="J200" s="44"/>
      <c r="K200" s="44">
        <f>920119+1108921</f>
        <v>2029040</v>
      </c>
      <c r="L200" s="44"/>
      <c r="M200" s="44">
        <v>3324839</v>
      </c>
      <c r="N200" s="44"/>
      <c r="O200" s="44">
        <v>14127</v>
      </c>
      <c r="P200" s="44"/>
      <c r="Q200" s="44">
        <v>1184075</v>
      </c>
      <c r="R200" s="44"/>
      <c r="S200" s="44">
        <v>0</v>
      </c>
      <c r="T200" s="44"/>
      <c r="U200" s="44">
        <v>353017</v>
      </c>
      <c r="V200" s="44"/>
      <c r="W200" s="44">
        <f t="shared" si="7"/>
        <v>20531012</v>
      </c>
      <c r="X200" s="44"/>
      <c r="Y200" s="44">
        <v>55169205</v>
      </c>
      <c r="Z200" s="44"/>
      <c r="AA200" s="44">
        <f>+'Stmt net assets'!Y200</f>
        <v>54983310</v>
      </c>
      <c r="AB200" s="44"/>
      <c r="AC200" s="44">
        <f>+Y200+'Stmt of activities-GA rev'!AC200-'Stmt of activities-GAexp'!W200-AA200</f>
        <v>0</v>
      </c>
    </row>
    <row r="201" spans="1:30" s="47" customFormat="1" ht="12.75" customHeight="1">
      <c r="A201" s="47" t="s">
        <v>230</v>
      </c>
      <c r="B201" s="51"/>
      <c r="C201" s="47" t="s">
        <v>45</v>
      </c>
      <c r="E201" s="44">
        <v>1391035</v>
      </c>
      <c r="F201" s="44"/>
      <c r="G201" s="44">
        <v>5076</v>
      </c>
      <c r="H201" s="44"/>
      <c r="I201" s="44">
        <v>59756</v>
      </c>
      <c r="J201" s="44"/>
      <c r="K201" s="44">
        <v>490992</v>
      </c>
      <c r="L201" s="44"/>
      <c r="M201" s="44">
        <v>623874</v>
      </c>
      <c r="N201" s="44"/>
      <c r="O201" s="44">
        <v>0</v>
      </c>
      <c r="P201" s="44"/>
      <c r="Q201" s="44">
        <v>844658</v>
      </c>
      <c r="R201" s="44"/>
      <c r="S201" s="44">
        <v>0</v>
      </c>
      <c r="T201" s="44"/>
      <c r="U201" s="44">
        <v>52781</v>
      </c>
      <c r="V201" s="44"/>
      <c r="W201" s="44">
        <f t="shared" si="7"/>
        <v>3468172</v>
      </c>
      <c r="X201" s="44"/>
      <c r="Y201" s="44">
        <v>5145765</v>
      </c>
      <c r="Z201" s="44"/>
      <c r="AA201" s="44">
        <f>+'Stmt net assets'!Y201</f>
        <v>5624805</v>
      </c>
      <c r="AB201" s="44"/>
      <c r="AC201" s="44">
        <f>+Y201+'Stmt of activities-GA rev'!AC201-'Stmt of activities-GAexp'!W201-AA201</f>
        <v>0</v>
      </c>
    </row>
    <row r="202" spans="1:30" s="47" customFormat="1" ht="12.75" customHeight="1">
      <c r="A202" s="47" t="s">
        <v>231</v>
      </c>
      <c r="B202" s="51"/>
      <c r="C202" s="47" t="s">
        <v>27</v>
      </c>
      <c r="E202" s="44">
        <f>8673149+8075434+255132</f>
        <v>17003715</v>
      </c>
      <c r="F202" s="44"/>
      <c r="G202" s="44">
        <v>81915</v>
      </c>
      <c r="H202" s="44"/>
      <c r="I202" s="44">
        <v>6347442</v>
      </c>
      <c r="J202" s="44"/>
      <c r="K202" s="44">
        <v>2994824</v>
      </c>
      <c r="L202" s="44"/>
      <c r="M202" s="44">
        <v>10227176</v>
      </c>
      <c r="N202" s="44"/>
      <c r="O202" s="44">
        <v>2758637</v>
      </c>
      <c r="P202" s="44"/>
      <c r="Q202" s="44">
        <v>4592923</v>
      </c>
      <c r="R202" s="44"/>
      <c r="S202" s="44">
        <v>0</v>
      </c>
      <c r="T202" s="44"/>
      <c r="U202" s="44">
        <v>641829</v>
      </c>
      <c r="V202" s="44"/>
      <c r="W202" s="44">
        <f t="shared" si="7"/>
        <v>44648461</v>
      </c>
      <c r="X202" s="44"/>
      <c r="Y202" s="44">
        <v>136802977</v>
      </c>
      <c r="Z202" s="44"/>
      <c r="AA202" s="44">
        <f>+'Stmt net assets'!Y202</f>
        <v>143606056</v>
      </c>
      <c r="AB202" s="44"/>
      <c r="AC202" s="44">
        <f>+Y202+'Stmt of activities-GA rev'!AC202-'Stmt of activities-GAexp'!W202-AA202</f>
        <v>0</v>
      </c>
    </row>
    <row r="203" spans="1:30" s="47" customFormat="1" ht="12.75" customHeight="1">
      <c r="A203" s="47" t="s">
        <v>232</v>
      </c>
      <c r="B203" s="51"/>
      <c r="C203" s="47" t="s">
        <v>27</v>
      </c>
      <c r="E203" s="44">
        <f>5341130+4354968</f>
        <v>9696098</v>
      </c>
      <c r="F203" s="44"/>
      <c r="G203" s="44">
        <v>127799</v>
      </c>
      <c r="H203" s="44"/>
      <c r="I203" s="44">
        <v>368780</v>
      </c>
      <c r="J203" s="44"/>
      <c r="K203" s="44">
        <v>215342</v>
      </c>
      <c r="L203" s="44"/>
      <c r="M203" s="44">
        <v>2945127</v>
      </c>
      <c r="N203" s="44"/>
      <c r="O203" s="44">
        <v>3282291</v>
      </c>
      <c r="P203" s="44"/>
      <c r="Q203" s="44">
        <f>2388528+528283</f>
        <v>2916811</v>
      </c>
      <c r="R203" s="44"/>
      <c r="S203" s="44">
        <f>654922+339938</f>
        <v>994860</v>
      </c>
      <c r="T203" s="44"/>
      <c r="U203" s="44">
        <v>920508</v>
      </c>
      <c r="V203" s="44"/>
      <c r="W203" s="44">
        <f t="shared" si="7"/>
        <v>21467616</v>
      </c>
      <c r="X203" s="44"/>
      <c r="Y203" s="44">
        <v>45895188</v>
      </c>
      <c r="Z203" s="44"/>
      <c r="AA203" s="44">
        <f>+'Stmt net assets'!Y203</f>
        <v>48558985</v>
      </c>
      <c r="AB203" s="44"/>
      <c r="AC203" s="44">
        <f>+Y203+'Stmt of activities-GA rev'!AC203-'Stmt of activities-GAexp'!W203-AA203</f>
        <v>0</v>
      </c>
    </row>
    <row r="204" spans="1:30" s="47" customFormat="1" ht="12.75" customHeight="1">
      <c r="A204" s="47" t="s">
        <v>233</v>
      </c>
      <c r="B204" s="51"/>
      <c r="C204" s="47" t="s">
        <v>111</v>
      </c>
      <c r="E204" s="44">
        <v>3103506</v>
      </c>
      <c r="F204" s="44"/>
      <c r="G204" s="44">
        <v>15066</v>
      </c>
      <c r="H204" s="44"/>
      <c r="I204" s="44">
        <v>571511</v>
      </c>
      <c r="J204" s="44"/>
      <c r="K204" s="44">
        <v>649925</v>
      </c>
      <c r="L204" s="44"/>
      <c r="M204" s="44">
        <v>2375477</v>
      </c>
      <c r="N204" s="44"/>
      <c r="O204" s="44">
        <v>0</v>
      </c>
      <c r="P204" s="44"/>
      <c r="Q204" s="44">
        <v>4960892</v>
      </c>
      <c r="R204" s="44"/>
      <c r="S204" s="44">
        <v>0</v>
      </c>
      <c r="T204" s="44"/>
      <c r="U204" s="44">
        <v>740529</v>
      </c>
      <c r="V204" s="44"/>
      <c r="W204" s="44">
        <f t="shared" si="7"/>
        <v>12416906</v>
      </c>
      <c r="X204" s="44"/>
      <c r="Y204" s="44">
        <v>50257061</v>
      </c>
      <c r="Z204" s="44"/>
      <c r="AA204" s="44">
        <f>+'Stmt net assets'!Y204</f>
        <v>53589985</v>
      </c>
      <c r="AB204" s="44"/>
      <c r="AC204" s="44">
        <f>+Y204+'Stmt of activities-GA rev'!AC204-'Stmt of activities-GAexp'!W204-AA204</f>
        <v>0</v>
      </c>
    </row>
    <row r="205" spans="1:30" s="47" customFormat="1" ht="12.75" customHeight="1">
      <c r="A205" s="47" t="s">
        <v>234</v>
      </c>
      <c r="B205" s="51"/>
      <c r="C205" s="47" t="s">
        <v>45</v>
      </c>
      <c r="E205" s="44">
        <v>8810920</v>
      </c>
      <c r="F205" s="44"/>
      <c r="G205" s="44">
        <v>374702</v>
      </c>
      <c r="H205" s="44"/>
      <c r="I205" s="44">
        <v>1861704</v>
      </c>
      <c r="J205" s="44"/>
      <c r="K205" s="44">
        <v>692697</v>
      </c>
      <c r="L205" s="44"/>
      <c r="M205" s="44">
        <v>2690404</v>
      </c>
      <c r="N205" s="44"/>
      <c r="O205" s="44">
        <v>0</v>
      </c>
      <c r="P205" s="44"/>
      <c r="Q205" s="44">
        <v>5393872</v>
      </c>
      <c r="R205" s="44"/>
      <c r="S205" s="44">
        <v>0</v>
      </c>
      <c r="T205" s="44"/>
      <c r="U205" s="44">
        <v>300536</v>
      </c>
      <c r="V205" s="44"/>
      <c r="W205" s="44">
        <f t="shared" si="7"/>
        <v>20124835</v>
      </c>
      <c r="X205" s="44"/>
      <c r="Y205" s="44">
        <v>49576939</v>
      </c>
      <c r="Z205" s="44"/>
      <c r="AA205" s="44">
        <f>+'Stmt net assets'!Y205</f>
        <v>48155144</v>
      </c>
      <c r="AB205" s="44"/>
      <c r="AC205" s="44">
        <f>+Y205+'Stmt of activities-GA rev'!AC205-'Stmt of activities-GAexp'!W205-AA205</f>
        <v>0</v>
      </c>
      <c r="AD205" s="44"/>
    </row>
    <row r="206" spans="1:30" s="47" customFormat="1" ht="12.75" customHeight="1">
      <c r="A206" s="47" t="s">
        <v>235</v>
      </c>
      <c r="C206" s="47" t="s">
        <v>183</v>
      </c>
      <c r="E206" s="44">
        <v>29521479</v>
      </c>
      <c r="F206" s="44"/>
      <c r="G206" s="44">
        <v>141820</v>
      </c>
      <c r="H206" s="44"/>
      <c r="I206" s="44">
        <v>2498251</v>
      </c>
      <c r="J206" s="44"/>
      <c r="K206" s="44">
        <v>13548798</v>
      </c>
      <c r="L206" s="44"/>
      <c r="M206" s="44">
        <v>9995650</v>
      </c>
      <c r="N206" s="44"/>
      <c r="O206" s="44">
        <v>220702</v>
      </c>
      <c r="P206" s="44"/>
      <c r="Q206" s="44">
        <v>11073277</v>
      </c>
      <c r="R206" s="44"/>
      <c r="S206" s="44">
        <v>0</v>
      </c>
      <c r="T206" s="44"/>
      <c r="U206" s="44">
        <v>444889</v>
      </c>
      <c r="V206" s="44"/>
      <c r="W206" s="44">
        <f t="shared" si="7"/>
        <v>67444866</v>
      </c>
      <c r="X206" s="44"/>
      <c r="Y206" s="44">
        <v>101404583</v>
      </c>
      <c r="Z206" s="44"/>
      <c r="AA206" s="44">
        <f>+'Stmt net assets'!Y206</f>
        <v>100855196</v>
      </c>
      <c r="AB206" s="44"/>
      <c r="AC206" s="44">
        <f>+Y206+'Stmt of activities-GA rev'!AC206-'Stmt of activities-GAexp'!W206-AA206</f>
        <v>0</v>
      </c>
      <c r="AD206" s="44"/>
    </row>
    <row r="207" spans="1:30" s="47" customFormat="1" ht="12.75" customHeight="1">
      <c r="A207" s="47" t="s">
        <v>236</v>
      </c>
      <c r="B207" s="51"/>
      <c r="C207" s="47" t="s">
        <v>45</v>
      </c>
      <c r="E207" s="44">
        <v>5015629</v>
      </c>
      <c r="F207" s="44"/>
      <c r="G207" s="44">
        <v>248466</v>
      </c>
      <c r="H207" s="44"/>
      <c r="I207" s="44">
        <v>486123</v>
      </c>
      <c r="J207" s="44"/>
      <c r="K207" s="44">
        <v>14862</v>
      </c>
      <c r="L207" s="44"/>
      <c r="M207" s="44">
        <v>1253371</v>
      </c>
      <c r="N207" s="44"/>
      <c r="O207" s="44">
        <v>1779</v>
      </c>
      <c r="P207" s="44"/>
      <c r="Q207" s="44">
        <v>4641065</v>
      </c>
      <c r="R207" s="44"/>
      <c r="S207" s="44">
        <v>1348964</v>
      </c>
      <c r="T207" s="44"/>
      <c r="U207" s="44">
        <v>74909</v>
      </c>
      <c r="V207" s="44"/>
      <c r="W207" s="44">
        <f t="shared" si="7"/>
        <v>13085168</v>
      </c>
      <c r="X207" s="44"/>
      <c r="Y207" s="44">
        <v>24060229</v>
      </c>
      <c r="Z207" s="44"/>
      <c r="AA207" s="44">
        <f>+'Stmt net assets'!Y207</f>
        <v>24329349</v>
      </c>
      <c r="AB207" s="44"/>
      <c r="AC207" s="44">
        <f>+Y207+'Stmt of activities-GA rev'!AC207-'Stmt of activities-GAexp'!W207-AA207</f>
        <v>0</v>
      </c>
      <c r="AD207" s="44"/>
    </row>
    <row r="208" spans="1:30" s="47" customFormat="1" ht="12.75" customHeight="1">
      <c r="A208" s="47" t="s">
        <v>237</v>
      </c>
      <c r="B208" s="51"/>
      <c r="C208" s="47" t="s">
        <v>33</v>
      </c>
      <c r="E208" s="44">
        <v>991581</v>
      </c>
      <c r="F208" s="44"/>
      <c r="G208" s="44">
        <v>16197</v>
      </c>
      <c r="H208" s="44"/>
      <c r="I208" s="44">
        <v>433133</v>
      </c>
      <c r="J208" s="44"/>
      <c r="K208" s="44">
        <v>255985</v>
      </c>
      <c r="L208" s="44"/>
      <c r="M208" s="44">
        <v>635719</v>
      </c>
      <c r="N208" s="44"/>
      <c r="O208" s="44">
        <v>0</v>
      </c>
      <c r="P208" s="44"/>
      <c r="Q208" s="44">
        <v>295458</v>
      </c>
      <c r="R208" s="44"/>
      <c r="S208" s="44">
        <v>0</v>
      </c>
      <c r="T208" s="44"/>
      <c r="U208" s="44">
        <v>48232</v>
      </c>
      <c r="V208" s="44"/>
      <c r="W208" s="44">
        <f t="shared" si="7"/>
        <v>2676305</v>
      </c>
      <c r="X208" s="44"/>
      <c r="Y208" s="44">
        <v>7677893</v>
      </c>
      <c r="Z208" s="44"/>
      <c r="AA208" s="44">
        <f>+'Stmt net assets'!Y208</f>
        <v>7768261</v>
      </c>
      <c r="AB208" s="44"/>
      <c r="AC208" s="44">
        <f>+Y208+'Stmt of activities-GA rev'!AC208-'Stmt of activities-GAexp'!W208-AA208</f>
        <v>0</v>
      </c>
    </row>
    <row r="209" spans="1:29" s="47" customFormat="1" ht="12.75" customHeight="1">
      <c r="A209" s="47" t="s">
        <v>238</v>
      </c>
      <c r="B209" s="51"/>
      <c r="C209" s="47" t="s">
        <v>239</v>
      </c>
      <c r="E209" s="44">
        <v>3285227</v>
      </c>
      <c r="F209" s="44"/>
      <c r="G209" s="44">
        <v>27952</v>
      </c>
      <c r="H209" s="44"/>
      <c r="I209" s="44">
        <v>338650</v>
      </c>
      <c r="J209" s="44"/>
      <c r="K209" s="44">
        <v>240568</v>
      </c>
      <c r="L209" s="44"/>
      <c r="M209" s="44">
        <v>1889748</v>
      </c>
      <c r="N209" s="44"/>
      <c r="O209" s="44">
        <v>0</v>
      </c>
      <c r="P209" s="44"/>
      <c r="Q209" s="44">
        <v>1091310</v>
      </c>
      <c r="R209" s="44"/>
      <c r="S209" s="44">
        <v>0</v>
      </c>
      <c r="T209" s="44"/>
      <c r="U209" s="44">
        <v>19012</v>
      </c>
      <c r="V209" s="44"/>
      <c r="W209" s="44">
        <f t="shared" si="7"/>
        <v>6892467</v>
      </c>
      <c r="X209" s="44"/>
      <c r="Y209" s="44">
        <v>33361613</v>
      </c>
      <c r="Z209" s="44"/>
      <c r="AA209" s="44">
        <f>+'Stmt net assets'!Y209</f>
        <v>33566682</v>
      </c>
      <c r="AB209" s="44"/>
      <c r="AC209" s="44">
        <f>+Y209+'Stmt of activities-GA rev'!AC209-'Stmt of activities-GAexp'!W209-AA209</f>
        <v>0</v>
      </c>
    </row>
    <row r="210" spans="1:29" s="47" customFormat="1" ht="12.75" customHeight="1">
      <c r="A210" s="47" t="s">
        <v>486</v>
      </c>
      <c r="B210" s="51"/>
      <c r="C210" s="47" t="s">
        <v>249</v>
      </c>
      <c r="E210" s="44">
        <v>7306577</v>
      </c>
      <c r="F210" s="44"/>
      <c r="G210" s="44">
        <v>676872</v>
      </c>
      <c r="H210" s="44"/>
      <c r="I210" s="44">
        <v>952104</v>
      </c>
      <c r="J210" s="44"/>
      <c r="K210" s="44">
        <v>1306035</v>
      </c>
      <c r="L210" s="44"/>
      <c r="M210" s="44">
        <v>3109896</v>
      </c>
      <c r="N210" s="44"/>
      <c r="O210" s="44">
        <v>0</v>
      </c>
      <c r="P210" s="44"/>
      <c r="Q210" s="44">
        <v>2911400</v>
      </c>
      <c r="R210" s="44"/>
      <c r="S210" s="44">
        <v>0</v>
      </c>
      <c r="T210" s="44"/>
      <c r="U210" s="44">
        <v>262986</v>
      </c>
      <c r="V210" s="44"/>
      <c r="W210" s="44">
        <f t="shared" si="7"/>
        <v>16525870</v>
      </c>
      <c r="X210" s="44"/>
      <c r="Y210" s="44">
        <v>27271307</v>
      </c>
      <c r="Z210" s="44"/>
      <c r="AA210" s="44">
        <f>+'Stmt net assets'!Y210</f>
        <v>32984498</v>
      </c>
      <c r="AB210" s="44"/>
      <c r="AC210" s="44">
        <f>+Y210+'Stmt of activities-GA rev'!AC210-'Stmt of activities-GAexp'!W210-AA210</f>
        <v>0</v>
      </c>
    </row>
    <row r="211" spans="1:29" s="47" customFormat="1" ht="12.75" customHeight="1">
      <c r="A211" s="47" t="s">
        <v>240</v>
      </c>
      <c r="B211" s="51"/>
      <c r="C211" s="47" t="s">
        <v>13</v>
      </c>
      <c r="E211" s="44">
        <v>14199929</v>
      </c>
      <c r="F211" s="44"/>
      <c r="G211" s="44">
        <v>445503</v>
      </c>
      <c r="H211" s="44"/>
      <c r="I211" s="44">
        <v>1867648</v>
      </c>
      <c r="J211" s="44"/>
      <c r="K211" s="44">
        <v>686144</v>
      </c>
      <c r="L211" s="44"/>
      <c r="M211" s="44">
        <v>5165638</v>
      </c>
      <c r="N211" s="44"/>
      <c r="O211" s="44">
        <v>0</v>
      </c>
      <c r="P211" s="44"/>
      <c r="Q211" s="44">
        <v>8737033</v>
      </c>
      <c r="R211" s="44"/>
      <c r="S211" s="44">
        <v>0</v>
      </c>
      <c r="T211" s="44"/>
      <c r="U211" s="44">
        <v>889212</v>
      </c>
      <c r="V211" s="44"/>
      <c r="W211" s="44">
        <f t="shared" si="7"/>
        <v>31991107</v>
      </c>
      <c r="X211" s="44"/>
      <c r="Y211" s="44">
        <v>48286143</v>
      </c>
      <c r="Z211" s="44"/>
      <c r="AA211" s="44">
        <f>+'Stmt net assets'!Y211</f>
        <v>52396337</v>
      </c>
      <c r="AB211" s="44"/>
      <c r="AC211" s="44">
        <f>+Y211+'Stmt of activities-GA rev'!AC211-'Stmt of activities-GAexp'!W211-AA211</f>
        <v>0</v>
      </c>
    </row>
    <row r="212" spans="1:29" s="47" customFormat="1" ht="12.75" customHeight="1">
      <c r="A212" s="47" t="s">
        <v>241</v>
      </c>
      <c r="B212" s="51"/>
      <c r="C212" s="47" t="s">
        <v>22</v>
      </c>
      <c r="E212" s="44">
        <v>6455779</v>
      </c>
      <c r="F212" s="44"/>
      <c r="G212" s="44">
        <v>37842</v>
      </c>
      <c r="H212" s="44"/>
      <c r="I212" s="44">
        <v>562073</v>
      </c>
      <c r="J212" s="44"/>
      <c r="K212" s="44">
        <f>654960+300</f>
        <v>655260</v>
      </c>
      <c r="L212" s="44"/>
      <c r="M212" s="44">
        <v>1267637</v>
      </c>
      <c r="N212" s="44"/>
      <c r="O212" s="44">
        <v>911716</v>
      </c>
      <c r="P212" s="44"/>
      <c r="Q212" s="44">
        <v>2647760</v>
      </c>
      <c r="R212" s="44"/>
      <c r="S212" s="44">
        <v>0</v>
      </c>
      <c r="T212" s="44"/>
      <c r="U212" s="44">
        <v>117852</v>
      </c>
      <c r="V212" s="44"/>
      <c r="W212" s="44">
        <f t="shared" si="7"/>
        <v>12655919</v>
      </c>
      <c r="X212" s="44"/>
      <c r="Y212" s="44">
        <v>12505248</v>
      </c>
      <c r="Z212" s="44"/>
      <c r="AA212" s="44">
        <f>+'Stmt net assets'!Y212</f>
        <v>15901798</v>
      </c>
      <c r="AB212" s="44"/>
      <c r="AC212" s="44">
        <f>+Y212+'Stmt of activities-GA rev'!AC212-'Stmt of activities-GAexp'!W212-AA212</f>
        <v>0</v>
      </c>
    </row>
    <row r="213" spans="1:29" s="47" customFormat="1" ht="12.75" customHeight="1">
      <c r="A213" s="47" t="s">
        <v>242</v>
      </c>
      <c r="B213" s="51"/>
      <c r="C213" s="47" t="s">
        <v>27</v>
      </c>
      <c r="E213" s="44">
        <v>19977428</v>
      </c>
      <c r="F213" s="44"/>
      <c r="G213" s="44">
        <v>576471</v>
      </c>
      <c r="H213" s="44"/>
      <c r="I213" s="44">
        <v>5765092</v>
      </c>
      <c r="J213" s="44"/>
      <c r="K213" s="44">
        <v>1160407</v>
      </c>
      <c r="L213" s="44"/>
      <c r="M213" s="44">
        <v>19202006</v>
      </c>
      <c r="N213" s="44"/>
      <c r="O213" s="44">
        <v>2552751</v>
      </c>
      <c r="P213" s="44"/>
      <c r="Q213" s="44">
        <v>6269187</v>
      </c>
      <c r="R213" s="44"/>
      <c r="S213" s="44">
        <v>0</v>
      </c>
      <c r="T213" s="44"/>
      <c r="U213" s="44">
        <v>2693920</v>
      </c>
      <c r="V213" s="44"/>
      <c r="W213" s="44">
        <f t="shared" si="7"/>
        <v>58197262</v>
      </c>
      <c r="X213" s="44"/>
      <c r="Y213" s="44">
        <v>163304646</v>
      </c>
      <c r="Z213" s="44"/>
      <c r="AA213" s="44">
        <f>+'Stmt net assets'!Y213</f>
        <v>160428842</v>
      </c>
      <c r="AB213" s="44"/>
      <c r="AC213" s="44">
        <f>+Y213+'Stmt of activities-GA rev'!AC213-'Stmt of activities-GAexp'!W213-AA213</f>
        <v>0</v>
      </c>
    </row>
    <row r="214" spans="1:29" s="47" customFormat="1" ht="12.75" customHeight="1">
      <c r="A214" s="47" t="s">
        <v>243</v>
      </c>
      <c r="B214" s="51"/>
      <c r="C214" s="47" t="s">
        <v>163</v>
      </c>
      <c r="E214" s="44">
        <v>6870168</v>
      </c>
      <c r="F214" s="44"/>
      <c r="G214" s="44">
        <v>262233</v>
      </c>
      <c r="H214" s="44"/>
      <c r="I214" s="44">
        <v>1126588</v>
      </c>
      <c r="J214" s="44"/>
      <c r="K214" s="44">
        <v>848237</v>
      </c>
      <c r="L214" s="44"/>
      <c r="M214" s="44">
        <v>3488394</v>
      </c>
      <c r="N214" s="44"/>
      <c r="O214" s="44">
        <v>1241239</v>
      </c>
      <c r="P214" s="44"/>
      <c r="Q214" s="44">
        <v>5958653</v>
      </c>
      <c r="R214" s="44"/>
      <c r="S214" s="44">
        <v>0</v>
      </c>
      <c r="T214" s="44"/>
      <c r="U214" s="44">
        <v>595674</v>
      </c>
      <c r="V214" s="44"/>
      <c r="W214" s="44">
        <f t="shared" si="7"/>
        <v>20391186</v>
      </c>
      <c r="X214" s="44"/>
      <c r="Y214" s="44">
        <v>42728151</v>
      </c>
      <c r="Z214" s="44"/>
      <c r="AA214" s="44">
        <f>+'Stmt net assets'!Y214</f>
        <v>38699618</v>
      </c>
      <c r="AB214" s="44"/>
      <c r="AC214" s="44">
        <f>+Y214+'Stmt of activities-GA rev'!AC214-'Stmt of activities-GAexp'!W214-AA214</f>
        <v>0</v>
      </c>
    </row>
    <row r="215" spans="1:29" s="47" customFormat="1" ht="12.75" customHeight="1">
      <c r="A215" s="47" t="s">
        <v>244</v>
      </c>
      <c r="B215" s="51"/>
      <c r="C215" s="47" t="s">
        <v>13</v>
      </c>
      <c r="E215" s="44">
        <f>3707305+33874+2633358</f>
        <v>6374537</v>
      </c>
      <c r="F215" s="44"/>
      <c r="G215" s="44">
        <v>67526</v>
      </c>
      <c r="H215" s="44"/>
      <c r="I215" s="44">
        <v>2066476</v>
      </c>
      <c r="J215" s="44"/>
      <c r="K215" s="44">
        <v>313757</v>
      </c>
      <c r="L215" s="44"/>
      <c r="M215" s="44">
        <v>3132926</v>
      </c>
      <c r="N215" s="44"/>
      <c r="O215" s="44">
        <v>0</v>
      </c>
      <c r="P215" s="44"/>
      <c r="Q215" s="44">
        <v>3075749</v>
      </c>
      <c r="R215" s="44"/>
      <c r="S215" s="44">
        <v>0</v>
      </c>
      <c r="T215" s="44"/>
      <c r="U215" s="44">
        <v>455252</v>
      </c>
      <c r="V215" s="44"/>
      <c r="W215" s="44">
        <f t="shared" si="7"/>
        <v>15486223</v>
      </c>
      <c r="X215" s="44"/>
      <c r="Y215" s="44">
        <v>22848210</v>
      </c>
      <c r="Z215" s="44"/>
      <c r="AA215" s="44">
        <f>+'Stmt net assets'!Y215</f>
        <v>24342914</v>
      </c>
      <c r="AB215" s="44"/>
      <c r="AC215" s="44">
        <f>+Y215+'Stmt of activities-GA rev'!AC215-'Stmt of activities-GAexp'!W215-AA215</f>
        <v>0</v>
      </c>
    </row>
    <row r="216" spans="1:29" s="47" customFormat="1" ht="13.5" customHeight="1">
      <c r="A216" s="47" t="s">
        <v>245</v>
      </c>
      <c r="B216" s="51"/>
      <c r="C216" s="47" t="s">
        <v>110</v>
      </c>
      <c r="E216" s="44">
        <v>7032402</v>
      </c>
      <c r="F216" s="44"/>
      <c r="G216" s="44">
        <v>8446</v>
      </c>
      <c r="H216" s="44"/>
      <c r="I216" s="44">
        <v>477556</v>
      </c>
      <c r="J216" s="44"/>
      <c r="K216" s="44">
        <v>775632</v>
      </c>
      <c r="L216" s="44"/>
      <c r="M216" s="44">
        <v>1484215</v>
      </c>
      <c r="N216" s="44"/>
      <c r="O216" s="44">
        <v>0</v>
      </c>
      <c r="P216" s="44"/>
      <c r="Q216" s="44">
        <v>2646475</v>
      </c>
      <c r="R216" s="44"/>
      <c r="S216" s="44">
        <f>4624+223126+2570</f>
        <v>230320</v>
      </c>
      <c r="T216" s="44"/>
      <c r="U216" s="44">
        <v>92615</v>
      </c>
      <c r="V216" s="44"/>
      <c r="W216" s="44">
        <f t="shared" si="7"/>
        <v>12747661</v>
      </c>
      <c r="X216" s="44"/>
      <c r="Y216" s="44">
        <v>25654459</v>
      </c>
      <c r="Z216" s="44"/>
      <c r="AA216" s="44">
        <f>+'Stmt net assets'!Y216</f>
        <v>27342728</v>
      </c>
      <c r="AB216" s="44"/>
      <c r="AC216" s="44">
        <f>+Y216+'Stmt of activities-GA rev'!AC216-'Stmt of activities-GAexp'!W216-AA216</f>
        <v>0</v>
      </c>
    </row>
    <row r="217" spans="1:29" s="47" customFormat="1" ht="12.75" customHeight="1">
      <c r="A217" s="47" t="s">
        <v>246</v>
      </c>
      <c r="B217" s="51"/>
      <c r="C217" s="47" t="s">
        <v>209</v>
      </c>
      <c r="E217" s="44">
        <v>3191455</v>
      </c>
      <c r="F217" s="44"/>
      <c r="G217" s="44">
        <v>0</v>
      </c>
      <c r="H217" s="44"/>
      <c r="I217" s="44">
        <v>1115986</v>
      </c>
      <c r="J217" s="44"/>
      <c r="K217" s="44">
        <v>240229</v>
      </c>
      <c r="L217" s="44"/>
      <c r="M217" s="44">
        <v>1420915</v>
      </c>
      <c r="N217" s="44"/>
      <c r="O217" s="44">
        <v>209396</v>
      </c>
      <c r="P217" s="44"/>
      <c r="Q217" s="44">
        <v>1552036</v>
      </c>
      <c r="R217" s="44"/>
      <c r="S217" s="44">
        <v>0</v>
      </c>
      <c r="T217" s="44"/>
      <c r="U217" s="44">
        <v>195839</v>
      </c>
      <c r="V217" s="44"/>
      <c r="W217" s="44">
        <f t="shared" si="7"/>
        <v>7925856</v>
      </c>
      <c r="X217" s="44"/>
      <c r="Y217" s="44">
        <v>40220948</v>
      </c>
      <c r="Z217" s="44"/>
      <c r="AA217" s="44">
        <f>+'Stmt net assets'!Y217</f>
        <v>40499589</v>
      </c>
      <c r="AB217" s="44"/>
      <c r="AC217" s="44">
        <f>+Y217+'Stmt of activities-GA rev'!AC217-'Stmt of activities-GAexp'!W217-AA217</f>
        <v>0</v>
      </c>
    </row>
    <row r="218" spans="1:29" s="47" customFormat="1" ht="12.75" customHeight="1">
      <c r="A218" s="47" t="s">
        <v>247</v>
      </c>
      <c r="C218" s="47" t="s">
        <v>163</v>
      </c>
      <c r="E218" s="44">
        <v>165623000</v>
      </c>
      <c r="F218" s="44"/>
      <c r="G218" s="44">
        <v>17155000</v>
      </c>
      <c r="H218" s="44"/>
      <c r="I218" s="44">
        <v>2097000</v>
      </c>
      <c r="J218" s="44"/>
      <c r="K218" s="44">
        <v>33662000</v>
      </c>
      <c r="L218" s="44"/>
      <c r="M218" s="44">
        <v>31730000</v>
      </c>
      <c r="N218" s="44"/>
      <c r="O218" s="44">
        <v>86000</v>
      </c>
      <c r="P218" s="44"/>
      <c r="Q218" s="44">
        <v>46562000</v>
      </c>
      <c r="R218" s="44"/>
      <c r="S218" s="44">
        <v>0</v>
      </c>
      <c r="T218" s="44"/>
      <c r="U218" s="44">
        <v>11359000</v>
      </c>
      <c r="V218" s="44"/>
      <c r="W218" s="44">
        <f t="shared" si="7"/>
        <v>308274000</v>
      </c>
      <c r="X218" s="44"/>
      <c r="Y218" s="44">
        <v>415212000</v>
      </c>
      <c r="Z218" s="44"/>
      <c r="AA218" s="44">
        <f>+'Stmt net assets'!Y218</f>
        <v>408988000</v>
      </c>
      <c r="AB218" s="44"/>
      <c r="AC218" s="44">
        <f>+Y218+'Stmt of activities-GA rev'!AC218-'Stmt of activities-GAexp'!W218-AA218</f>
        <v>0</v>
      </c>
    </row>
    <row r="219" spans="1:29" s="44" customFormat="1" ht="12.75" customHeight="1">
      <c r="A219" s="47" t="s">
        <v>248</v>
      </c>
      <c r="B219" s="51"/>
      <c r="C219" s="47" t="s">
        <v>249</v>
      </c>
      <c r="D219" s="47"/>
      <c r="E219" s="44">
        <v>1665376</v>
      </c>
      <c r="G219" s="44">
        <v>32748</v>
      </c>
      <c r="I219" s="44">
        <v>258693</v>
      </c>
      <c r="K219" s="44">
        <v>342797</v>
      </c>
      <c r="M219" s="44">
        <v>551988</v>
      </c>
      <c r="O219" s="44">
        <v>0</v>
      </c>
      <c r="Q219" s="44">
        <v>530213</v>
      </c>
      <c r="S219" s="44">
        <v>0</v>
      </c>
      <c r="U219" s="44">
        <v>12158</v>
      </c>
      <c r="W219" s="44">
        <f t="shared" si="7"/>
        <v>3393973</v>
      </c>
      <c r="Y219" s="44">
        <v>5915932</v>
      </c>
      <c r="AA219" s="44">
        <f>+'Stmt net assets'!Y219</f>
        <v>5365108</v>
      </c>
      <c r="AC219" s="44">
        <f>+Y219+'Stmt of activities-GA rev'!AC219-'Stmt of activities-GAexp'!W219-AA219</f>
        <v>0</v>
      </c>
    </row>
    <row r="220" spans="1:29" s="47" customFormat="1" ht="12.75" customHeight="1">
      <c r="A220" s="47" t="s">
        <v>250</v>
      </c>
      <c r="B220" s="51"/>
      <c r="C220" s="47" t="s">
        <v>103</v>
      </c>
      <c r="E220" s="44">
        <v>2531115</v>
      </c>
      <c r="F220" s="44"/>
      <c r="G220" s="44">
        <v>59001</v>
      </c>
      <c r="H220" s="44"/>
      <c r="I220" s="44">
        <v>112834</v>
      </c>
      <c r="J220" s="44"/>
      <c r="K220" s="44">
        <v>183695</v>
      </c>
      <c r="L220" s="44"/>
      <c r="M220" s="44">
        <v>1215914</v>
      </c>
      <c r="N220" s="44"/>
      <c r="O220" s="44">
        <v>0</v>
      </c>
      <c r="P220" s="44"/>
      <c r="Q220" s="44">
        <v>318248</v>
      </c>
      <c r="R220" s="44"/>
      <c r="S220" s="44">
        <v>51814</v>
      </c>
      <c r="T220" s="44"/>
      <c r="U220" s="44">
        <v>16841</v>
      </c>
      <c r="V220" s="44"/>
      <c r="W220" s="44">
        <f t="shared" si="7"/>
        <v>4489462</v>
      </c>
      <c r="X220" s="44"/>
      <c r="Y220" s="44">
        <v>6063231</v>
      </c>
      <c r="Z220" s="44"/>
      <c r="AA220" s="44">
        <f>+'Stmt net assets'!Y220</f>
        <v>6624065</v>
      </c>
      <c r="AB220" s="44"/>
      <c r="AC220" s="44">
        <f>+Y220+'Stmt of activities-GA rev'!AC220-'Stmt of activities-GAexp'!W220-AA220</f>
        <v>0</v>
      </c>
    </row>
    <row r="221" spans="1:29" s="122" customFormat="1" ht="12.75" hidden="1" customHeight="1">
      <c r="A221" s="122" t="s">
        <v>251</v>
      </c>
      <c r="B221" s="124"/>
      <c r="C221" s="122" t="s">
        <v>66</v>
      </c>
      <c r="E221" s="121">
        <v>0</v>
      </c>
      <c r="F221" s="121"/>
      <c r="G221" s="121">
        <v>0</v>
      </c>
      <c r="H221" s="121"/>
      <c r="I221" s="121">
        <v>0</v>
      </c>
      <c r="J221" s="121"/>
      <c r="K221" s="121">
        <v>0</v>
      </c>
      <c r="L221" s="121"/>
      <c r="M221" s="121">
        <v>0</v>
      </c>
      <c r="N221" s="121"/>
      <c r="O221" s="121">
        <v>0</v>
      </c>
      <c r="P221" s="121"/>
      <c r="Q221" s="121">
        <v>0</v>
      </c>
      <c r="R221" s="121"/>
      <c r="S221" s="121">
        <v>0</v>
      </c>
      <c r="T221" s="121"/>
      <c r="U221" s="121">
        <v>0</v>
      </c>
      <c r="V221" s="121"/>
      <c r="W221" s="121">
        <f t="shared" si="7"/>
        <v>0</v>
      </c>
      <c r="X221" s="121"/>
      <c r="Y221" s="121">
        <v>0</v>
      </c>
      <c r="Z221" s="121"/>
      <c r="AA221" s="121">
        <f>+'Stmt net assets'!Y221</f>
        <v>0</v>
      </c>
      <c r="AB221" s="121"/>
      <c r="AC221" s="121">
        <f>+Y221+'Stmt of activities-GA rev'!AC221-'Stmt of activities-GAexp'!W221-AA221</f>
        <v>0</v>
      </c>
    </row>
    <row r="222" spans="1:29" s="47" customFormat="1" ht="12.75" customHeight="1">
      <c r="A222" s="47" t="s">
        <v>252</v>
      </c>
      <c r="B222" s="51"/>
      <c r="C222" s="47" t="s">
        <v>209</v>
      </c>
      <c r="E222" s="44">
        <v>10007502</v>
      </c>
      <c r="F222" s="44"/>
      <c r="G222" s="44">
        <v>378736</v>
      </c>
      <c r="H222" s="44"/>
      <c r="I222" s="44">
        <v>1765285</v>
      </c>
      <c r="J222" s="44"/>
      <c r="K222" s="44">
        <v>1017450</v>
      </c>
      <c r="L222" s="44"/>
      <c r="M222" s="44">
        <v>2404692</v>
      </c>
      <c r="N222" s="44"/>
      <c r="O222" s="44">
        <v>1329668</v>
      </c>
      <c r="P222" s="44"/>
      <c r="Q222" s="44">
        <v>4582293</v>
      </c>
      <c r="R222" s="44"/>
      <c r="S222" s="44">
        <v>0</v>
      </c>
      <c r="T222" s="44"/>
      <c r="U222" s="44">
        <v>470078</v>
      </c>
      <c r="V222" s="44"/>
      <c r="W222" s="44">
        <f t="shared" si="7"/>
        <v>21955704</v>
      </c>
      <c r="X222" s="44"/>
      <c r="Y222" s="44">
        <v>84085903</v>
      </c>
      <c r="Z222" s="44"/>
      <c r="AA222" s="44">
        <f>+'Stmt net assets'!Y222</f>
        <v>85970393</v>
      </c>
      <c r="AB222" s="44"/>
      <c r="AC222" s="44">
        <f>+Y222+'Stmt of activities-GA rev'!AC222-'Stmt of activities-GAexp'!W222-AA222</f>
        <v>0</v>
      </c>
    </row>
    <row r="223" spans="1:29" s="47" customFormat="1" ht="12.75" customHeight="1">
      <c r="A223" s="47" t="s">
        <v>253</v>
      </c>
      <c r="B223" s="51"/>
      <c r="C223" s="47" t="s">
        <v>13</v>
      </c>
      <c r="E223" s="44">
        <v>6831348</v>
      </c>
      <c r="F223" s="44"/>
      <c r="G223" s="44">
        <v>0</v>
      </c>
      <c r="H223" s="44"/>
      <c r="I223" s="44">
        <v>2245540</v>
      </c>
      <c r="J223" s="44"/>
      <c r="K223" s="44">
        <v>-669541</v>
      </c>
      <c r="L223" s="44"/>
      <c r="M223" s="44">
        <v>8141800</v>
      </c>
      <c r="N223" s="44"/>
      <c r="O223" s="44">
        <v>15049</v>
      </c>
      <c r="P223" s="44"/>
      <c r="Q223" s="44">
        <v>5906001</v>
      </c>
      <c r="R223" s="44"/>
      <c r="S223" s="44">
        <v>0</v>
      </c>
      <c r="T223" s="44"/>
      <c r="U223" s="44">
        <v>639551</v>
      </c>
      <c r="V223" s="44"/>
      <c r="W223" s="44">
        <f t="shared" si="7"/>
        <v>23109748</v>
      </c>
      <c r="X223" s="44"/>
      <c r="Y223" s="44">
        <v>129045147</v>
      </c>
      <c r="Z223" s="44"/>
      <c r="AA223" s="44">
        <f>+'Stmt net assets'!Y223</f>
        <v>132716427</v>
      </c>
      <c r="AB223" s="44"/>
      <c r="AC223" s="44">
        <f>+Y223+'Stmt of activities-GA rev'!AC223-'Stmt of activities-GAexp'!W223-AA223</f>
        <v>0</v>
      </c>
    </row>
    <row r="224" spans="1:29" s="47" customFormat="1" ht="12.75" customHeight="1">
      <c r="A224" s="47" t="s">
        <v>254</v>
      </c>
      <c r="B224" s="51"/>
      <c r="C224" s="47" t="s">
        <v>89</v>
      </c>
      <c r="E224" s="44">
        <v>1498795</v>
      </c>
      <c r="F224" s="44"/>
      <c r="G224" s="44">
        <v>301508</v>
      </c>
      <c r="H224" s="44"/>
      <c r="I224" s="44">
        <v>16109</v>
      </c>
      <c r="J224" s="44"/>
      <c r="K224" s="44">
        <v>189927</v>
      </c>
      <c r="L224" s="44"/>
      <c r="M224" s="44">
        <v>481441</v>
      </c>
      <c r="N224" s="44"/>
      <c r="O224" s="44">
        <v>0</v>
      </c>
      <c r="P224" s="44"/>
      <c r="Q224" s="44">
        <v>627604</v>
      </c>
      <c r="R224" s="44"/>
      <c r="S224" s="44">
        <v>0</v>
      </c>
      <c r="T224" s="44"/>
      <c r="U224" s="44">
        <v>83917</v>
      </c>
      <c r="V224" s="44"/>
      <c r="W224" s="44">
        <f t="shared" si="7"/>
        <v>3199301</v>
      </c>
      <c r="X224" s="44"/>
      <c r="Y224" s="44">
        <v>5467140</v>
      </c>
      <c r="Z224" s="44"/>
      <c r="AA224" s="44">
        <f>+'Stmt net assets'!Y224</f>
        <v>5183821</v>
      </c>
      <c r="AB224" s="44"/>
      <c r="AC224" s="44">
        <f>+Y224+'Stmt of activities-GA rev'!AC224-'Stmt of activities-GAexp'!W224-AA224</f>
        <v>0</v>
      </c>
    </row>
    <row r="225" spans="1:29" s="47" customFormat="1" ht="12.75" customHeight="1">
      <c r="A225" s="47" t="s">
        <v>159</v>
      </c>
      <c r="B225" s="51"/>
      <c r="C225" s="47" t="s">
        <v>66</v>
      </c>
      <c r="E225" s="44">
        <v>1743771</v>
      </c>
      <c r="F225" s="44"/>
      <c r="G225" s="44">
        <v>13457</v>
      </c>
      <c r="H225" s="44"/>
      <c r="I225" s="44">
        <v>51239</v>
      </c>
      <c r="J225" s="44"/>
      <c r="K225" s="44">
        <v>496967</v>
      </c>
      <c r="L225" s="44"/>
      <c r="M225" s="44">
        <v>589494</v>
      </c>
      <c r="N225" s="44"/>
      <c r="O225" s="44">
        <v>0</v>
      </c>
      <c r="P225" s="44"/>
      <c r="Q225" s="44">
        <v>971204</v>
      </c>
      <c r="R225" s="44"/>
      <c r="S225" s="44">
        <v>0</v>
      </c>
      <c r="T225" s="44"/>
      <c r="U225" s="44">
        <v>80738</v>
      </c>
      <c r="V225" s="44"/>
      <c r="W225" s="44">
        <f t="shared" si="7"/>
        <v>3946870</v>
      </c>
      <c r="X225" s="44"/>
      <c r="Y225" s="44">
        <v>6285709</v>
      </c>
      <c r="Z225" s="44"/>
      <c r="AA225" s="44">
        <f>+'Stmt net assets'!Y225</f>
        <v>6776378</v>
      </c>
      <c r="AB225" s="44"/>
      <c r="AC225" s="44">
        <f>+Y225+'Stmt of activities-GA rev'!AC225-'Stmt of activities-GAexp'!W225-AA225</f>
        <v>0</v>
      </c>
    </row>
    <row r="226" spans="1:29" s="47" customFormat="1" ht="12.75" customHeight="1">
      <c r="A226" s="47" t="s">
        <v>255</v>
      </c>
      <c r="B226" s="51"/>
      <c r="C226" s="47" t="s">
        <v>27</v>
      </c>
      <c r="E226" s="44">
        <v>8114598</v>
      </c>
      <c r="F226" s="44"/>
      <c r="G226" s="44">
        <v>26290</v>
      </c>
      <c r="H226" s="44"/>
      <c r="I226" s="44">
        <v>344131</v>
      </c>
      <c r="J226" s="44"/>
      <c r="K226" s="44">
        <v>6450370</v>
      </c>
      <c r="L226" s="44"/>
      <c r="M226" s="44">
        <v>1422251</v>
      </c>
      <c r="N226" s="44"/>
      <c r="O226" s="44">
        <v>3109165</v>
      </c>
      <c r="P226" s="44"/>
      <c r="Q226" s="44">
        <v>1514953</v>
      </c>
      <c r="R226" s="44"/>
      <c r="S226" s="44">
        <v>0</v>
      </c>
      <c r="T226" s="44"/>
      <c r="U226" s="44">
        <v>142158</v>
      </c>
      <c r="V226" s="44"/>
      <c r="W226" s="44">
        <f t="shared" si="7"/>
        <v>21123916</v>
      </c>
      <c r="X226" s="44"/>
      <c r="Y226" s="44">
        <v>6918174</v>
      </c>
      <c r="Z226" s="44"/>
      <c r="AA226" s="44">
        <f>+'Stmt net assets'!Y226</f>
        <v>6469465</v>
      </c>
      <c r="AB226" s="44"/>
      <c r="AC226" s="44">
        <f>+Y226+'Stmt of activities-GA rev'!AC226-'Stmt of activities-GAexp'!W226-AA226</f>
        <v>0</v>
      </c>
    </row>
    <row r="227" spans="1:29" s="160" customFormat="1" ht="12.75" customHeight="1">
      <c r="A227" s="160" t="s">
        <v>256</v>
      </c>
      <c r="B227" s="161"/>
      <c r="C227" s="160" t="s">
        <v>43</v>
      </c>
      <c r="E227" s="44">
        <v>15724322</v>
      </c>
      <c r="F227" s="44"/>
      <c r="G227" s="44">
        <v>0</v>
      </c>
      <c r="H227" s="44"/>
      <c r="I227" s="44">
        <v>3052279</v>
      </c>
      <c r="J227" s="44"/>
      <c r="K227" s="44">
        <v>952833</v>
      </c>
      <c r="L227" s="44"/>
      <c r="M227" s="44">
        <v>5159433</v>
      </c>
      <c r="N227" s="44"/>
      <c r="O227" s="44">
        <v>0</v>
      </c>
      <c r="P227" s="44"/>
      <c r="Q227" s="44">
        <v>7902501</v>
      </c>
      <c r="R227" s="44"/>
      <c r="S227" s="44">
        <v>0</v>
      </c>
      <c r="T227" s="44"/>
      <c r="U227" s="44">
        <v>1463812</v>
      </c>
      <c r="V227" s="44"/>
      <c r="W227" s="44">
        <f t="shared" si="7"/>
        <v>34255180</v>
      </c>
      <c r="X227" s="44"/>
      <c r="Y227" s="44">
        <v>77728315</v>
      </c>
      <c r="Z227" s="44"/>
      <c r="AA227" s="44">
        <f>+'Stmt net assets'!Y227</f>
        <v>80714555</v>
      </c>
      <c r="AB227" s="44"/>
      <c r="AC227" s="44">
        <f>+Y227+'Stmt of activities-GA rev'!AC227-'Stmt of activities-GAexp'!W227-AA227</f>
        <v>0</v>
      </c>
    </row>
    <row r="228" spans="1:29" s="47" customFormat="1" ht="12.75" customHeight="1">
      <c r="B228" s="51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8" t="s">
        <v>484</v>
      </c>
      <c r="AB228" s="44"/>
      <c r="AC228" s="44"/>
    </row>
    <row r="229" spans="1:29" s="47" customFormat="1" ht="12.75" customHeight="1">
      <c r="A229" s="47" t="s">
        <v>257</v>
      </c>
      <c r="B229" s="51"/>
      <c r="C229" s="47" t="s">
        <v>258</v>
      </c>
      <c r="E229" s="46">
        <v>1846724</v>
      </c>
      <c r="F229" s="46"/>
      <c r="G229" s="46">
        <v>37311</v>
      </c>
      <c r="H229" s="46"/>
      <c r="I229" s="46">
        <v>393548</v>
      </c>
      <c r="J229" s="46"/>
      <c r="K229" s="46">
        <v>184718</v>
      </c>
      <c r="L229" s="46"/>
      <c r="M229" s="46">
        <v>257097</v>
      </c>
      <c r="N229" s="46"/>
      <c r="O229" s="46">
        <v>90220</v>
      </c>
      <c r="P229" s="46"/>
      <c r="Q229" s="46">
        <f>409533+721994+1</f>
        <v>1131528</v>
      </c>
      <c r="R229" s="46"/>
      <c r="S229" s="46">
        <v>1888</v>
      </c>
      <c r="T229" s="46"/>
      <c r="U229" s="46">
        <v>257947</v>
      </c>
      <c r="V229" s="46"/>
      <c r="W229" s="46">
        <f t="shared" si="7"/>
        <v>4200981</v>
      </c>
      <c r="X229" s="46"/>
      <c r="Y229" s="46">
        <v>2891905</v>
      </c>
      <c r="Z229" s="46"/>
      <c r="AA229" s="46">
        <f>+'Stmt net assets'!Y229</f>
        <v>4167586</v>
      </c>
      <c r="AB229" s="44"/>
      <c r="AC229" s="44">
        <f>+Y229+'Stmt of activities-GA rev'!AC228-'Stmt of activities-GAexp'!W229-AA229</f>
        <v>0</v>
      </c>
    </row>
    <row r="230" spans="1:29" s="47" customFormat="1" ht="12.75" customHeight="1">
      <c r="A230" s="47" t="s">
        <v>259</v>
      </c>
      <c r="B230" s="51"/>
      <c r="C230" s="47" t="s">
        <v>260</v>
      </c>
      <c r="E230" s="44">
        <v>5086996</v>
      </c>
      <c r="F230" s="44"/>
      <c r="G230" s="44">
        <v>260327</v>
      </c>
      <c r="H230" s="44"/>
      <c r="I230" s="44">
        <v>397866</v>
      </c>
      <c r="J230" s="44"/>
      <c r="K230" s="44">
        <v>303018</v>
      </c>
      <c r="L230" s="44"/>
      <c r="M230" s="44">
        <v>2123662</v>
      </c>
      <c r="N230" s="44"/>
      <c r="O230" s="44">
        <v>0</v>
      </c>
      <c r="P230" s="44"/>
      <c r="Q230" s="44">
        <v>2152875</v>
      </c>
      <c r="R230" s="44"/>
      <c r="S230" s="44">
        <v>0</v>
      </c>
      <c r="T230" s="44"/>
      <c r="U230" s="44">
        <v>171906</v>
      </c>
      <c r="V230" s="44"/>
      <c r="W230" s="44">
        <f t="shared" si="7"/>
        <v>10496650</v>
      </c>
      <c r="X230" s="44"/>
      <c r="Y230" s="44">
        <v>23416114</v>
      </c>
      <c r="Z230" s="44"/>
      <c r="AA230" s="44">
        <f>+'Stmt net assets'!Y230</f>
        <v>23981912</v>
      </c>
      <c r="AB230" s="44"/>
      <c r="AC230" s="44">
        <f>+Y230+'Stmt of activities-GA rev'!AC229-'Stmt of activities-GAexp'!W230-AA230</f>
        <v>0</v>
      </c>
    </row>
    <row r="231" spans="1:29" s="47" customFormat="1" ht="12.75" customHeight="1">
      <c r="A231" s="47" t="s">
        <v>261</v>
      </c>
      <c r="B231" s="51"/>
      <c r="C231" s="47" t="s">
        <v>66</v>
      </c>
      <c r="E231" s="44">
        <f>4487750+2044038</f>
        <v>6531788</v>
      </c>
      <c r="F231" s="44"/>
      <c r="G231" s="44">
        <v>0</v>
      </c>
      <c r="H231" s="44"/>
      <c r="I231" s="44">
        <v>3984048</v>
      </c>
      <c r="J231" s="44"/>
      <c r="K231" s="44">
        <v>0</v>
      </c>
      <c r="L231" s="44"/>
      <c r="M231" s="44">
        <f>1194884+3064219</f>
        <v>4259103</v>
      </c>
      <c r="N231" s="44"/>
      <c r="O231" s="44">
        <v>770926</v>
      </c>
      <c r="P231" s="44"/>
      <c r="Q231" s="44">
        <f>3623099+1958928</f>
        <v>5582027</v>
      </c>
      <c r="R231" s="44"/>
      <c r="S231" s="44">
        <v>0</v>
      </c>
      <c r="T231" s="44"/>
      <c r="U231" s="44">
        <v>736084</v>
      </c>
      <c r="V231" s="44"/>
      <c r="W231" s="44">
        <f t="shared" si="7"/>
        <v>21863976</v>
      </c>
      <c r="X231" s="44"/>
      <c r="Y231" s="44">
        <v>59227725</v>
      </c>
      <c r="Z231" s="44"/>
      <c r="AA231" s="44">
        <f>+'Stmt net assets'!Y231</f>
        <v>60433175</v>
      </c>
      <c r="AB231" s="44"/>
      <c r="AC231" s="44">
        <f>+Y231+'Stmt of activities-GA rev'!AC230-'Stmt of activities-GAexp'!W231-AA231</f>
        <v>0</v>
      </c>
    </row>
    <row r="232" spans="1:29" s="122" customFormat="1" ht="12.75" hidden="1" customHeight="1">
      <c r="A232" s="122" t="s">
        <v>262</v>
      </c>
      <c r="B232" s="124"/>
      <c r="C232" s="122" t="s">
        <v>132</v>
      </c>
      <c r="E232" s="121">
        <v>0</v>
      </c>
      <c r="F232" s="121"/>
      <c r="G232" s="121">
        <v>0</v>
      </c>
      <c r="H232" s="121"/>
      <c r="I232" s="121">
        <v>0</v>
      </c>
      <c r="J232" s="121"/>
      <c r="K232" s="121">
        <v>0</v>
      </c>
      <c r="L232" s="121"/>
      <c r="M232" s="121">
        <v>0</v>
      </c>
      <c r="N232" s="121"/>
      <c r="O232" s="121">
        <v>0</v>
      </c>
      <c r="P232" s="121"/>
      <c r="Q232" s="121">
        <v>0</v>
      </c>
      <c r="R232" s="121"/>
      <c r="S232" s="121">
        <v>0</v>
      </c>
      <c r="T232" s="121"/>
      <c r="U232" s="121">
        <v>0</v>
      </c>
      <c r="V232" s="121"/>
      <c r="W232" s="121">
        <f t="shared" si="7"/>
        <v>0</v>
      </c>
      <c r="X232" s="121"/>
      <c r="Y232" s="121">
        <v>0</v>
      </c>
      <c r="Z232" s="121"/>
      <c r="AA232" s="121">
        <f>+'Stmt net assets'!Y232</f>
        <v>0</v>
      </c>
      <c r="AB232" s="121"/>
      <c r="AC232" s="121">
        <f>+Y232+'Stmt of activities-GA rev'!AC231-'Stmt of activities-GAexp'!W232-AA232</f>
        <v>0</v>
      </c>
    </row>
    <row r="233" spans="1:29" s="47" customFormat="1" ht="12.75" customHeight="1">
      <c r="A233" s="47" t="s">
        <v>263</v>
      </c>
      <c r="B233" s="51"/>
      <c r="C233" s="47" t="s">
        <v>53</v>
      </c>
      <c r="E233" s="44">
        <v>6608036</v>
      </c>
      <c r="F233" s="44"/>
      <c r="G233" s="44">
        <v>103060</v>
      </c>
      <c r="H233" s="44"/>
      <c r="I233" s="44">
        <v>2244753</v>
      </c>
      <c r="J233" s="44"/>
      <c r="K233" s="44">
        <v>522242</v>
      </c>
      <c r="L233" s="44"/>
      <c r="M233" s="44">
        <v>2937040</v>
      </c>
      <c r="N233" s="44"/>
      <c r="O233" s="44">
        <v>711713</v>
      </c>
      <c r="P233" s="44"/>
      <c r="Q233" s="44">
        <v>3339564</v>
      </c>
      <c r="R233" s="44"/>
      <c r="S233" s="44">
        <v>7499</v>
      </c>
      <c r="T233" s="44"/>
      <c r="U233" s="44">
        <v>149109</v>
      </c>
      <c r="V233" s="44"/>
      <c r="W233" s="44">
        <f t="shared" si="7"/>
        <v>16623016</v>
      </c>
      <c r="X233" s="44"/>
      <c r="Y233" s="44">
        <v>55561668</v>
      </c>
      <c r="Z233" s="44"/>
      <c r="AA233" s="44">
        <f>+'Stmt net assets'!Y233</f>
        <v>57950009</v>
      </c>
      <c r="AB233" s="44"/>
      <c r="AC233" s="44">
        <f>+Y233+'Stmt of activities-GA rev'!AC232-'Stmt of activities-GAexp'!W233-AA233</f>
        <v>0</v>
      </c>
    </row>
    <row r="234" spans="1:29" s="47" customFormat="1" ht="12.75" customHeight="1">
      <c r="A234" s="47" t="s">
        <v>264</v>
      </c>
      <c r="B234" s="51"/>
      <c r="C234" s="47" t="s">
        <v>239</v>
      </c>
      <c r="E234" s="44">
        <f>1443241+1429639+15744</f>
        <v>2888624</v>
      </c>
      <c r="F234" s="44"/>
      <c r="G234" s="44">
        <v>198272</v>
      </c>
      <c r="H234" s="44"/>
      <c r="I234" s="44">
        <v>452815</v>
      </c>
      <c r="J234" s="44"/>
      <c r="K234" s="44">
        <v>88867</v>
      </c>
      <c r="L234" s="44"/>
      <c r="M234" s="44">
        <v>1366298</v>
      </c>
      <c r="N234" s="44"/>
      <c r="O234" s="44">
        <v>0</v>
      </c>
      <c r="P234" s="44"/>
      <c r="Q234" s="44">
        <v>559760</v>
      </c>
      <c r="R234" s="44"/>
      <c r="S234" s="44">
        <v>0</v>
      </c>
      <c r="T234" s="44"/>
      <c r="U234" s="44">
        <v>63692</v>
      </c>
      <c r="V234" s="44"/>
      <c r="W234" s="44">
        <f t="shared" si="7"/>
        <v>5618328</v>
      </c>
      <c r="X234" s="44"/>
      <c r="Y234" s="44">
        <v>27709653</v>
      </c>
      <c r="Z234" s="44"/>
      <c r="AA234" s="44">
        <f>+'Stmt net assets'!Y234</f>
        <v>28620780</v>
      </c>
      <c r="AB234" s="44"/>
      <c r="AC234" s="44">
        <f>+Y234+'Stmt of activities-GA rev'!AC233-'Stmt of activities-GAexp'!W234-AA234</f>
        <v>0</v>
      </c>
    </row>
    <row r="235" spans="1:29" s="47" customFormat="1" ht="12.75" customHeight="1">
      <c r="A235" s="47" t="s">
        <v>111</v>
      </c>
      <c r="B235" s="51"/>
      <c r="C235" s="47" t="s">
        <v>80</v>
      </c>
      <c r="E235" s="44">
        <v>15449385</v>
      </c>
      <c r="F235" s="44"/>
      <c r="G235" s="44">
        <v>633699</v>
      </c>
      <c r="H235" s="44"/>
      <c r="I235" s="44">
        <v>520453</v>
      </c>
      <c r="J235" s="44"/>
      <c r="K235" s="44">
        <f>1817279+2936898</f>
        <v>4754177</v>
      </c>
      <c r="L235" s="44"/>
      <c r="M235" s="44">
        <v>3548603</v>
      </c>
      <c r="N235" s="44"/>
      <c r="O235" s="44">
        <v>0</v>
      </c>
      <c r="P235" s="44"/>
      <c r="Q235" s="44">
        <v>5400182</v>
      </c>
      <c r="R235" s="44"/>
      <c r="S235" s="44">
        <v>0</v>
      </c>
      <c r="T235" s="44"/>
      <c r="U235" s="44">
        <v>503530</v>
      </c>
      <c r="V235" s="44"/>
      <c r="W235" s="44">
        <f t="shared" si="7"/>
        <v>30810029</v>
      </c>
      <c r="X235" s="44"/>
      <c r="Y235" s="44">
        <v>46089826</v>
      </c>
      <c r="Z235" s="44"/>
      <c r="AA235" s="44">
        <f>+'Stmt net assets'!Y235</f>
        <v>51342841</v>
      </c>
      <c r="AB235" s="44"/>
      <c r="AC235" s="44">
        <f>+Y235+'Stmt of activities-GA rev'!AC234-'Stmt of activities-GAexp'!W235-AA235</f>
        <v>0</v>
      </c>
    </row>
    <row r="236" spans="1:29" s="47" customFormat="1" ht="12.75" customHeight="1">
      <c r="A236" s="47" t="s">
        <v>265</v>
      </c>
      <c r="B236" s="51"/>
      <c r="C236" s="47" t="s">
        <v>27</v>
      </c>
      <c r="E236" s="44">
        <f>4780991+3471641</f>
        <v>8252632</v>
      </c>
      <c r="F236" s="44"/>
      <c r="G236" s="44">
        <v>27952</v>
      </c>
      <c r="H236" s="44"/>
      <c r="I236" s="44">
        <v>227379</v>
      </c>
      <c r="J236" s="44"/>
      <c r="K236" s="44">
        <v>1087614</v>
      </c>
      <c r="L236" s="44"/>
      <c r="M236" s="44">
        <v>2052226</v>
      </c>
      <c r="N236" s="44"/>
      <c r="O236" s="44">
        <v>1136196</v>
      </c>
      <c r="P236" s="44"/>
      <c r="Q236" s="44">
        <v>3156023</v>
      </c>
      <c r="R236" s="44"/>
      <c r="S236" s="44">
        <v>0</v>
      </c>
      <c r="T236" s="44"/>
      <c r="U236" s="44">
        <v>543135</v>
      </c>
      <c r="V236" s="44"/>
      <c r="W236" s="44">
        <f t="shared" si="7"/>
        <v>16483157</v>
      </c>
      <c r="X236" s="44"/>
      <c r="Y236" s="44">
        <v>-1207428</v>
      </c>
      <c r="Z236" s="44"/>
      <c r="AA236" s="44">
        <f>+'Stmt net assets'!Y236</f>
        <v>1117077</v>
      </c>
      <c r="AB236" s="44"/>
      <c r="AC236" s="44">
        <f>+Y236+'Stmt of activities-GA rev'!AC235-'Stmt of activities-GAexp'!W236-AA236</f>
        <v>0</v>
      </c>
    </row>
    <row r="237" spans="1:29" s="47" customFormat="1" ht="12.75" customHeight="1">
      <c r="A237" s="47" t="s">
        <v>40</v>
      </c>
      <c r="B237" s="51"/>
      <c r="C237" s="47" t="s">
        <v>451</v>
      </c>
      <c r="E237" s="44">
        <v>4419215</v>
      </c>
      <c r="F237" s="44"/>
      <c r="G237" s="44">
        <v>314783</v>
      </c>
      <c r="H237" s="44"/>
      <c r="I237" s="44">
        <v>63102</v>
      </c>
      <c r="J237" s="44"/>
      <c r="K237" s="44">
        <v>2245870</v>
      </c>
      <c r="L237" s="44"/>
      <c r="M237" s="44">
        <v>3597848</v>
      </c>
      <c r="N237" s="44"/>
      <c r="O237" s="44">
        <v>0</v>
      </c>
      <c r="P237" s="44"/>
      <c r="Q237" s="44">
        <v>3687967</v>
      </c>
      <c r="R237" s="44"/>
      <c r="S237" s="44">
        <v>0</v>
      </c>
      <c r="T237" s="44"/>
      <c r="U237" s="44">
        <v>644065</v>
      </c>
      <c r="V237" s="44"/>
      <c r="W237" s="44">
        <f t="shared" si="7"/>
        <v>14972850</v>
      </c>
      <c r="X237" s="44"/>
      <c r="Y237" s="44">
        <v>18340316</v>
      </c>
      <c r="Z237" s="44"/>
      <c r="AA237" s="44">
        <f>+'Stmt net assets'!Y237</f>
        <v>15182582</v>
      </c>
      <c r="AB237" s="44"/>
      <c r="AC237" s="44">
        <f>+Y237+'Stmt of activities-GA rev'!AC236-'Stmt of activities-GAexp'!W237-AA237</f>
        <v>0</v>
      </c>
    </row>
    <row r="238" spans="1:29" s="47" customFormat="1" ht="12.75" customHeight="1">
      <c r="A238" s="47" t="s">
        <v>266</v>
      </c>
      <c r="B238" s="51"/>
      <c r="C238" s="47" t="s">
        <v>267</v>
      </c>
      <c r="E238" s="44">
        <v>2241306</v>
      </c>
      <c r="F238" s="44"/>
      <c r="G238" s="44">
        <v>0</v>
      </c>
      <c r="H238" s="44"/>
      <c r="I238" s="44">
        <v>544853</v>
      </c>
      <c r="J238" s="44"/>
      <c r="K238" s="44">
        <v>665290</v>
      </c>
      <c r="L238" s="44"/>
      <c r="M238" s="44">
        <v>871987</v>
      </c>
      <c r="N238" s="44"/>
      <c r="O238" s="44">
        <v>57556</v>
      </c>
      <c r="P238" s="44"/>
      <c r="Q238" s="44">
        <v>1020927</v>
      </c>
      <c r="R238" s="44"/>
      <c r="S238" s="44">
        <v>0</v>
      </c>
      <c r="T238" s="44"/>
      <c r="U238" s="44">
        <v>66021</v>
      </c>
      <c r="V238" s="44"/>
      <c r="W238" s="44">
        <f t="shared" si="7"/>
        <v>5467940</v>
      </c>
      <c r="X238" s="44"/>
      <c r="Y238" s="44">
        <v>13588803</v>
      </c>
      <c r="Z238" s="44"/>
      <c r="AA238" s="44">
        <f>+'Stmt net assets'!Y238</f>
        <v>14305891</v>
      </c>
      <c r="AB238" s="44"/>
      <c r="AC238" s="44">
        <f>+Y238+'Stmt of activities-GA rev'!AC237-'Stmt of activities-GAexp'!W238-AA238</f>
        <v>0</v>
      </c>
    </row>
    <row r="239" spans="1:29" s="47" customFormat="1" ht="12.75" customHeight="1">
      <c r="A239" s="47" t="s">
        <v>268</v>
      </c>
      <c r="B239" s="51"/>
      <c r="C239" s="47" t="s">
        <v>269</v>
      </c>
      <c r="E239" s="44">
        <v>1435633</v>
      </c>
      <c r="F239" s="44"/>
      <c r="G239" s="44">
        <v>1470</v>
      </c>
      <c r="H239" s="44"/>
      <c r="I239" s="44">
        <v>85208</v>
      </c>
      <c r="J239" s="44"/>
      <c r="K239" s="44">
        <v>329</v>
      </c>
      <c r="L239" s="44"/>
      <c r="M239" s="44">
        <v>745656</v>
      </c>
      <c r="N239" s="44"/>
      <c r="O239" s="44">
        <v>0</v>
      </c>
      <c r="P239" s="44"/>
      <c r="Q239" s="44">
        <v>820333</v>
      </c>
      <c r="R239" s="44"/>
      <c r="S239" s="44">
        <v>0</v>
      </c>
      <c r="T239" s="44"/>
      <c r="U239" s="44">
        <v>25396</v>
      </c>
      <c r="V239" s="44"/>
      <c r="W239" s="44">
        <f t="shared" si="7"/>
        <v>3114025</v>
      </c>
      <c r="X239" s="44"/>
      <c r="Y239" s="44">
        <v>5481142</v>
      </c>
      <c r="Z239" s="44"/>
      <c r="AA239" s="44">
        <f>+'Stmt net assets'!Y239</f>
        <v>5457764</v>
      </c>
      <c r="AB239" s="44"/>
      <c r="AC239" s="44">
        <f>+Y239+'Stmt of activities-GA rev'!AC238-'Stmt of activities-GAexp'!W239-AA239</f>
        <v>0</v>
      </c>
    </row>
    <row r="240" spans="1:29" s="47" customFormat="1" ht="12.75" customHeight="1">
      <c r="A240" s="47" t="s">
        <v>270</v>
      </c>
      <c r="B240" s="51"/>
      <c r="C240" s="47" t="s">
        <v>136</v>
      </c>
      <c r="E240" s="44">
        <v>1810238</v>
      </c>
      <c r="F240" s="44"/>
      <c r="G240" s="44">
        <v>218247</v>
      </c>
      <c r="H240" s="44"/>
      <c r="I240" s="44">
        <v>82324</v>
      </c>
      <c r="J240" s="44"/>
      <c r="K240" s="44">
        <v>653730</v>
      </c>
      <c r="L240" s="44"/>
      <c r="M240" s="44">
        <v>461369</v>
      </c>
      <c r="N240" s="44"/>
      <c r="O240" s="44">
        <v>0</v>
      </c>
      <c r="P240" s="44"/>
      <c r="Q240" s="44">
        <v>867101</v>
      </c>
      <c r="R240" s="44"/>
      <c r="S240" s="44">
        <v>0</v>
      </c>
      <c r="T240" s="44"/>
      <c r="U240" s="44">
        <v>23181</v>
      </c>
      <c r="V240" s="44"/>
      <c r="W240" s="44">
        <f t="shared" si="7"/>
        <v>4116190</v>
      </c>
      <c r="X240" s="44"/>
      <c r="Y240" s="44">
        <v>5444886</v>
      </c>
      <c r="Z240" s="44"/>
      <c r="AA240" s="44">
        <f>+'Stmt net assets'!Y240</f>
        <v>4893931</v>
      </c>
      <c r="AB240" s="44"/>
      <c r="AC240" s="44">
        <f>+Y240+'Stmt of activities-GA rev'!AC239-'Stmt of activities-GAexp'!W240-AA240</f>
        <v>0</v>
      </c>
    </row>
    <row r="241" spans="1:29" s="47" customFormat="1" ht="12.75" customHeight="1">
      <c r="A241" s="47" t="s">
        <v>271</v>
      </c>
      <c r="B241" s="51"/>
      <c r="C241" s="47" t="s">
        <v>66</v>
      </c>
      <c r="E241" s="44">
        <v>5491196</v>
      </c>
      <c r="F241" s="44"/>
      <c r="G241" s="44">
        <v>0</v>
      </c>
      <c r="H241" s="44"/>
      <c r="I241" s="44">
        <v>802193</v>
      </c>
      <c r="J241" s="44"/>
      <c r="K241" s="44">
        <v>2073770</v>
      </c>
      <c r="L241" s="44"/>
      <c r="M241" s="44">
        <v>900103</v>
      </c>
      <c r="N241" s="44"/>
      <c r="O241" s="44">
        <v>0</v>
      </c>
      <c r="P241" s="44"/>
      <c r="Q241" s="44">
        <v>921691</v>
      </c>
      <c r="R241" s="44"/>
      <c r="S241" s="44">
        <v>0</v>
      </c>
      <c r="T241" s="44"/>
      <c r="U241" s="44">
        <v>177301</v>
      </c>
      <c r="V241" s="44"/>
      <c r="W241" s="44">
        <f t="shared" si="7"/>
        <v>10366254</v>
      </c>
      <c r="X241" s="44"/>
      <c r="Y241" s="44">
        <v>19167327</v>
      </c>
      <c r="Z241" s="44"/>
      <c r="AA241" s="44">
        <f>+'Stmt net assets'!Y241</f>
        <v>20589543</v>
      </c>
      <c r="AB241" s="44"/>
      <c r="AC241" s="44">
        <f>+Y241+'Stmt of activities-GA rev'!AC240-'Stmt of activities-GAexp'!W241-AA241</f>
        <v>0</v>
      </c>
    </row>
    <row r="242" spans="1:29" s="47" customFormat="1" ht="12.75" customHeight="1">
      <c r="A242" s="47" t="s">
        <v>272</v>
      </c>
      <c r="B242" s="51"/>
      <c r="C242" s="47" t="s">
        <v>43</v>
      </c>
      <c r="E242" s="44">
        <v>26338118</v>
      </c>
      <c r="F242" s="44"/>
      <c r="G242" s="44">
        <v>79239</v>
      </c>
      <c r="H242" s="44"/>
      <c r="I242" s="44">
        <v>7149210</v>
      </c>
      <c r="J242" s="44"/>
      <c r="K242" s="44">
        <v>2781118</v>
      </c>
      <c r="L242" s="44"/>
      <c r="M242" s="44">
        <v>12254959</v>
      </c>
      <c r="N242" s="44"/>
      <c r="O242" s="44">
        <v>1245063</v>
      </c>
      <c r="P242" s="44"/>
      <c r="Q242" s="44">
        <v>12754058</v>
      </c>
      <c r="R242" s="44"/>
      <c r="S242" s="44">
        <v>0</v>
      </c>
      <c r="T242" s="44"/>
      <c r="U242" s="44">
        <v>946382</v>
      </c>
      <c r="V242" s="44"/>
      <c r="W242" s="44">
        <f t="shared" si="7"/>
        <v>63548147</v>
      </c>
      <c r="X242" s="44"/>
      <c r="Y242" s="44">
        <v>228764826</v>
      </c>
      <c r="Z242" s="44"/>
      <c r="AA242" s="44">
        <f>+'Stmt net assets'!Y242</f>
        <v>236699586</v>
      </c>
      <c r="AB242" s="44"/>
      <c r="AC242" s="44">
        <f>+Y242+'Stmt of activities-GA rev'!AC241-'Stmt of activities-GAexp'!W242-AA242</f>
        <v>0</v>
      </c>
    </row>
    <row r="243" spans="1:29" s="47" customFormat="1" ht="12.75" customHeight="1">
      <c r="A243" s="47" t="s">
        <v>273</v>
      </c>
      <c r="B243" s="51"/>
      <c r="C243" s="47" t="s">
        <v>27</v>
      </c>
      <c r="E243" s="44">
        <v>14584694</v>
      </c>
      <c r="F243" s="44"/>
      <c r="G243" s="44">
        <v>1185741</v>
      </c>
      <c r="H243" s="44"/>
      <c r="I243" s="44">
        <v>3979282</v>
      </c>
      <c r="J243" s="44"/>
      <c r="K243" s="44">
        <v>1685287</v>
      </c>
      <c r="L243" s="44"/>
      <c r="M243" s="44">
        <v>9085307</v>
      </c>
      <c r="N243" s="44"/>
      <c r="O243" s="44">
        <v>1917453</v>
      </c>
      <c r="P243" s="44"/>
      <c r="Q243" s="44">
        <v>6968302</v>
      </c>
      <c r="R243" s="44"/>
      <c r="S243" s="44">
        <v>0</v>
      </c>
      <c r="T243" s="44"/>
      <c r="U243" s="44">
        <v>762104</v>
      </c>
      <c r="V243" s="44"/>
      <c r="W243" s="44">
        <f t="shared" si="7"/>
        <v>40168170</v>
      </c>
      <c r="X243" s="44"/>
      <c r="Y243" s="44">
        <v>178841864</v>
      </c>
      <c r="Z243" s="44"/>
      <c r="AA243" s="44">
        <f>+'Stmt net assets'!Y243</f>
        <v>185051790</v>
      </c>
      <c r="AB243" s="44"/>
      <c r="AC243" s="44">
        <f>+Y243+'Stmt of activities-GA rev'!AC242-'Stmt of activities-GAexp'!W243-AA243</f>
        <v>0</v>
      </c>
    </row>
    <row r="244" spans="1:29" s="47" customFormat="1" ht="12.75" customHeight="1">
      <c r="A244" s="47" t="s">
        <v>274</v>
      </c>
      <c r="B244" s="51"/>
      <c r="C244" s="47" t="s">
        <v>43</v>
      </c>
      <c r="E244" s="44">
        <v>11362217</v>
      </c>
      <c r="F244" s="44"/>
      <c r="G244" s="44">
        <v>119592</v>
      </c>
      <c r="H244" s="44"/>
      <c r="I244" s="44">
        <v>733584</v>
      </c>
      <c r="J244" s="44"/>
      <c r="K244" s="44">
        <v>219806</v>
      </c>
      <c r="L244" s="44"/>
      <c r="M244" s="44">
        <v>2623097</v>
      </c>
      <c r="N244" s="44"/>
      <c r="O244" s="44">
        <v>676465</v>
      </c>
      <c r="P244" s="44"/>
      <c r="Q244" s="44">
        <v>6853110</v>
      </c>
      <c r="R244" s="44"/>
      <c r="S244" s="44">
        <v>0</v>
      </c>
      <c r="T244" s="44"/>
      <c r="U244" s="44">
        <v>92156</v>
      </c>
      <c r="V244" s="44"/>
      <c r="W244" s="44">
        <f t="shared" si="7"/>
        <v>22680027</v>
      </c>
      <c r="X244" s="44"/>
      <c r="Y244" s="44">
        <v>28972940</v>
      </c>
      <c r="Z244" s="44"/>
      <c r="AA244" s="44">
        <f>+'Stmt net assets'!Y244</f>
        <v>31547145</v>
      </c>
      <c r="AB244" s="44"/>
      <c r="AC244" s="44">
        <f>+Y244+'Stmt of activities-GA rev'!AC243-'Stmt of activities-GAexp'!W244-AA244</f>
        <v>0</v>
      </c>
    </row>
    <row r="245" spans="1:29" s="47" customFormat="1" ht="12.75" customHeight="1">
      <c r="A245" s="47" t="s">
        <v>275</v>
      </c>
      <c r="B245" s="51"/>
      <c r="C245" s="47" t="s">
        <v>92</v>
      </c>
      <c r="E245" s="44">
        <v>7374628</v>
      </c>
      <c r="F245" s="44"/>
      <c r="G245" s="44">
        <v>447636</v>
      </c>
      <c r="H245" s="44"/>
      <c r="I245" s="44">
        <v>781998</v>
      </c>
      <c r="J245" s="44"/>
      <c r="K245" s="44">
        <v>255932</v>
      </c>
      <c r="L245" s="44"/>
      <c r="M245" s="44">
        <v>5345822</v>
      </c>
      <c r="N245" s="44"/>
      <c r="O245" s="44">
        <v>1432046</v>
      </c>
      <c r="P245" s="44"/>
      <c r="Q245" s="44">
        <v>4765354</v>
      </c>
      <c r="R245" s="44"/>
      <c r="S245" s="44">
        <v>0</v>
      </c>
      <c r="T245" s="44"/>
      <c r="U245" s="44">
        <v>224326</v>
      </c>
      <c r="V245" s="44"/>
      <c r="W245" s="44">
        <f t="shared" si="7"/>
        <v>20627742</v>
      </c>
      <c r="X245" s="44"/>
      <c r="Y245" s="44">
        <v>98288604</v>
      </c>
      <c r="Z245" s="44"/>
      <c r="AA245" s="44">
        <f>+'Stmt net assets'!Y245</f>
        <v>97136761</v>
      </c>
      <c r="AB245" s="44"/>
      <c r="AC245" s="44">
        <f>+Y245+'Stmt of activities-GA rev'!AC244-'Stmt of activities-GAexp'!W245-AA245</f>
        <v>0</v>
      </c>
    </row>
    <row r="246" spans="1:29" s="47" customFormat="1" ht="12.75" customHeight="1">
      <c r="A246" s="47" t="s">
        <v>276</v>
      </c>
      <c r="B246" s="51"/>
      <c r="C246" s="47" t="s">
        <v>38</v>
      </c>
      <c r="E246" s="44">
        <v>2841156</v>
      </c>
      <c r="F246" s="44"/>
      <c r="G246" s="44">
        <v>43926</v>
      </c>
      <c r="H246" s="44"/>
      <c r="I246" s="44">
        <v>317023</v>
      </c>
      <c r="J246" s="44"/>
      <c r="K246" s="44">
        <v>514862</v>
      </c>
      <c r="L246" s="44"/>
      <c r="M246" s="44">
        <v>1001900</v>
      </c>
      <c r="N246" s="44"/>
      <c r="O246" s="44">
        <v>0</v>
      </c>
      <c r="P246" s="44"/>
      <c r="Q246" s="44">
        <v>760998</v>
      </c>
      <c r="R246" s="44"/>
      <c r="S246" s="44">
        <v>0</v>
      </c>
      <c r="T246" s="44"/>
      <c r="U246" s="44">
        <v>54980</v>
      </c>
      <c r="V246" s="44"/>
      <c r="W246" s="44">
        <f t="shared" si="7"/>
        <v>5534845</v>
      </c>
      <c r="X246" s="44"/>
      <c r="Y246" s="44">
        <v>13268739</v>
      </c>
      <c r="Z246" s="44"/>
      <c r="AA246" s="44">
        <f>+'Stmt net assets'!Y246</f>
        <v>14856228</v>
      </c>
      <c r="AB246" s="44"/>
      <c r="AC246" s="44">
        <f>+Y246+'Stmt of activities-GA rev'!AC245-'Stmt of activities-GAexp'!W246-AA246</f>
        <v>0</v>
      </c>
    </row>
    <row r="247" spans="1:29" s="47" customFormat="1" ht="12.75" customHeight="1">
      <c r="A247" s="47" t="s">
        <v>277</v>
      </c>
      <c r="B247" s="51"/>
      <c r="C247" s="47" t="s">
        <v>92</v>
      </c>
      <c r="E247" s="44">
        <v>14401962</v>
      </c>
      <c r="F247" s="44"/>
      <c r="G247" s="44">
        <v>503663</v>
      </c>
      <c r="H247" s="44"/>
      <c r="I247" s="44">
        <v>2265276</v>
      </c>
      <c r="J247" s="44"/>
      <c r="K247" s="44">
        <v>945027</v>
      </c>
      <c r="L247" s="44"/>
      <c r="M247" s="44">
        <v>3331613</v>
      </c>
      <c r="N247" s="44"/>
      <c r="O247" s="44">
        <v>1666146</v>
      </c>
      <c r="P247" s="44"/>
      <c r="Q247" s="44">
        <v>7349232</v>
      </c>
      <c r="R247" s="44"/>
      <c r="S247" s="44">
        <v>0</v>
      </c>
      <c r="T247" s="44"/>
      <c r="U247" s="44">
        <v>522732</v>
      </c>
      <c r="V247" s="44"/>
      <c r="W247" s="44">
        <f t="shared" si="7"/>
        <v>30985651</v>
      </c>
      <c r="X247" s="44"/>
      <c r="Y247" s="44">
        <v>60341341</v>
      </c>
      <c r="Z247" s="44"/>
      <c r="AA247" s="44">
        <f>+'Stmt net assets'!Y247</f>
        <v>67069513</v>
      </c>
      <c r="AB247" s="44"/>
      <c r="AC247" s="44">
        <f>+Y247+'Stmt of activities-GA rev'!AC246-'Stmt of activities-GAexp'!W247-AA247</f>
        <v>0</v>
      </c>
    </row>
    <row r="248" spans="1:29" s="47" customFormat="1" ht="12.75" customHeight="1">
      <c r="A248" s="47" t="s">
        <v>278</v>
      </c>
      <c r="B248" s="51"/>
      <c r="C248" s="47" t="s">
        <v>92</v>
      </c>
      <c r="E248" s="44">
        <f>3071236+1946116</f>
        <v>5017352</v>
      </c>
      <c r="F248" s="44"/>
      <c r="G248" s="44">
        <v>0</v>
      </c>
      <c r="H248" s="44"/>
      <c r="I248" s="44">
        <v>194127</v>
      </c>
      <c r="J248" s="44"/>
      <c r="K248" s="44">
        <v>136638</v>
      </c>
      <c r="L248" s="44"/>
      <c r="M248" s="44">
        <v>1182773</v>
      </c>
      <c r="N248" s="44"/>
      <c r="O248" s="44">
        <v>0</v>
      </c>
      <c r="P248" s="44"/>
      <c r="Q248" s="44">
        <v>3113903</v>
      </c>
      <c r="R248" s="44"/>
      <c r="S248" s="44">
        <v>0</v>
      </c>
      <c r="T248" s="44"/>
      <c r="U248" s="44">
        <v>131358</v>
      </c>
      <c r="V248" s="44"/>
      <c r="W248" s="44">
        <f t="shared" si="7"/>
        <v>9776151</v>
      </c>
      <c r="X248" s="44"/>
      <c r="Y248" s="44">
        <v>9759308</v>
      </c>
      <c r="Z248" s="44"/>
      <c r="AA248" s="44">
        <f>+'Stmt net assets'!Y248</f>
        <v>10970144</v>
      </c>
      <c r="AB248" s="44"/>
      <c r="AC248" s="44">
        <f>+Y248+'Stmt of activities-GA rev'!AC247-'Stmt of activities-GAexp'!W248-AA248</f>
        <v>0</v>
      </c>
    </row>
    <row r="249" spans="1:29" s="47" customFormat="1" ht="12.75" customHeight="1">
      <c r="A249" s="47" t="s">
        <v>279</v>
      </c>
      <c r="B249" s="51"/>
      <c r="C249" s="47" t="s">
        <v>92</v>
      </c>
      <c r="E249" s="44">
        <v>5097678</v>
      </c>
      <c r="F249" s="44"/>
      <c r="G249" s="44">
        <v>126077</v>
      </c>
      <c r="H249" s="44"/>
      <c r="I249" s="44">
        <v>978625</v>
      </c>
      <c r="J249" s="44"/>
      <c r="K249" s="44">
        <v>441500</v>
      </c>
      <c r="L249" s="44"/>
      <c r="M249" s="44">
        <v>2126007</v>
      </c>
      <c r="N249" s="44"/>
      <c r="O249" s="44">
        <v>1301466</v>
      </c>
      <c r="P249" s="44"/>
      <c r="Q249" s="44">
        <v>1753584</v>
      </c>
      <c r="R249" s="44"/>
      <c r="S249" s="44">
        <v>0</v>
      </c>
      <c r="T249" s="44"/>
      <c r="U249" s="44">
        <v>37028</v>
      </c>
      <c r="V249" s="44"/>
      <c r="W249" s="44">
        <f t="shared" si="7"/>
        <v>11861965</v>
      </c>
      <c r="X249" s="44"/>
      <c r="Y249" s="44">
        <v>37308286</v>
      </c>
      <c r="Z249" s="44"/>
      <c r="AA249" s="44">
        <f>+'Stmt net assets'!Y249</f>
        <v>36638216</v>
      </c>
      <c r="AB249" s="44"/>
      <c r="AC249" s="44">
        <f>+Y249+'Stmt of activities-GA rev'!AC248-'Stmt of activities-GAexp'!W249-AA249</f>
        <v>0</v>
      </c>
    </row>
    <row r="250" spans="1:29" s="47" customFormat="1" ht="12.75" customHeight="1">
      <c r="A250" s="47" t="s">
        <v>280</v>
      </c>
      <c r="B250" s="51"/>
      <c r="C250" s="47" t="s">
        <v>281</v>
      </c>
      <c r="E250" s="44">
        <v>5154554</v>
      </c>
      <c r="F250" s="44"/>
      <c r="G250" s="44">
        <v>209578</v>
      </c>
      <c r="H250" s="44"/>
      <c r="I250" s="44">
        <v>550092</v>
      </c>
      <c r="J250" s="44"/>
      <c r="K250" s="44">
        <v>0</v>
      </c>
      <c r="L250" s="44"/>
      <c r="M250" s="44">
        <v>2597350</v>
      </c>
      <c r="N250" s="44"/>
      <c r="O250" s="44">
        <v>0</v>
      </c>
      <c r="P250" s="44"/>
      <c r="Q250" s="44">
        <v>5286949</v>
      </c>
      <c r="R250" s="44"/>
      <c r="S250" s="44">
        <v>0</v>
      </c>
      <c r="T250" s="44"/>
      <c r="U250" s="44">
        <v>370630</v>
      </c>
      <c r="V250" s="44"/>
      <c r="W250" s="44">
        <f t="shared" si="7"/>
        <v>14169153</v>
      </c>
      <c r="X250" s="44"/>
      <c r="Y250" s="44">
        <v>17731699</v>
      </c>
      <c r="Z250" s="44"/>
      <c r="AA250" s="44">
        <f>+'Stmt net assets'!Y250</f>
        <v>16217588</v>
      </c>
      <c r="AB250" s="44"/>
      <c r="AC250" s="44">
        <f>+Y250+'Stmt of activities-GA rev'!AC249-'Stmt of activities-GAexp'!W250-AA250</f>
        <v>0</v>
      </c>
    </row>
    <row r="251" spans="1:29" s="47" customFormat="1" ht="12.75" customHeight="1">
      <c r="A251" s="47" t="s">
        <v>282</v>
      </c>
      <c r="B251" s="51"/>
      <c r="C251" s="47" t="s">
        <v>199</v>
      </c>
      <c r="E251" s="44">
        <f>11414203+1404691</f>
        <v>12818894</v>
      </c>
      <c r="F251" s="44"/>
      <c r="G251" s="44">
        <v>138878</v>
      </c>
      <c r="H251" s="44"/>
      <c r="I251" s="44">
        <f>1956483+325456</f>
        <v>2281939</v>
      </c>
      <c r="J251" s="44"/>
      <c r="K251" s="44">
        <f>1577106+42898</f>
        <v>1620004</v>
      </c>
      <c r="L251" s="44"/>
      <c r="M251" s="44">
        <f>4678672+368373</f>
        <v>5047045</v>
      </c>
      <c r="N251" s="44"/>
      <c r="O251" s="44">
        <v>0</v>
      </c>
      <c r="P251" s="44"/>
      <c r="Q251" s="44">
        <f>3959121-3576749+371410-373653</f>
        <v>380129</v>
      </c>
      <c r="R251" s="44"/>
      <c r="S251" s="44">
        <v>0</v>
      </c>
      <c r="T251" s="44"/>
      <c r="U251" s="44">
        <v>182205</v>
      </c>
      <c r="V251" s="44"/>
      <c r="W251" s="44">
        <f t="shared" si="7"/>
        <v>22469094</v>
      </c>
      <c r="X251" s="44"/>
      <c r="Y251" s="44">
        <v>60004099</v>
      </c>
      <c r="Z251" s="44"/>
      <c r="AA251" s="44">
        <f>+'Stmt net assets'!Y251</f>
        <v>60985923</v>
      </c>
      <c r="AB251" s="44"/>
      <c r="AC251" s="44">
        <f>+Y251+'Stmt of activities-GA rev'!AC250-'Stmt of activities-GAexp'!W251-AA251</f>
        <v>0</v>
      </c>
    </row>
    <row r="252" spans="1:29" s="47" customFormat="1" ht="12.75" customHeight="1">
      <c r="A252" s="47" t="s">
        <v>283</v>
      </c>
      <c r="B252" s="51"/>
      <c r="C252" s="47" t="s">
        <v>43</v>
      </c>
      <c r="E252" s="44">
        <v>10401489</v>
      </c>
      <c r="F252" s="44"/>
      <c r="G252" s="44">
        <v>50284</v>
      </c>
      <c r="H252" s="44"/>
      <c r="I252" s="44">
        <v>4054778</v>
      </c>
      <c r="J252" s="44"/>
      <c r="K252" s="44">
        <v>728211</v>
      </c>
      <c r="L252" s="44"/>
      <c r="M252" s="44">
        <v>3702135</v>
      </c>
      <c r="N252" s="44"/>
      <c r="O252" s="44">
        <v>1842757</v>
      </c>
      <c r="P252" s="44"/>
      <c r="Q252" s="44">
        <v>5633211</v>
      </c>
      <c r="R252" s="44"/>
      <c r="S252" s="44">
        <v>32340</v>
      </c>
      <c r="T252" s="44"/>
      <c r="U252" s="44">
        <v>353497</v>
      </c>
      <c r="V252" s="44"/>
      <c r="W252" s="44">
        <f t="shared" si="7"/>
        <v>26798702</v>
      </c>
      <c r="X252" s="44"/>
      <c r="Y252" s="44">
        <v>45826378</v>
      </c>
      <c r="Z252" s="44"/>
      <c r="AA252" s="44">
        <f>+'Stmt net assets'!Y252</f>
        <v>45050164</v>
      </c>
      <c r="AB252" s="44"/>
      <c r="AC252" s="44">
        <f>+Y252+'Stmt of activities-GA rev'!AC251-'Stmt of activities-GAexp'!W252-AA252</f>
        <v>0</v>
      </c>
    </row>
    <row r="253" spans="1:29" s="47" customFormat="1" ht="12.75" customHeight="1">
      <c r="A253" s="47" t="s">
        <v>284</v>
      </c>
      <c r="B253" s="51"/>
      <c r="C253" s="47" t="s">
        <v>45</v>
      </c>
      <c r="E253" s="44">
        <v>3142392</v>
      </c>
      <c r="F253" s="44"/>
      <c r="G253" s="44">
        <v>66983</v>
      </c>
      <c r="H253" s="44"/>
      <c r="I253" s="44">
        <v>1647147</v>
      </c>
      <c r="J253" s="44"/>
      <c r="K253" s="44">
        <v>473420</v>
      </c>
      <c r="L253" s="44"/>
      <c r="M253" s="44">
        <v>1226103</v>
      </c>
      <c r="N253" s="44"/>
      <c r="O253" s="44">
        <v>573699</v>
      </c>
      <c r="P253" s="44"/>
      <c r="Q253" s="44">
        <v>3329619</v>
      </c>
      <c r="R253" s="44"/>
      <c r="S253" s="44">
        <v>0</v>
      </c>
      <c r="T253" s="44"/>
      <c r="U253" s="44">
        <v>524984</v>
      </c>
      <c r="V253" s="44"/>
      <c r="W253" s="44">
        <f t="shared" si="7"/>
        <v>10984347</v>
      </c>
      <c r="X253" s="44"/>
      <c r="Y253" s="44">
        <v>24781624</v>
      </c>
      <c r="Z253" s="44"/>
      <c r="AA253" s="44">
        <f>+'Stmt net assets'!Y253</f>
        <v>24145900</v>
      </c>
      <c r="AB253" s="44"/>
      <c r="AC253" s="44">
        <f>+Y253+'Stmt of activities-GA rev'!AC252-'Stmt of activities-GAexp'!W253-AA253</f>
        <v>0</v>
      </c>
    </row>
    <row r="254" spans="1:29" s="47" customFormat="1" ht="12.75" customHeight="1">
      <c r="A254" s="47" t="s">
        <v>285</v>
      </c>
      <c r="B254" s="51"/>
      <c r="C254" s="47" t="s">
        <v>30</v>
      </c>
      <c r="E254" s="44">
        <v>11311480</v>
      </c>
      <c r="F254" s="44"/>
      <c r="G254" s="44">
        <v>306963</v>
      </c>
      <c r="H254" s="44"/>
      <c r="I254" s="44">
        <v>284934</v>
      </c>
      <c r="J254" s="44"/>
      <c r="K254" s="44">
        <v>247659</v>
      </c>
      <c r="L254" s="44"/>
      <c r="M254" s="44">
        <v>1801149</v>
      </c>
      <c r="N254" s="44"/>
      <c r="O254" s="44">
        <v>0</v>
      </c>
      <c r="P254" s="44"/>
      <c r="Q254" s="44">
        <v>3577856</v>
      </c>
      <c r="R254" s="44"/>
      <c r="S254" s="44">
        <v>0</v>
      </c>
      <c r="T254" s="44"/>
      <c r="U254" s="44">
        <v>104977</v>
      </c>
      <c r="V254" s="44"/>
      <c r="W254" s="44">
        <f t="shared" si="7"/>
        <v>17635018</v>
      </c>
      <c r="X254" s="44"/>
      <c r="Y254" s="44">
        <v>40823951</v>
      </c>
      <c r="Z254" s="44"/>
      <c r="AA254" s="44">
        <f>+'Stmt net assets'!Y254</f>
        <v>41847229</v>
      </c>
      <c r="AB254" s="44"/>
      <c r="AC254" s="44">
        <f>+Y254+'Stmt of activities-GA rev'!AC253-'Stmt of activities-GAexp'!W254-AA254</f>
        <v>0</v>
      </c>
    </row>
    <row r="255" spans="1:29" s="122" customFormat="1" ht="12.75" hidden="1" customHeight="1">
      <c r="A255" s="122" t="s">
        <v>286</v>
      </c>
      <c r="B255" s="124"/>
      <c r="C255" s="122" t="s">
        <v>61</v>
      </c>
      <c r="E255" s="121">
        <v>0</v>
      </c>
      <c r="F255" s="121"/>
      <c r="G255" s="121">
        <v>0</v>
      </c>
      <c r="H255" s="121"/>
      <c r="I255" s="121">
        <v>0</v>
      </c>
      <c r="J255" s="121"/>
      <c r="K255" s="121">
        <v>0</v>
      </c>
      <c r="L255" s="121"/>
      <c r="M255" s="121">
        <v>0</v>
      </c>
      <c r="N255" s="121"/>
      <c r="O255" s="121">
        <v>0</v>
      </c>
      <c r="P255" s="121"/>
      <c r="Q255" s="121">
        <v>0</v>
      </c>
      <c r="R255" s="121"/>
      <c r="S255" s="121">
        <v>0</v>
      </c>
      <c r="T255" s="121"/>
      <c r="U255" s="121">
        <v>0</v>
      </c>
      <c r="V255" s="121"/>
      <c r="W255" s="121">
        <f t="shared" si="7"/>
        <v>0</v>
      </c>
      <c r="X255" s="121"/>
      <c r="Y255" s="121">
        <v>0</v>
      </c>
      <c r="Z255" s="121"/>
      <c r="AA255" s="121">
        <f>+'Stmt net assets'!Y255</f>
        <v>0</v>
      </c>
      <c r="AB255" s="121"/>
      <c r="AC255" s="121">
        <f>+Y255+'Stmt of activities-GA rev'!AC254-'Stmt of activities-GAexp'!W255-AA255</f>
        <v>0</v>
      </c>
    </row>
    <row r="256" spans="1:29" s="47" customFormat="1" ht="12.75" customHeight="1">
      <c r="A256" s="47" t="s">
        <v>287</v>
      </c>
      <c r="B256" s="51"/>
      <c r="C256" s="47" t="s">
        <v>288</v>
      </c>
      <c r="E256" s="44">
        <v>14462693</v>
      </c>
      <c r="F256" s="44"/>
      <c r="G256" s="44">
        <v>2020719</v>
      </c>
      <c r="H256" s="44"/>
      <c r="I256" s="44">
        <v>750893</v>
      </c>
      <c r="J256" s="44"/>
      <c r="K256" s="44">
        <v>1862040</v>
      </c>
      <c r="L256" s="44"/>
      <c r="M256" s="44">
        <v>2669192</v>
      </c>
      <c r="N256" s="44"/>
      <c r="O256" s="44">
        <v>0</v>
      </c>
      <c r="P256" s="44"/>
      <c r="Q256" s="44">
        <v>3415657</v>
      </c>
      <c r="R256" s="44"/>
      <c r="S256" s="44">
        <v>0</v>
      </c>
      <c r="T256" s="44"/>
      <c r="U256" s="44">
        <v>279228</v>
      </c>
      <c r="V256" s="44"/>
      <c r="W256" s="44">
        <f t="shared" si="7"/>
        <v>25460422</v>
      </c>
      <c r="X256" s="44"/>
      <c r="Y256" s="44">
        <v>19759898</v>
      </c>
      <c r="Z256" s="44"/>
      <c r="AA256" s="44">
        <f>+'Stmt net assets'!Y256</f>
        <v>22042338</v>
      </c>
      <c r="AB256" s="44"/>
      <c r="AC256" s="44">
        <f>+Y256+'Stmt of activities-GA rev'!AC255-'Stmt of activities-GAexp'!W256-AA256</f>
        <v>0</v>
      </c>
    </row>
    <row r="257" spans="1:3" s="47" customFormat="1" ht="12.75" customHeight="1">
      <c r="A257" s="49"/>
      <c r="B257" s="51"/>
      <c r="C257" s="49"/>
    </row>
    <row r="258" spans="1:3" s="47" customFormat="1" ht="12.75" customHeight="1">
      <c r="B258" s="51"/>
    </row>
    <row r="259" spans="1:3" s="47" customFormat="1" ht="12.75" customHeight="1">
      <c r="B259" s="51"/>
    </row>
    <row r="260" spans="1:3" s="47" customFormat="1" ht="12.75" customHeight="1">
      <c r="B260" s="51"/>
    </row>
    <row r="261" spans="1:3" s="47" customFormat="1" ht="12.75" customHeight="1">
      <c r="B261" s="51"/>
    </row>
    <row r="262" spans="1:3" s="47" customFormat="1" ht="12.75" customHeight="1">
      <c r="B262" s="51"/>
    </row>
  </sheetData>
  <mergeCells count="1">
    <mergeCell ref="E5:P5"/>
  </mergeCells>
  <phoneticPr fontId="4" type="noConversion"/>
  <printOptions horizontalCentered="1"/>
  <pageMargins left="0.75" right="0.75" top="0.5" bottom="0.5" header="0" footer="0.25"/>
  <pageSetup scale="94" firstPageNumber="22" pageOrder="overThenDown" orientation="portrait" useFirstPageNumber="1" r:id="rId1"/>
  <headerFooter alignWithMargins="0">
    <oddFooter>&amp;C&amp;"Times New Roman,Regular"&amp;11&amp;P</oddFooter>
  </headerFooter>
  <colBreaks count="1" manualBreakCount="1">
    <brk id="14" min="9" max="2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V325"/>
  <sheetViews>
    <sheetView zoomScaleNormal="100" zoomScaleSheetLayoutView="75" workbookViewId="0">
      <pane xSplit="3" ySplit="8" topLeftCell="D138" activePane="bottomRight" state="frozen"/>
      <selection pane="topRight" activeCell="D1" sqref="D1"/>
      <selection pane="bottomLeft" activeCell="A9" sqref="A9"/>
      <selection pane="bottomRight" activeCell="A5" sqref="A5"/>
    </sheetView>
  </sheetViews>
  <sheetFormatPr defaultColWidth="9.140625" defaultRowHeight="12.75" customHeight="1"/>
  <cols>
    <col min="1" max="1" width="15.28515625" style="2" customWidth="1"/>
    <col min="2" max="2" width="1.7109375" customWidth="1"/>
    <col min="3" max="3" width="11" style="2" customWidth="1"/>
    <col min="4" max="4" width="1.7109375" style="2" customWidth="1"/>
    <col min="5" max="5" width="11.7109375" style="2" customWidth="1"/>
    <col min="6" max="6" width="1.7109375" style="2" customWidth="1"/>
    <col min="7" max="7" width="11.7109375" style="2" customWidth="1"/>
    <col min="8" max="8" width="1.7109375" style="2" customWidth="1"/>
    <col min="9" max="9" width="11.7109375" style="2" customWidth="1"/>
    <col min="10" max="10" width="1.7109375" style="2" customWidth="1"/>
    <col min="11" max="11" width="11.7109375" style="2" customWidth="1"/>
    <col min="12" max="12" width="1.7109375" style="2" customWidth="1"/>
    <col min="13" max="13" width="11.7109375" style="2" customWidth="1"/>
    <col min="14" max="14" width="1.7109375" style="2" customWidth="1"/>
    <col min="15" max="15" width="11.7109375" style="2" customWidth="1"/>
    <col min="16" max="16" width="1.7109375" style="2" customWidth="1"/>
    <col min="17" max="17" width="11.7109375" style="2" customWidth="1"/>
    <col min="18" max="18" width="1.7109375" style="2" customWidth="1"/>
    <col min="19" max="19" width="11.7109375" style="2" customWidth="1"/>
    <col min="20" max="20" width="1.7109375" style="2" customWidth="1"/>
    <col min="21" max="21" width="10.7109375" style="2" hidden="1" customWidth="1"/>
    <col min="22" max="22" width="10" style="2" customWidth="1"/>
    <col min="23" max="23" width="9.28515625" style="2" bestFit="1" customWidth="1"/>
    <col min="24" max="16384" width="9.140625" style="2"/>
  </cols>
  <sheetData>
    <row r="1" spans="1:22" ht="12.75" customHeight="1">
      <c r="A1" s="20" t="s">
        <v>416</v>
      </c>
      <c r="C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1:22" ht="12.75" customHeight="1">
      <c r="A2" s="20" t="s">
        <v>499</v>
      </c>
      <c r="C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22" ht="12.75" customHeight="1">
      <c r="A3" s="22" t="s">
        <v>289</v>
      </c>
      <c r="C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2" ht="12.75" customHeight="1">
      <c r="A4" s="22" t="s">
        <v>484</v>
      </c>
      <c r="C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2" ht="12.75" customHeight="1">
      <c r="O5" s="6" t="s">
        <v>318</v>
      </c>
      <c r="P5" s="6"/>
      <c r="Q5" s="6" t="s">
        <v>318</v>
      </c>
    </row>
    <row r="6" spans="1:22" ht="12.75" customHeight="1">
      <c r="A6" s="5"/>
      <c r="C6" s="5"/>
      <c r="D6" s="3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8" t="s">
        <v>437</v>
      </c>
      <c r="P6" s="6"/>
      <c r="Q6" s="6" t="s">
        <v>321</v>
      </c>
      <c r="R6" s="6"/>
      <c r="S6" s="6" t="s">
        <v>6</v>
      </c>
      <c r="T6" s="5"/>
    </row>
    <row r="7" spans="1:22" ht="12.75" customHeight="1">
      <c r="A7" s="5"/>
      <c r="C7" s="5"/>
      <c r="D7" s="5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3" t="s">
        <v>497</v>
      </c>
      <c r="P7" s="3"/>
      <c r="Q7" s="3" t="s">
        <v>498</v>
      </c>
      <c r="R7" s="6"/>
      <c r="S7" s="6" t="s">
        <v>320</v>
      </c>
      <c r="T7" s="5"/>
      <c r="V7" s="3" t="s">
        <v>428</v>
      </c>
    </row>
    <row r="8" spans="1:22" s="44" customFormat="1" ht="12.75" customHeight="1">
      <c r="A8" s="78" t="s">
        <v>8</v>
      </c>
      <c r="B8" s="51"/>
      <c r="C8" s="78" t="s">
        <v>9</v>
      </c>
      <c r="D8" s="35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35"/>
      <c r="V8" s="104" t="s">
        <v>430</v>
      </c>
    </row>
    <row r="9" spans="1:22" s="44" customFormat="1" ht="12.75" customHeight="1">
      <c r="A9" s="8"/>
      <c r="B9" s="51"/>
      <c r="C9" s="8"/>
      <c r="D9" s="35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35"/>
    </row>
    <row r="10" spans="1:22" s="46" customFormat="1" ht="12.75" hidden="1" customHeight="1">
      <c r="A10" s="44" t="s">
        <v>12</v>
      </c>
      <c r="B10" s="51"/>
      <c r="C10" s="44" t="s">
        <v>13</v>
      </c>
      <c r="D10" s="35"/>
      <c r="E10" s="94">
        <v>0</v>
      </c>
      <c r="F10" s="94"/>
      <c r="G10" s="94">
        <v>0</v>
      </c>
      <c r="H10" s="94"/>
      <c r="I10" s="94">
        <v>0</v>
      </c>
      <c r="J10" s="94"/>
      <c r="K10" s="94">
        <v>0</v>
      </c>
      <c r="L10" s="94"/>
      <c r="M10" s="94">
        <v>0</v>
      </c>
      <c r="N10" s="94"/>
      <c r="O10" s="94">
        <v>0</v>
      </c>
      <c r="P10" s="94"/>
      <c r="Q10" s="94">
        <v>0</v>
      </c>
      <c r="R10" s="94"/>
      <c r="S10" s="94">
        <f t="shared" ref="S10:S72" si="0">+Q10+O10+M10</f>
        <v>0</v>
      </c>
      <c r="T10" s="45"/>
      <c r="U10" s="46">
        <f t="shared" ref="U10:U72" si="1">+G10-K10-S10</f>
        <v>0</v>
      </c>
      <c r="V10" s="44">
        <f t="shared" ref="V10:V72" si="2">+G10-K10-S10</f>
        <v>0</v>
      </c>
    </row>
    <row r="11" spans="1:22" s="44" customFormat="1" ht="12.75" customHeight="1">
      <c r="A11" s="44" t="s">
        <v>14</v>
      </c>
      <c r="B11" s="65"/>
      <c r="C11" s="44" t="s">
        <v>15</v>
      </c>
      <c r="D11" s="35"/>
      <c r="E11" s="94">
        <v>4157362</v>
      </c>
      <c r="F11" s="94"/>
      <c r="G11" s="94">
        <v>8712543</v>
      </c>
      <c r="H11" s="94"/>
      <c r="I11" s="94">
        <v>1911243</v>
      </c>
      <c r="J11" s="94"/>
      <c r="K11" s="94">
        <v>3468448</v>
      </c>
      <c r="L11" s="94"/>
      <c r="M11" s="94">
        <f>7497+15858+12909</f>
        <v>36264</v>
      </c>
      <c r="N11" s="94"/>
      <c r="O11" s="94">
        <v>0</v>
      </c>
      <c r="P11" s="94"/>
      <c r="Q11" s="94">
        <v>5207831</v>
      </c>
      <c r="R11" s="94"/>
      <c r="S11" s="94">
        <f>+Q11+O11+M11</f>
        <v>5244095</v>
      </c>
      <c r="T11" s="45"/>
      <c r="U11" s="44">
        <f t="shared" si="1"/>
        <v>0</v>
      </c>
      <c r="V11" s="44">
        <f t="shared" si="2"/>
        <v>0</v>
      </c>
    </row>
    <row r="12" spans="1:22" s="44" customFormat="1" ht="12.75" customHeight="1">
      <c r="A12" s="44" t="s">
        <v>16</v>
      </c>
      <c r="B12" s="51"/>
      <c r="C12" s="44" t="s">
        <v>17</v>
      </c>
      <c r="D12" s="35"/>
      <c r="E12" s="45">
        <v>1526706</v>
      </c>
      <c r="F12" s="45"/>
      <c r="G12" s="45">
        <v>3997780</v>
      </c>
      <c r="H12" s="45"/>
      <c r="I12" s="45">
        <v>1525179</v>
      </c>
      <c r="J12" s="45"/>
      <c r="K12" s="45">
        <v>1735276</v>
      </c>
      <c r="L12" s="45"/>
      <c r="M12" s="45">
        <f>31969+42423</f>
        <v>74392</v>
      </c>
      <c r="N12" s="45"/>
      <c r="O12" s="45">
        <v>0</v>
      </c>
      <c r="P12" s="45"/>
      <c r="Q12" s="45">
        <v>2188112</v>
      </c>
      <c r="R12" s="45"/>
      <c r="S12" s="45">
        <f t="shared" si="0"/>
        <v>2262504</v>
      </c>
      <c r="T12" s="45"/>
      <c r="U12" s="44">
        <f t="shared" si="1"/>
        <v>0</v>
      </c>
      <c r="V12" s="44">
        <f t="shared" si="2"/>
        <v>0</v>
      </c>
    </row>
    <row r="13" spans="1:22" s="44" customFormat="1" ht="12.75" customHeight="1">
      <c r="A13" s="44" t="s">
        <v>18</v>
      </c>
      <c r="B13" s="51"/>
      <c r="C13" s="44" t="s">
        <v>18</v>
      </c>
      <c r="D13" s="35"/>
      <c r="E13" s="45">
        <v>1349167</v>
      </c>
      <c r="F13" s="45"/>
      <c r="G13" s="45">
        <v>4565621</v>
      </c>
      <c r="H13" s="45"/>
      <c r="I13" s="45">
        <v>1982069</v>
      </c>
      <c r="J13" s="45"/>
      <c r="K13" s="45">
        <v>2541150</v>
      </c>
      <c r="L13" s="45"/>
      <c r="M13" s="45">
        <v>10419</v>
      </c>
      <c r="N13" s="45"/>
      <c r="O13" s="45">
        <v>0</v>
      </c>
      <c r="P13" s="45"/>
      <c r="Q13" s="45">
        <v>2014052</v>
      </c>
      <c r="R13" s="45"/>
      <c r="S13" s="45">
        <f t="shared" si="0"/>
        <v>2024471</v>
      </c>
      <c r="T13" s="45"/>
      <c r="U13" s="44">
        <f t="shared" si="1"/>
        <v>0</v>
      </c>
      <c r="V13" s="44">
        <f t="shared" si="2"/>
        <v>0</v>
      </c>
    </row>
    <row r="14" spans="1:22" s="44" customFormat="1" ht="12.75" customHeight="1">
      <c r="A14" s="44" t="s">
        <v>19</v>
      </c>
      <c r="B14" s="51"/>
      <c r="C14" s="44" t="s">
        <v>19</v>
      </c>
      <c r="D14" s="35"/>
      <c r="E14" s="45">
        <f>108832+123303</f>
        <v>232135</v>
      </c>
      <c r="F14" s="45"/>
      <c r="G14" s="45">
        <v>3746545</v>
      </c>
      <c r="H14" s="45"/>
      <c r="I14" s="45">
        <v>2765308</v>
      </c>
      <c r="J14" s="45"/>
      <c r="K14" s="45">
        <v>3193663</v>
      </c>
      <c r="L14" s="45"/>
      <c r="M14" s="45">
        <f>31608+35569+7979</f>
        <v>75156</v>
      </c>
      <c r="N14" s="45"/>
      <c r="O14" s="45">
        <v>0</v>
      </c>
      <c r="P14" s="45"/>
      <c r="Q14" s="45">
        <v>477726</v>
      </c>
      <c r="R14" s="45"/>
      <c r="S14" s="45">
        <f t="shared" si="0"/>
        <v>552882</v>
      </c>
      <c r="T14" s="45"/>
      <c r="U14" s="44">
        <f t="shared" si="1"/>
        <v>0</v>
      </c>
      <c r="V14" s="44">
        <f t="shared" si="2"/>
        <v>0</v>
      </c>
    </row>
    <row r="15" spans="1:22" s="44" customFormat="1" ht="12.75" customHeight="1">
      <c r="A15" s="44" t="s">
        <v>20</v>
      </c>
      <c r="B15" s="51"/>
      <c r="C15" s="44" t="s">
        <v>20</v>
      </c>
      <c r="D15" s="35"/>
      <c r="E15" s="45">
        <v>1322288</v>
      </c>
      <c r="F15" s="45"/>
      <c r="G15" s="45">
        <v>3665567</v>
      </c>
      <c r="H15" s="45"/>
      <c r="I15" s="45">
        <v>1151229</v>
      </c>
      <c r="J15" s="45"/>
      <c r="K15" s="45">
        <v>1637101</v>
      </c>
      <c r="L15" s="45"/>
      <c r="M15" s="45">
        <v>354908</v>
      </c>
      <c r="N15" s="45"/>
      <c r="O15" s="45">
        <v>0</v>
      </c>
      <c r="P15" s="45"/>
      <c r="Q15" s="45">
        <v>1673558</v>
      </c>
      <c r="R15" s="45"/>
      <c r="S15" s="45">
        <f t="shared" si="0"/>
        <v>2028466</v>
      </c>
      <c r="T15" s="45"/>
      <c r="U15" s="44">
        <f t="shared" si="1"/>
        <v>0</v>
      </c>
      <c r="V15" s="44">
        <f t="shared" si="2"/>
        <v>0</v>
      </c>
    </row>
    <row r="16" spans="1:22" s="44" customFormat="1" ht="12.75" customHeight="1">
      <c r="A16" s="44" t="s">
        <v>21</v>
      </c>
      <c r="C16" s="44" t="s">
        <v>22</v>
      </c>
      <c r="D16" s="35"/>
      <c r="E16" s="45">
        <v>6297637</v>
      </c>
      <c r="F16" s="45"/>
      <c r="G16" s="45">
        <v>10858920</v>
      </c>
      <c r="H16" s="45"/>
      <c r="I16" s="45">
        <v>1906289</v>
      </c>
      <c r="J16" s="45"/>
      <c r="K16" s="45">
        <v>4197106</v>
      </c>
      <c r="L16" s="45"/>
      <c r="M16" s="45">
        <f>41203+22822+40528</f>
        <v>104553</v>
      </c>
      <c r="N16" s="45"/>
      <c r="O16" s="45">
        <v>0</v>
      </c>
      <c r="P16" s="45"/>
      <c r="Q16" s="45">
        <v>6557261</v>
      </c>
      <c r="R16" s="45"/>
      <c r="S16" s="45">
        <f t="shared" si="0"/>
        <v>6661814</v>
      </c>
      <c r="T16" s="45"/>
      <c r="U16" s="44">
        <f t="shared" si="1"/>
        <v>0</v>
      </c>
      <c r="V16" s="44">
        <f t="shared" si="2"/>
        <v>0</v>
      </c>
    </row>
    <row r="17" spans="1:22" s="44" customFormat="1" ht="12.75" customHeight="1">
      <c r="A17" s="44" t="s">
        <v>23</v>
      </c>
      <c r="B17" s="51"/>
      <c r="C17" s="44" t="s">
        <v>17</v>
      </c>
      <c r="D17" s="35"/>
      <c r="E17" s="45">
        <f>5538659+974616</f>
        <v>6513275</v>
      </c>
      <c r="F17" s="45"/>
      <c r="G17" s="45">
        <v>12319031</v>
      </c>
      <c r="H17" s="45"/>
      <c r="I17" s="45">
        <v>2452683</v>
      </c>
      <c r="J17" s="45"/>
      <c r="K17" s="45">
        <v>2602780</v>
      </c>
      <c r="L17" s="45"/>
      <c r="M17" s="45">
        <f>25615+974616</f>
        <v>1000231</v>
      </c>
      <c r="N17" s="45"/>
      <c r="O17" s="45">
        <v>83948</v>
      </c>
      <c r="P17" s="45"/>
      <c r="Q17" s="45">
        <v>8632072</v>
      </c>
      <c r="R17" s="45"/>
      <c r="S17" s="45">
        <f t="shared" si="0"/>
        <v>9716251</v>
      </c>
      <c r="T17" s="45"/>
      <c r="U17" s="44">
        <f t="shared" si="1"/>
        <v>0</v>
      </c>
      <c r="V17" s="44">
        <f t="shared" si="2"/>
        <v>0</v>
      </c>
    </row>
    <row r="18" spans="1:22" s="44" customFormat="1" ht="12.75" hidden="1" customHeight="1">
      <c r="A18" s="44" t="s">
        <v>24</v>
      </c>
      <c r="B18" s="51"/>
      <c r="C18" s="44" t="s">
        <v>17</v>
      </c>
      <c r="D18" s="35"/>
      <c r="E18" s="45">
        <v>0</v>
      </c>
      <c r="F18" s="45"/>
      <c r="G18" s="45">
        <v>0</v>
      </c>
      <c r="H18" s="45"/>
      <c r="I18" s="45">
        <v>0</v>
      </c>
      <c r="J18" s="45"/>
      <c r="K18" s="45">
        <v>0</v>
      </c>
      <c r="L18" s="45"/>
      <c r="M18" s="45">
        <v>0</v>
      </c>
      <c r="N18" s="45"/>
      <c r="O18" s="45">
        <v>0</v>
      </c>
      <c r="P18" s="45"/>
      <c r="Q18" s="45">
        <v>0</v>
      </c>
      <c r="R18" s="45"/>
      <c r="S18" s="45">
        <f t="shared" si="0"/>
        <v>0</v>
      </c>
      <c r="T18" s="45"/>
      <c r="U18" s="44">
        <f t="shared" si="1"/>
        <v>0</v>
      </c>
      <c r="V18" s="44">
        <f t="shared" si="2"/>
        <v>0</v>
      </c>
    </row>
    <row r="19" spans="1:22" s="44" customFormat="1" ht="12.75" customHeight="1">
      <c r="A19" s="44" t="s">
        <v>25</v>
      </c>
      <c r="C19" s="44" t="s">
        <v>13</v>
      </c>
      <c r="D19" s="35"/>
      <c r="E19" s="45">
        <f>2041410+221899</f>
        <v>2263309</v>
      </c>
      <c r="F19" s="45"/>
      <c r="G19" s="45">
        <v>6681113</v>
      </c>
      <c r="H19" s="45"/>
      <c r="I19" s="45">
        <v>612121</v>
      </c>
      <c r="J19" s="45"/>
      <c r="K19" s="45">
        <v>2620921</v>
      </c>
      <c r="L19" s="45"/>
      <c r="M19" s="45">
        <f>493796+53984+1777</f>
        <v>549557</v>
      </c>
      <c r="N19" s="45"/>
      <c r="O19" s="45">
        <v>0</v>
      </c>
      <c r="P19" s="45"/>
      <c r="Q19" s="45">
        <v>3510635</v>
      </c>
      <c r="R19" s="45"/>
      <c r="S19" s="45">
        <f t="shared" si="0"/>
        <v>4060192</v>
      </c>
      <c r="T19" s="45"/>
      <c r="U19" s="44">
        <f t="shared" si="1"/>
        <v>0</v>
      </c>
      <c r="V19" s="44">
        <f>+G19-K19-S19</f>
        <v>0</v>
      </c>
    </row>
    <row r="20" spans="1:22" s="44" customFormat="1" ht="12.75" customHeight="1">
      <c r="A20" s="44" t="s">
        <v>26</v>
      </c>
      <c r="B20" s="51"/>
      <c r="C20" s="44" t="s">
        <v>27</v>
      </c>
      <c r="D20" s="35"/>
      <c r="E20" s="45">
        <v>1219479</v>
      </c>
      <c r="F20" s="45"/>
      <c r="G20" s="45">
        <v>8050206</v>
      </c>
      <c r="H20" s="45"/>
      <c r="I20" s="45">
        <v>1701152</v>
      </c>
      <c r="J20" s="45"/>
      <c r="K20" s="45">
        <v>5447906</v>
      </c>
      <c r="L20" s="45"/>
      <c r="M20" s="45">
        <v>25013</v>
      </c>
      <c r="N20" s="45"/>
      <c r="O20" s="45">
        <v>578947</v>
      </c>
      <c r="P20" s="45"/>
      <c r="Q20" s="45">
        <v>1998340</v>
      </c>
      <c r="R20" s="45"/>
      <c r="S20" s="45">
        <f t="shared" si="0"/>
        <v>2602300</v>
      </c>
      <c r="T20" s="45"/>
      <c r="U20" s="44">
        <f t="shared" si="1"/>
        <v>0</v>
      </c>
      <c r="V20" s="44">
        <f t="shared" si="2"/>
        <v>0</v>
      </c>
    </row>
    <row r="21" spans="1:22" s="44" customFormat="1" ht="12.75" customHeight="1">
      <c r="A21" s="44" t="s">
        <v>28</v>
      </c>
      <c r="B21" s="51"/>
      <c r="C21" s="44" t="s">
        <v>27</v>
      </c>
      <c r="D21" s="35"/>
      <c r="E21" s="45">
        <f>14737807+6401+4493</f>
        <v>14748701</v>
      </c>
      <c r="F21" s="45"/>
      <c r="G21" s="45">
        <v>24225333</v>
      </c>
      <c r="H21" s="45"/>
      <c r="I21" s="45">
        <v>4374881</v>
      </c>
      <c r="J21" s="45"/>
      <c r="K21" s="45">
        <v>6014934</v>
      </c>
      <c r="L21" s="45"/>
      <c r="M21" s="45">
        <f>806724+4493+985486</f>
        <v>1796703</v>
      </c>
      <c r="N21" s="45"/>
      <c r="O21" s="45">
        <v>936551</v>
      </c>
      <c r="P21" s="45"/>
      <c r="Q21" s="45">
        <v>15477145</v>
      </c>
      <c r="R21" s="45"/>
      <c r="S21" s="45">
        <f t="shared" si="0"/>
        <v>18210399</v>
      </c>
      <c r="T21" s="45"/>
      <c r="U21" s="44">
        <f t="shared" si="1"/>
        <v>0</v>
      </c>
      <c r="V21" s="44">
        <f t="shared" si="2"/>
        <v>0</v>
      </c>
    </row>
    <row r="22" spans="1:22" s="44" customFormat="1" ht="12.75" customHeight="1">
      <c r="A22" s="44" t="s">
        <v>29</v>
      </c>
      <c r="B22" s="51"/>
      <c r="C22" s="44" t="s">
        <v>30</v>
      </c>
      <c r="D22" s="35"/>
      <c r="E22" s="45">
        <v>2058288</v>
      </c>
      <c r="F22" s="45"/>
      <c r="G22" s="45">
        <v>5017566</v>
      </c>
      <c r="H22" s="45"/>
      <c r="I22" s="45">
        <v>2156247</v>
      </c>
      <c r="J22" s="45"/>
      <c r="K22" s="45">
        <v>2315710</v>
      </c>
      <c r="L22" s="45"/>
      <c r="M22" s="45">
        <v>1914</v>
      </c>
      <c r="N22" s="45"/>
      <c r="O22" s="45">
        <v>0</v>
      </c>
      <c r="P22" s="45"/>
      <c r="Q22" s="45">
        <v>2699942</v>
      </c>
      <c r="R22" s="45"/>
      <c r="S22" s="45">
        <f t="shared" si="0"/>
        <v>2701856</v>
      </c>
      <c r="T22" s="45"/>
      <c r="U22" s="44">
        <f t="shared" si="1"/>
        <v>0</v>
      </c>
      <c r="V22" s="44">
        <f t="shared" si="2"/>
        <v>0</v>
      </c>
    </row>
    <row r="23" spans="1:22" s="44" customFormat="1" ht="12.75" customHeight="1">
      <c r="A23" s="44" t="s">
        <v>31</v>
      </c>
      <c r="B23" s="51"/>
      <c r="C23" s="44" t="s">
        <v>27</v>
      </c>
      <c r="D23" s="35"/>
      <c r="E23" s="45">
        <v>7449687</v>
      </c>
      <c r="F23" s="45"/>
      <c r="G23" s="45">
        <v>14405195</v>
      </c>
      <c r="H23" s="45"/>
      <c r="I23" s="45">
        <v>4773294</v>
      </c>
      <c r="J23" s="45"/>
      <c r="K23" s="45">
        <v>5231387</v>
      </c>
      <c r="L23" s="45"/>
      <c r="M23" s="45">
        <f>140994+12216</f>
        <v>153210</v>
      </c>
      <c r="N23" s="45"/>
      <c r="O23" s="45">
        <v>45607</v>
      </c>
      <c r="P23" s="45"/>
      <c r="Q23" s="45">
        <v>8974991</v>
      </c>
      <c r="R23" s="45"/>
      <c r="S23" s="45">
        <f t="shared" si="0"/>
        <v>9173808</v>
      </c>
      <c r="T23" s="45"/>
      <c r="U23" s="44">
        <f t="shared" si="1"/>
        <v>0</v>
      </c>
      <c r="V23" s="44">
        <f t="shared" si="2"/>
        <v>0</v>
      </c>
    </row>
    <row r="24" spans="1:22" s="44" customFormat="1" ht="12.75" customHeight="1">
      <c r="A24" s="44" t="s">
        <v>32</v>
      </c>
      <c r="B24" s="51"/>
      <c r="C24" s="44" t="s">
        <v>27</v>
      </c>
      <c r="D24" s="35"/>
      <c r="E24" s="45">
        <v>2139566</v>
      </c>
      <c r="F24" s="45"/>
      <c r="G24" s="45">
        <v>5945120</v>
      </c>
      <c r="H24" s="45"/>
      <c r="I24" s="45">
        <v>1891743</v>
      </c>
      <c r="J24" s="45"/>
      <c r="K24" s="45">
        <v>2499219</v>
      </c>
      <c r="L24" s="45"/>
      <c r="M24" s="45">
        <f>52015+19287+50456</f>
        <v>121758</v>
      </c>
      <c r="N24" s="45"/>
      <c r="O24" s="45">
        <v>0</v>
      </c>
      <c r="P24" s="45"/>
      <c r="Q24" s="45">
        <v>3324143</v>
      </c>
      <c r="R24" s="45"/>
      <c r="S24" s="45">
        <f t="shared" si="0"/>
        <v>3445901</v>
      </c>
      <c r="T24" s="45"/>
      <c r="U24" s="44">
        <f t="shared" si="1"/>
        <v>0</v>
      </c>
      <c r="V24" s="44">
        <f t="shared" si="2"/>
        <v>0</v>
      </c>
    </row>
    <row r="25" spans="1:22" s="44" customFormat="1" ht="12.75" customHeight="1">
      <c r="A25" s="44" t="s">
        <v>34</v>
      </c>
      <c r="B25" s="51"/>
      <c r="C25" s="44" t="s">
        <v>30</v>
      </c>
      <c r="D25" s="35"/>
      <c r="E25" s="45">
        <v>829995</v>
      </c>
      <c r="F25" s="45"/>
      <c r="G25" s="45">
        <v>1835053</v>
      </c>
      <c r="H25" s="45"/>
      <c r="I25" s="45">
        <v>938108</v>
      </c>
      <c r="J25" s="45"/>
      <c r="K25" s="45">
        <v>964965</v>
      </c>
      <c r="L25" s="45"/>
      <c r="M25" s="45">
        <v>723</v>
      </c>
      <c r="N25" s="45"/>
      <c r="O25" s="45">
        <v>0</v>
      </c>
      <c r="P25" s="45"/>
      <c r="Q25" s="45">
        <v>869365</v>
      </c>
      <c r="R25" s="145"/>
      <c r="S25" s="145">
        <f t="shared" si="0"/>
        <v>870088</v>
      </c>
      <c r="T25" s="45"/>
      <c r="U25" s="44">
        <f t="shared" si="1"/>
        <v>0</v>
      </c>
      <c r="V25" s="44">
        <f t="shared" si="2"/>
        <v>0</v>
      </c>
    </row>
    <row r="26" spans="1:22" s="44" customFormat="1" ht="12.75" customHeight="1">
      <c r="A26" s="44" t="s">
        <v>35</v>
      </c>
      <c r="B26" s="51"/>
      <c r="C26" s="44" t="s">
        <v>36</v>
      </c>
      <c r="D26" s="35"/>
      <c r="E26" s="45">
        <v>2243032</v>
      </c>
      <c r="F26" s="45"/>
      <c r="G26" s="45">
        <v>3949363</v>
      </c>
      <c r="H26" s="45"/>
      <c r="I26" s="45">
        <v>604440</v>
      </c>
      <c r="J26" s="45"/>
      <c r="K26" s="45">
        <v>1515719</v>
      </c>
      <c r="L26" s="45"/>
      <c r="M26" s="45">
        <f>113932+21263</f>
        <v>135195</v>
      </c>
      <c r="N26" s="45"/>
      <c r="O26" s="45">
        <v>0</v>
      </c>
      <c r="P26" s="45"/>
      <c r="Q26" s="45">
        <v>2298449</v>
      </c>
      <c r="R26" s="45"/>
      <c r="S26" s="45">
        <f t="shared" si="0"/>
        <v>2433644</v>
      </c>
      <c r="T26" s="45"/>
      <c r="U26" s="44">
        <f t="shared" si="1"/>
        <v>0</v>
      </c>
      <c r="V26" s="44">
        <f t="shared" si="2"/>
        <v>0</v>
      </c>
    </row>
    <row r="27" spans="1:22" s="44" customFormat="1" ht="12.75" customHeight="1">
      <c r="A27" s="44" t="s">
        <v>37</v>
      </c>
      <c r="B27" s="51"/>
      <c r="C27" s="44" t="s">
        <v>38</v>
      </c>
      <c r="D27" s="35"/>
      <c r="E27" s="45">
        <f>1141020+495</f>
        <v>1141515</v>
      </c>
      <c r="F27" s="45"/>
      <c r="G27" s="45">
        <v>2712491</v>
      </c>
      <c r="H27" s="45"/>
      <c r="I27" s="45">
        <v>1273347</v>
      </c>
      <c r="J27" s="45"/>
      <c r="K27" s="45">
        <v>1546067</v>
      </c>
      <c r="L27" s="45"/>
      <c r="M27" s="45">
        <v>7943</v>
      </c>
      <c r="N27" s="45"/>
      <c r="O27" s="45">
        <v>0</v>
      </c>
      <c r="P27" s="45"/>
      <c r="Q27" s="45">
        <v>1158481</v>
      </c>
      <c r="R27" s="45"/>
      <c r="S27" s="45">
        <f t="shared" si="0"/>
        <v>1166424</v>
      </c>
      <c r="T27" s="45"/>
      <c r="U27" s="44">
        <f t="shared" si="1"/>
        <v>0</v>
      </c>
      <c r="V27" s="44">
        <f t="shared" si="2"/>
        <v>0</v>
      </c>
    </row>
    <row r="28" spans="1:22" s="44" customFormat="1" ht="12.75" customHeight="1">
      <c r="A28" s="44" t="s">
        <v>39</v>
      </c>
      <c r="C28" s="44" t="s">
        <v>40</v>
      </c>
      <c r="D28" s="35"/>
      <c r="E28" s="45">
        <f>1099604+7250</f>
        <v>1106854</v>
      </c>
      <c r="F28" s="45"/>
      <c r="G28" s="45">
        <v>1997215</v>
      </c>
      <c r="H28" s="45"/>
      <c r="I28" s="45">
        <v>585026</v>
      </c>
      <c r="J28" s="45"/>
      <c r="K28" s="45">
        <v>672267</v>
      </c>
      <c r="L28" s="45"/>
      <c r="M28" s="45">
        <f>17908+1919+2741</f>
        <v>22568</v>
      </c>
      <c r="N28" s="45"/>
      <c r="O28" s="45">
        <v>1478</v>
      </c>
      <c r="P28" s="45"/>
      <c r="Q28" s="45">
        <v>1300902</v>
      </c>
      <c r="R28" s="45"/>
      <c r="S28" s="45">
        <f t="shared" si="0"/>
        <v>1324948</v>
      </c>
      <c r="T28" s="45"/>
      <c r="U28" s="44">
        <f t="shared" si="1"/>
        <v>0</v>
      </c>
      <c r="V28" s="44">
        <f t="shared" si="2"/>
        <v>0</v>
      </c>
    </row>
    <row r="29" spans="1:22" s="44" customFormat="1" ht="12.75" customHeight="1">
      <c r="A29" s="44" t="s">
        <v>41</v>
      </c>
      <c r="B29" s="51"/>
      <c r="C29" s="44" t="s">
        <v>27</v>
      </c>
      <c r="D29" s="35"/>
      <c r="E29" s="45">
        <v>2267584</v>
      </c>
      <c r="F29" s="45"/>
      <c r="G29" s="45">
        <v>7650569</v>
      </c>
      <c r="H29" s="45"/>
      <c r="I29" s="45">
        <v>2634616</v>
      </c>
      <c r="J29" s="45"/>
      <c r="K29" s="45">
        <v>3417671</v>
      </c>
      <c r="L29" s="45"/>
      <c r="M29" s="45">
        <f>1951+150000</f>
        <v>151951</v>
      </c>
      <c r="N29" s="45"/>
      <c r="O29" s="45">
        <v>0</v>
      </c>
      <c r="P29" s="45"/>
      <c r="Q29" s="45">
        <v>4080947</v>
      </c>
      <c r="R29" s="45"/>
      <c r="S29" s="45">
        <f t="shared" si="0"/>
        <v>4232898</v>
      </c>
      <c r="T29" s="45"/>
      <c r="U29" s="44">
        <f t="shared" si="1"/>
        <v>0</v>
      </c>
      <c r="V29" s="44">
        <f t="shared" si="2"/>
        <v>0</v>
      </c>
    </row>
    <row r="30" spans="1:22" s="44" customFormat="1" ht="11.25" customHeight="1">
      <c r="A30" s="44" t="s">
        <v>42</v>
      </c>
      <c r="B30" s="51"/>
      <c r="C30" s="44" t="s">
        <v>43</v>
      </c>
      <c r="D30" s="35"/>
      <c r="E30" s="45">
        <f>7739640+1935</f>
        <v>7741575</v>
      </c>
      <c r="F30" s="45"/>
      <c r="G30" s="45">
        <v>11472549</v>
      </c>
      <c r="H30" s="45"/>
      <c r="I30" s="45">
        <v>2065909</v>
      </c>
      <c r="J30" s="45"/>
      <c r="K30" s="45">
        <v>2797399</v>
      </c>
      <c r="L30" s="45"/>
      <c r="M30" s="45">
        <v>3221193</v>
      </c>
      <c r="N30" s="45"/>
      <c r="O30" s="45">
        <v>1000000</v>
      </c>
      <c r="P30" s="45"/>
      <c r="Q30" s="45">
        <v>4453957</v>
      </c>
      <c r="R30" s="45"/>
      <c r="S30" s="45">
        <f t="shared" si="0"/>
        <v>8675150</v>
      </c>
      <c r="T30" s="45"/>
      <c r="U30" s="44">
        <f t="shared" si="1"/>
        <v>0</v>
      </c>
      <c r="V30" s="44">
        <f t="shared" si="2"/>
        <v>0</v>
      </c>
    </row>
    <row r="31" spans="1:22" s="44" customFormat="1" ht="12.75" customHeight="1">
      <c r="A31" s="44" t="s">
        <v>44</v>
      </c>
      <c r="B31" s="51"/>
      <c r="C31" s="44" t="s">
        <v>45</v>
      </c>
      <c r="D31" s="35"/>
      <c r="E31" s="45">
        <v>18227449</v>
      </c>
      <c r="F31" s="45"/>
      <c r="G31" s="45">
        <v>27442511</v>
      </c>
      <c r="H31" s="45"/>
      <c r="I31" s="45">
        <v>5244402</v>
      </c>
      <c r="J31" s="45"/>
      <c r="K31" s="45">
        <v>6673377</v>
      </c>
      <c r="L31" s="45"/>
      <c r="M31" s="45">
        <f>276150+76464+22149</f>
        <v>374763</v>
      </c>
      <c r="N31" s="45"/>
      <c r="O31" s="45">
        <v>0</v>
      </c>
      <c r="P31" s="45"/>
      <c r="Q31" s="45">
        <v>20394371</v>
      </c>
      <c r="R31" s="45"/>
      <c r="S31" s="45">
        <f t="shared" si="0"/>
        <v>20769134</v>
      </c>
      <c r="T31" s="45"/>
      <c r="U31" s="44">
        <f t="shared" si="1"/>
        <v>0</v>
      </c>
      <c r="V31" s="44">
        <f t="shared" si="2"/>
        <v>0</v>
      </c>
    </row>
    <row r="32" spans="1:22" s="44" customFormat="1" ht="12.75" customHeight="1">
      <c r="A32" s="44" t="s">
        <v>46</v>
      </c>
      <c r="B32" s="51"/>
      <c r="C32" s="44" t="s">
        <v>47</v>
      </c>
      <c r="D32" s="35"/>
      <c r="E32" s="45">
        <v>2788602</v>
      </c>
      <c r="F32" s="45"/>
      <c r="G32" s="45">
        <v>8161893</v>
      </c>
      <c r="H32" s="45"/>
      <c r="I32" s="45">
        <v>3979597</v>
      </c>
      <c r="J32" s="45"/>
      <c r="K32" s="45">
        <v>5221002</v>
      </c>
      <c r="L32" s="45"/>
      <c r="M32" s="45">
        <f>51746+261421</f>
        <v>313167</v>
      </c>
      <c r="N32" s="45"/>
      <c r="O32" s="45">
        <v>166691</v>
      </c>
      <c r="P32" s="45"/>
      <c r="Q32" s="45">
        <v>2461033</v>
      </c>
      <c r="R32" s="45"/>
      <c r="S32" s="45">
        <f t="shared" si="0"/>
        <v>2940891</v>
      </c>
      <c r="T32" s="45"/>
      <c r="U32" s="44">
        <f t="shared" si="1"/>
        <v>0</v>
      </c>
      <c r="V32" s="44">
        <f t="shared" si="2"/>
        <v>0</v>
      </c>
    </row>
    <row r="33" spans="1:22" s="44" customFormat="1" ht="12.75" customHeight="1">
      <c r="A33" s="44" t="s">
        <v>48</v>
      </c>
      <c r="C33" s="44" t="s">
        <v>27</v>
      </c>
      <c r="D33" s="35"/>
      <c r="E33" s="45">
        <f>6130545+26111</f>
        <v>6156656</v>
      </c>
      <c r="F33" s="45"/>
      <c r="G33" s="45">
        <v>11352502</v>
      </c>
      <c r="H33" s="45"/>
      <c r="I33" s="45">
        <v>3476347</v>
      </c>
      <c r="J33" s="45"/>
      <c r="K33" s="45">
        <v>4231743</v>
      </c>
      <c r="L33" s="45"/>
      <c r="M33" s="45">
        <f>257971+5536+776399</f>
        <v>1039906</v>
      </c>
      <c r="N33" s="45"/>
      <c r="O33" s="45">
        <v>312269</v>
      </c>
      <c r="P33" s="45"/>
      <c r="Q33" s="45">
        <v>5768584</v>
      </c>
      <c r="R33" s="45"/>
      <c r="S33" s="45">
        <f t="shared" si="0"/>
        <v>7120759</v>
      </c>
      <c r="T33" s="45"/>
      <c r="U33" s="44">
        <f t="shared" si="1"/>
        <v>0</v>
      </c>
      <c r="V33" s="44">
        <f t="shared" si="2"/>
        <v>0</v>
      </c>
    </row>
    <row r="34" spans="1:22" s="44" customFormat="1" ht="12.75" customHeight="1">
      <c r="A34" s="44" t="s">
        <v>49</v>
      </c>
      <c r="C34" s="44" t="s">
        <v>27</v>
      </c>
      <c r="D34" s="35"/>
      <c r="E34" s="45">
        <v>2122147</v>
      </c>
      <c r="F34" s="45"/>
      <c r="G34" s="45">
        <v>5850254</v>
      </c>
      <c r="H34" s="45"/>
      <c r="I34" s="45">
        <v>2038580</v>
      </c>
      <c r="J34" s="45"/>
      <c r="K34" s="45">
        <v>2493295</v>
      </c>
      <c r="L34" s="45"/>
      <c r="M34" s="45">
        <v>77600</v>
      </c>
      <c r="N34" s="45"/>
      <c r="O34" s="45">
        <v>0</v>
      </c>
      <c r="P34" s="45"/>
      <c r="Q34" s="45">
        <v>3279359</v>
      </c>
      <c r="R34" s="45"/>
      <c r="S34" s="45">
        <f t="shared" si="0"/>
        <v>3356959</v>
      </c>
      <c r="T34" s="45"/>
      <c r="U34" s="44">
        <f t="shared" si="1"/>
        <v>0</v>
      </c>
      <c r="V34" s="44">
        <f t="shared" si="2"/>
        <v>0</v>
      </c>
    </row>
    <row r="35" spans="1:22" s="44" customFormat="1" ht="12.75" customHeight="1">
      <c r="A35" s="44" t="s">
        <v>50</v>
      </c>
      <c r="B35" s="51"/>
      <c r="C35" s="44" t="s">
        <v>27</v>
      </c>
      <c r="D35" s="35"/>
      <c r="E35" s="45">
        <v>2750453</v>
      </c>
      <c r="F35" s="45"/>
      <c r="G35" s="45">
        <v>8421842</v>
      </c>
      <c r="H35" s="45"/>
      <c r="I35" s="45">
        <v>3080760</v>
      </c>
      <c r="J35" s="45"/>
      <c r="K35" s="45">
        <v>4144297</v>
      </c>
      <c r="L35" s="45"/>
      <c r="M35" s="45">
        <f>343708+266175+104043</f>
        <v>713926</v>
      </c>
      <c r="N35" s="45"/>
      <c r="O35" s="45">
        <v>0</v>
      </c>
      <c r="P35" s="45"/>
      <c r="Q35" s="45">
        <v>3563619</v>
      </c>
      <c r="R35" s="45"/>
      <c r="S35" s="45">
        <f t="shared" si="0"/>
        <v>4277545</v>
      </c>
      <c r="T35" s="45"/>
      <c r="U35" s="44">
        <f t="shared" si="1"/>
        <v>0</v>
      </c>
      <c r="V35" s="44">
        <f t="shared" si="2"/>
        <v>0</v>
      </c>
    </row>
    <row r="36" spans="1:22" s="44" customFormat="1" ht="12.75" customHeight="1">
      <c r="A36" s="44" t="s">
        <v>51</v>
      </c>
      <c r="B36" s="51"/>
      <c r="C36" s="44" t="s">
        <v>27</v>
      </c>
      <c r="D36" s="35"/>
      <c r="E36" s="45">
        <f>4413301+83439</f>
        <v>4496740</v>
      </c>
      <c r="F36" s="45"/>
      <c r="G36" s="45">
        <v>13110543</v>
      </c>
      <c r="H36" s="45"/>
      <c r="I36" s="45">
        <v>1794416</v>
      </c>
      <c r="J36" s="45"/>
      <c r="K36" s="45">
        <v>2491128</v>
      </c>
      <c r="L36" s="45"/>
      <c r="M36" s="45">
        <f>134328+3954812</f>
        <v>4089140</v>
      </c>
      <c r="N36" s="45"/>
      <c r="O36" s="45">
        <v>0</v>
      </c>
      <c r="P36" s="45"/>
      <c r="Q36" s="45">
        <v>6530275</v>
      </c>
      <c r="R36" s="45"/>
      <c r="S36" s="45">
        <f t="shared" si="0"/>
        <v>10619415</v>
      </c>
      <c r="T36" s="45"/>
      <c r="U36" s="44">
        <f t="shared" si="1"/>
        <v>0</v>
      </c>
      <c r="V36" s="44">
        <f t="shared" si="2"/>
        <v>0</v>
      </c>
    </row>
    <row r="37" spans="1:22" s="44" customFormat="1" ht="12.75" customHeight="1">
      <c r="A37" s="44" t="s">
        <v>462</v>
      </c>
      <c r="B37" s="51"/>
      <c r="C37" s="44" t="s">
        <v>66</v>
      </c>
      <c r="D37" s="35"/>
      <c r="E37" s="45">
        <v>703079</v>
      </c>
      <c r="F37" s="45"/>
      <c r="G37" s="45">
        <v>1832772</v>
      </c>
      <c r="H37" s="45"/>
      <c r="I37" s="45">
        <v>447574</v>
      </c>
      <c r="J37" s="45"/>
      <c r="K37" s="45">
        <v>687427</v>
      </c>
      <c r="L37" s="45"/>
      <c r="M37" s="45">
        <f>35136+12831</f>
        <v>47967</v>
      </c>
      <c r="N37" s="45"/>
      <c r="O37" s="45">
        <v>0</v>
      </c>
      <c r="P37" s="45"/>
      <c r="Q37" s="45">
        <v>1097378</v>
      </c>
      <c r="R37" s="45"/>
      <c r="S37" s="45">
        <f t="shared" si="0"/>
        <v>1145345</v>
      </c>
      <c r="T37" s="45"/>
      <c r="U37" s="44">
        <f t="shared" si="1"/>
        <v>0</v>
      </c>
      <c r="V37" s="44">
        <f t="shared" si="2"/>
        <v>0</v>
      </c>
    </row>
    <row r="38" spans="1:22" s="44" customFormat="1" ht="12.75" customHeight="1">
      <c r="A38" s="44" t="s">
        <v>52</v>
      </c>
      <c r="B38" s="51"/>
      <c r="C38" s="44" t="s">
        <v>53</v>
      </c>
      <c r="D38" s="35"/>
      <c r="E38" s="45">
        <f>1927310+7482+16587</f>
        <v>1951379</v>
      </c>
      <c r="F38" s="45"/>
      <c r="G38" s="45">
        <v>6712275</v>
      </c>
      <c r="H38" s="45"/>
      <c r="I38" s="45">
        <v>2533068</v>
      </c>
      <c r="J38" s="45"/>
      <c r="K38" s="45">
        <v>2839740</v>
      </c>
      <c r="L38" s="45"/>
      <c r="M38" s="45">
        <f>156613+16587+1411286</f>
        <v>1584486</v>
      </c>
      <c r="N38" s="45"/>
      <c r="O38" s="45">
        <v>0</v>
      </c>
      <c r="P38" s="45"/>
      <c r="Q38" s="45">
        <v>2288049</v>
      </c>
      <c r="R38" s="45"/>
      <c r="S38" s="45">
        <f t="shared" si="0"/>
        <v>3872535</v>
      </c>
      <c r="T38" s="45"/>
      <c r="U38" s="44">
        <f t="shared" si="1"/>
        <v>0</v>
      </c>
      <c r="V38" s="44">
        <f t="shared" si="2"/>
        <v>0</v>
      </c>
    </row>
    <row r="39" spans="1:22" s="44" customFormat="1" ht="12.75" customHeight="1">
      <c r="A39" s="44" t="s">
        <v>54</v>
      </c>
      <c r="B39" s="51"/>
      <c r="C39" s="44" t="s">
        <v>55</v>
      </c>
      <c r="D39" s="35"/>
      <c r="E39" s="45">
        <v>6884688</v>
      </c>
      <c r="F39" s="45"/>
      <c r="G39" s="45">
        <v>8771310</v>
      </c>
      <c r="H39" s="45"/>
      <c r="I39" s="45">
        <v>903063</v>
      </c>
      <c r="J39" s="45"/>
      <c r="K39" s="45">
        <v>1158302</v>
      </c>
      <c r="L39" s="45"/>
      <c r="M39" s="45">
        <v>24562</v>
      </c>
      <c r="N39" s="45"/>
      <c r="O39" s="45">
        <v>0</v>
      </c>
      <c r="P39" s="45"/>
      <c r="Q39" s="45">
        <v>7588446</v>
      </c>
      <c r="R39" s="45"/>
      <c r="S39" s="45">
        <f t="shared" si="0"/>
        <v>7613008</v>
      </c>
      <c r="T39" s="45"/>
      <c r="U39" s="44">
        <f t="shared" si="1"/>
        <v>0</v>
      </c>
      <c r="V39" s="44">
        <f t="shared" si="2"/>
        <v>0</v>
      </c>
    </row>
    <row r="40" spans="1:22" s="44" customFormat="1" ht="12.75" customHeight="1">
      <c r="A40" s="44" t="s">
        <v>56</v>
      </c>
      <c r="B40" s="51"/>
      <c r="C40" s="44" t="s">
        <v>57</v>
      </c>
      <c r="D40" s="35"/>
      <c r="E40" s="45">
        <v>764625</v>
      </c>
      <c r="F40" s="45"/>
      <c r="G40" s="45">
        <v>2673185</v>
      </c>
      <c r="H40" s="45"/>
      <c r="I40" s="45">
        <v>1224930</v>
      </c>
      <c r="J40" s="45"/>
      <c r="K40" s="45">
        <v>1595248</v>
      </c>
      <c r="L40" s="45"/>
      <c r="M40" s="45">
        <v>40412</v>
      </c>
      <c r="N40" s="45"/>
      <c r="O40" s="45">
        <v>22561</v>
      </c>
      <c r="P40" s="45"/>
      <c r="Q40" s="45">
        <v>1014964</v>
      </c>
      <c r="R40" s="45"/>
      <c r="S40" s="45">
        <f t="shared" si="0"/>
        <v>1077937</v>
      </c>
      <c r="T40" s="45"/>
      <c r="U40" s="44">
        <f t="shared" si="1"/>
        <v>0</v>
      </c>
      <c r="V40" s="44">
        <f t="shared" si="2"/>
        <v>0</v>
      </c>
    </row>
    <row r="41" spans="1:22" s="44" customFormat="1" ht="12.75" customHeight="1">
      <c r="A41" s="44" t="s">
        <v>58</v>
      </c>
      <c r="B41" s="51"/>
      <c r="C41" s="44" t="s">
        <v>59</v>
      </c>
      <c r="D41" s="35"/>
      <c r="E41" s="45">
        <v>361812</v>
      </c>
      <c r="F41" s="45"/>
      <c r="G41" s="45">
        <v>2261755</v>
      </c>
      <c r="H41" s="45"/>
      <c r="I41" s="45">
        <v>752633</v>
      </c>
      <c r="J41" s="45"/>
      <c r="K41" s="45">
        <v>1029138</v>
      </c>
      <c r="L41" s="45"/>
      <c r="M41" s="45">
        <v>5801</v>
      </c>
      <c r="N41" s="45"/>
      <c r="O41" s="45">
        <v>0</v>
      </c>
      <c r="P41" s="45"/>
      <c r="Q41" s="45">
        <v>1226816</v>
      </c>
      <c r="R41" s="45"/>
      <c r="S41" s="45">
        <f t="shared" si="0"/>
        <v>1232617</v>
      </c>
      <c r="T41" s="45"/>
      <c r="U41" s="44">
        <f t="shared" si="1"/>
        <v>0</v>
      </c>
      <c r="V41" s="44">
        <f t="shared" si="2"/>
        <v>0</v>
      </c>
    </row>
    <row r="42" spans="1:22" s="44" customFormat="1" ht="12.75" customHeight="1">
      <c r="A42" s="44" t="s">
        <v>476</v>
      </c>
      <c r="B42" s="51"/>
      <c r="C42" s="44" t="s">
        <v>15</v>
      </c>
      <c r="D42" s="35"/>
      <c r="E42" s="45">
        <v>46994</v>
      </c>
      <c r="F42" s="45"/>
      <c r="G42" s="45">
        <v>816093</v>
      </c>
      <c r="H42" s="45"/>
      <c r="I42" s="45">
        <v>530163</v>
      </c>
      <c r="J42" s="45"/>
      <c r="K42" s="45">
        <v>559165</v>
      </c>
      <c r="L42" s="45"/>
      <c r="M42" s="45">
        <v>34758</v>
      </c>
      <c r="N42" s="45"/>
      <c r="O42" s="45">
        <v>0</v>
      </c>
      <c r="P42" s="45"/>
      <c r="Q42" s="45">
        <v>222170</v>
      </c>
      <c r="R42" s="45"/>
      <c r="S42" s="45">
        <f>+Q42+O42+M42</f>
        <v>256928</v>
      </c>
      <c r="T42" s="45"/>
      <c r="U42" s="44">
        <f>+G42-K42-S42</f>
        <v>0</v>
      </c>
      <c r="V42" s="44">
        <f>+G42-K42-S42</f>
        <v>0</v>
      </c>
    </row>
    <row r="43" spans="1:22" s="44" customFormat="1" ht="12.75" customHeight="1">
      <c r="A43" s="44" t="s">
        <v>60</v>
      </c>
      <c r="B43" s="51"/>
      <c r="C43" s="44" t="s">
        <v>61</v>
      </c>
      <c r="D43" s="35"/>
      <c r="E43" s="45">
        <f>1044085+288508</f>
        <v>1332593</v>
      </c>
      <c r="F43" s="45"/>
      <c r="G43" s="45">
        <v>2794141</v>
      </c>
      <c r="H43" s="45"/>
      <c r="I43" s="45">
        <v>515337</v>
      </c>
      <c r="J43" s="45"/>
      <c r="K43" s="45">
        <v>767421</v>
      </c>
      <c r="L43" s="45"/>
      <c r="M43" s="45">
        <f>55263+95484+2259</f>
        <v>153006</v>
      </c>
      <c r="N43" s="45"/>
      <c r="O43" s="45">
        <v>0</v>
      </c>
      <c r="P43" s="45"/>
      <c r="Q43" s="45">
        <v>1873714</v>
      </c>
      <c r="R43" s="45"/>
      <c r="S43" s="45">
        <f t="shared" si="0"/>
        <v>2026720</v>
      </c>
      <c r="T43" s="45"/>
      <c r="U43" s="44">
        <f t="shared" si="1"/>
        <v>0</v>
      </c>
      <c r="V43" s="44">
        <f t="shared" si="2"/>
        <v>0</v>
      </c>
    </row>
    <row r="44" spans="1:22" s="44" customFormat="1" ht="12.75" customHeight="1">
      <c r="A44" s="44" t="s">
        <v>62</v>
      </c>
      <c r="B44" s="51"/>
      <c r="C44" s="44" t="s">
        <v>15</v>
      </c>
      <c r="D44" s="35"/>
      <c r="E44" s="45">
        <v>2148940</v>
      </c>
      <c r="F44" s="45"/>
      <c r="G44" s="45">
        <v>15917140</v>
      </c>
      <c r="H44" s="45"/>
      <c r="I44" s="45">
        <v>6683276</v>
      </c>
      <c r="J44" s="45"/>
      <c r="K44" s="45">
        <v>9386407</v>
      </c>
      <c r="L44" s="45"/>
      <c r="M44" s="45">
        <f>262064+50320+620913</f>
        <v>933297</v>
      </c>
      <c r="N44" s="45"/>
      <c r="O44" s="45">
        <v>0</v>
      </c>
      <c r="P44" s="45"/>
      <c r="Q44" s="45">
        <v>5597436</v>
      </c>
      <c r="R44" s="45"/>
      <c r="S44" s="45">
        <f t="shared" si="0"/>
        <v>6530733</v>
      </c>
      <c r="T44" s="45"/>
      <c r="U44" s="44">
        <f t="shared" si="1"/>
        <v>0</v>
      </c>
      <c r="V44" s="44">
        <f t="shared" si="2"/>
        <v>0</v>
      </c>
    </row>
    <row r="45" spans="1:22" s="44" customFormat="1" ht="12.75" customHeight="1">
      <c r="A45" s="44" t="s">
        <v>485</v>
      </c>
      <c r="B45" s="51"/>
      <c r="C45" s="44" t="s">
        <v>111</v>
      </c>
      <c r="D45" s="35"/>
      <c r="E45" s="45">
        <v>286560</v>
      </c>
      <c r="F45" s="45"/>
      <c r="G45" s="45">
        <v>831918</v>
      </c>
      <c r="H45" s="45"/>
      <c r="I45" s="45">
        <v>139905</v>
      </c>
      <c r="J45" s="45"/>
      <c r="K45" s="45">
        <v>223658</v>
      </c>
      <c r="L45" s="45"/>
      <c r="M45" s="45">
        <f>3742+6172+10326</f>
        <v>20240</v>
      </c>
      <c r="N45" s="45"/>
      <c r="O45" s="45">
        <v>0</v>
      </c>
      <c r="P45" s="45"/>
      <c r="Q45" s="45">
        <v>588020</v>
      </c>
      <c r="R45" s="45"/>
      <c r="S45" s="45">
        <f>+Q45+O45+M45</f>
        <v>608260</v>
      </c>
      <c r="T45" s="45"/>
      <c r="U45" s="44">
        <f>+G45-K45-S45</f>
        <v>0</v>
      </c>
      <c r="V45" s="44">
        <f>+G45-K45-S45</f>
        <v>0</v>
      </c>
    </row>
    <row r="46" spans="1:22" s="44" customFormat="1" ht="12.75" customHeight="1">
      <c r="A46" s="44" t="s">
        <v>63</v>
      </c>
      <c r="B46" s="51"/>
      <c r="C46" s="44" t="s">
        <v>64</v>
      </c>
      <c r="D46" s="35"/>
      <c r="E46" s="45">
        <v>1034458</v>
      </c>
      <c r="F46" s="45"/>
      <c r="G46" s="45">
        <v>2347627</v>
      </c>
      <c r="H46" s="45"/>
      <c r="I46" s="45">
        <v>776977</v>
      </c>
      <c r="J46" s="45"/>
      <c r="K46" s="45">
        <v>1113708</v>
      </c>
      <c r="L46" s="45"/>
      <c r="M46" s="45">
        <f>32036+9771</f>
        <v>41807</v>
      </c>
      <c r="N46" s="45"/>
      <c r="O46" s="45">
        <v>29845</v>
      </c>
      <c r="P46" s="45"/>
      <c r="Q46" s="45">
        <v>1162267</v>
      </c>
      <c r="R46" s="45"/>
      <c r="S46" s="45">
        <f t="shared" si="0"/>
        <v>1233919</v>
      </c>
      <c r="T46" s="45"/>
      <c r="U46" s="44">
        <f t="shared" si="1"/>
        <v>0</v>
      </c>
      <c r="V46" s="44">
        <f t="shared" si="2"/>
        <v>0</v>
      </c>
    </row>
    <row r="47" spans="1:22" s="44" customFormat="1" ht="12.75" customHeight="1">
      <c r="A47" s="44" t="s">
        <v>65</v>
      </c>
      <c r="B47" s="51"/>
      <c r="C47" s="44" t="s">
        <v>66</v>
      </c>
      <c r="D47" s="35"/>
      <c r="E47" s="45">
        <v>10531380</v>
      </c>
      <c r="F47" s="45"/>
      <c r="G47" s="45">
        <v>15754407</v>
      </c>
      <c r="H47" s="45"/>
      <c r="I47" s="45">
        <v>2916040</v>
      </c>
      <c r="J47" s="45"/>
      <c r="K47" s="45">
        <v>3508611</v>
      </c>
      <c r="L47" s="45"/>
      <c r="M47" s="45">
        <v>84567</v>
      </c>
      <c r="N47" s="45"/>
      <c r="O47" s="45">
        <v>0</v>
      </c>
      <c r="P47" s="45"/>
      <c r="Q47" s="45">
        <v>12161229</v>
      </c>
      <c r="R47" s="45"/>
      <c r="S47" s="45">
        <f>+Q47+O47+M47</f>
        <v>12245796</v>
      </c>
      <c r="T47" s="45"/>
      <c r="U47" s="44">
        <f>+G47-K47-S47</f>
        <v>0</v>
      </c>
      <c r="V47" s="44">
        <f>+G47-K47-S47</f>
        <v>0</v>
      </c>
    </row>
    <row r="48" spans="1:22" s="44" customFormat="1" ht="12.75" customHeight="1">
      <c r="A48" s="44" t="s">
        <v>67</v>
      </c>
      <c r="B48" s="51"/>
      <c r="C48" s="44" t="s">
        <v>375</v>
      </c>
      <c r="D48" s="35"/>
      <c r="E48" s="45">
        <v>1861343</v>
      </c>
      <c r="F48" s="45"/>
      <c r="G48" s="45">
        <v>3798178</v>
      </c>
      <c r="H48" s="45"/>
      <c r="I48" s="45">
        <v>1036807</v>
      </c>
      <c r="J48" s="45"/>
      <c r="K48" s="45">
        <v>1426763</v>
      </c>
      <c r="L48" s="45"/>
      <c r="M48" s="45">
        <f>117708+293589</f>
        <v>411297</v>
      </c>
      <c r="N48" s="45"/>
      <c r="O48" s="45">
        <v>0</v>
      </c>
      <c r="P48" s="45"/>
      <c r="Q48" s="45">
        <v>1960118</v>
      </c>
      <c r="R48" s="45"/>
      <c r="S48" s="45">
        <f t="shared" ref="S48:S53" si="3">+Q48+O48+M48</f>
        <v>2371415</v>
      </c>
      <c r="T48" s="45"/>
      <c r="U48" s="44">
        <f t="shared" ref="U48:U57" si="4">+G48-K48-S48</f>
        <v>0</v>
      </c>
      <c r="V48" s="44">
        <f t="shared" ref="V48:V57" si="5">+G48-K48-S48</f>
        <v>0</v>
      </c>
    </row>
    <row r="49" spans="1:22" s="44" customFormat="1" ht="12.75" customHeight="1">
      <c r="A49" s="44" t="s">
        <v>68</v>
      </c>
      <c r="B49" s="51"/>
      <c r="C49" s="44" t="s">
        <v>45</v>
      </c>
      <c r="D49" s="35"/>
      <c r="E49" s="45">
        <v>681960</v>
      </c>
      <c r="F49" s="45"/>
      <c r="G49" s="45">
        <v>3567635</v>
      </c>
      <c r="H49" s="45"/>
      <c r="I49" s="45">
        <v>2413008</v>
      </c>
      <c r="J49" s="45"/>
      <c r="K49" s="45">
        <v>2726238</v>
      </c>
      <c r="L49" s="45"/>
      <c r="M49" s="45">
        <f>51197+15537+15601</f>
        <v>82335</v>
      </c>
      <c r="N49" s="45"/>
      <c r="O49" s="45">
        <v>0</v>
      </c>
      <c r="P49" s="45"/>
      <c r="Q49" s="45">
        <v>759062</v>
      </c>
      <c r="R49" s="45"/>
      <c r="S49" s="45">
        <f t="shared" si="3"/>
        <v>841397</v>
      </c>
      <c r="T49" s="45"/>
      <c r="U49" s="44">
        <f t="shared" si="4"/>
        <v>0</v>
      </c>
      <c r="V49" s="44">
        <f t="shared" si="5"/>
        <v>0</v>
      </c>
    </row>
    <row r="50" spans="1:22" s="44" customFormat="1" ht="12.75" customHeight="1">
      <c r="A50" s="44" t="s">
        <v>69</v>
      </c>
      <c r="B50" s="51"/>
      <c r="C50" s="44" t="s">
        <v>70</v>
      </c>
      <c r="D50" s="35"/>
      <c r="E50" s="45">
        <v>2683269</v>
      </c>
      <c r="F50" s="45"/>
      <c r="G50" s="45">
        <v>6091577</v>
      </c>
      <c r="H50" s="45"/>
      <c r="I50" s="45">
        <v>1492855</v>
      </c>
      <c r="J50" s="45"/>
      <c r="K50" s="45">
        <v>4754022</v>
      </c>
      <c r="L50" s="45"/>
      <c r="M50" s="45">
        <f>25259+117728</f>
        <v>142987</v>
      </c>
      <c r="N50" s="45"/>
      <c r="O50" s="45">
        <v>0</v>
      </c>
      <c r="P50" s="45"/>
      <c r="Q50" s="45">
        <v>1194568</v>
      </c>
      <c r="R50" s="45"/>
      <c r="S50" s="45">
        <f t="shared" si="3"/>
        <v>1337555</v>
      </c>
      <c r="T50" s="45"/>
      <c r="U50" s="44">
        <f t="shared" si="4"/>
        <v>0</v>
      </c>
      <c r="V50" s="44">
        <f t="shared" si="5"/>
        <v>0</v>
      </c>
    </row>
    <row r="51" spans="1:22" s="44" customFormat="1" ht="12.75" customHeight="1">
      <c r="A51" s="46" t="s">
        <v>71</v>
      </c>
      <c r="B51" s="46"/>
      <c r="C51" s="46" t="s">
        <v>45</v>
      </c>
      <c r="D51" s="64"/>
      <c r="E51" s="45">
        <f>11000+78081000</f>
        <v>78092000</v>
      </c>
      <c r="F51" s="45"/>
      <c r="G51" s="45">
        <v>164873000</v>
      </c>
      <c r="H51" s="45"/>
      <c r="I51" s="45">
        <v>46533000</v>
      </c>
      <c r="J51" s="45"/>
      <c r="K51" s="45">
        <v>79072000</v>
      </c>
      <c r="L51" s="45"/>
      <c r="M51" s="45">
        <f>3726000+8295000</f>
        <v>12021000</v>
      </c>
      <c r="N51" s="45"/>
      <c r="O51" s="45">
        <v>27316000</v>
      </c>
      <c r="P51" s="45"/>
      <c r="Q51" s="45">
        <v>46464000</v>
      </c>
      <c r="R51" s="45"/>
      <c r="S51" s="45">
        <f t="shared" si="3"/>
        <v>85801000</v>
      </c>
      <c r="T51" s="45"/>
      <c r="U51" s="44">
        <f t="shared" si="4"/>
        <v>0</v>
      </c>
      <c r="V51" s="44">
        <f>+G51-K51-S51</f>
        <v>0</v>
      </c>
    </row>
    <row r="52" spans="1:22" s="44" customFormat="1" ht="12.75" customHeight="1">
      <c r="A52" s="44" t="s">
        <v>463</v>
      </c>
      <c r="C52" s="44" t="s">
        <v>464</v>
      </c>
      <c r="D52" s="35"/>
      <c r="E52" s="45">
        <v>1008418</v>
      </c>
      <c r="F52" s="45"/>
      <c r="G52" s="45">
        <v>3557002</v>
      </c>
      <c r="H52" s="45"/>
      <c r="I52" s="45">
        <v>1704005</v>
      </c>
      <c r="J52" s="45"/>
      <c r="K52" s="45">
        <v>2079312</v>
      </c>
      <c r="L52" s="45"/>
      <c r="M52" s="45">
        <v>83850</v>
      </c>
      <c r="N52" s="45"/>
      <c r="O52" s="45">
        <v>0</v>
      </c>
      <c r="P52" s="45"/>
      <c r="Q52" s="45">
        <v>1393840</v>
      </c>
      <c r="R52" s="45"/>
      <c r="S52" s="45">
        <f t="shared" si="3"/>
        <v>1477690</v>
      </c>
      <c r="T52" s="45"/>
      <c r="U52" s="44">
        <f t="shared" si="4"/>
        <v>0</v>
      </c>
      <c r="V52" s="44">
        <f t="shared" si="5"/>
        <v>0</v>
      </c>
    </row>
    <row r="53" spans="1:22" s="44" customFormat="1" ht="12.75" customHeight="1">
      <c r="A53" s="46" t="s">
        <v>72</v>
      </c>
      <c r="B53" s="46"/>
      <c r="C53" s="46" t="s">
        <v>66</v>
      </c>
      <c r="D53" s="64"/>
      <c r="E53" s="45">
        <v>2031141</v>
      </c>
      <c r="F53" s="45"/>
      <c r="G53" s="45">
        <v>3934166</v>
      </c>
      <c r="H53" s="45"/>
      <c r="I53" s="45">
        <v>1345863</v>
      </c>
      <c r="J53" s="45"/>
      <c r="K53" s="45">
        <v>1407902</v>
      </c>
      <c r="L53" s="45"/>
      <c r="M53" s="45">
        <v>3770</v>
      </c>
      <c r="N53" s="45"/>
      <c r="O53" s="45">
        <v>69572</v>
      </c>
      <c r="P53" s="45"/>
      <c r="Q53" s="45">
        <v>2452922</v>
      </c>
      <c r="R53" s="45"/>
      <c r="S53" s="45">
        <f t="shared" si="3"/>
        <v>2526264</v>
      </c>
      <c r="T53" s="45"/>
      <c r="U53" s="44">
        <f t="shared" si="4"/>
        <v>0</v>
      </c>
      <c r="V53" s="44">
        <f t="shared" si="5"/>
        <v>0</v>
      </c>
    </row>
    <row r="54" spans="1:22" s="44" customFormat="1" ht="12.75" customHeight="1">
      <c r="A54" s="44" t="s">
        <v>73</v>
      </c>
      <c r="C54" s="44" t="s">
        <v>27</v>
      </c>
      <c r="D54" s="35"/>
      <c r="E54" s="45">
        <v>16400000</v>
      </c>
      <c r="F54" s="45"/>
      <c r="G54" s="45">
        <v>168411000</v>
      </c>
      <c r="H54" s="45"/>
      <c r="I54" s="45">
        <v>100987000</v>
      </c>
      <c r="J54" s="45"/>
      <c r="K54" s="45">
        <v>155870000</v>
      </c>
      <c r="L54" s="45"/>
      <c r="M54" s="45">
        <f>77000+6461000+8532000</f>
        <v>15070000</v>
      </c>
      <c r="N54" s="45"/>
      <c r="O54" s="45">
        <v>42000</v>
      </c>
      <c r="P54" s="45"/>
      <c r="Q54" s="45">
        <v>-2571000</v>
      </c>
      <c r="R54" s="45"/>
      <c r="S54" s="45">
        <f t="shared" ref="S54:S57" si="6">+Q54+O54+M54</f>
        <v>12541000</v>
      </c>
      <c r="T54" s="45"/>
      <c r="U54" s="44">
        <f t="shared" si="4"/>
        <v>0</v>
      </c>
      <c r="V54" s="44">
        <f t="shared" si="5"/>
        <v>0</v>
      </c>
    </row>
    <row r="55" spans="1:22" s="44" customFormat="1" ht="12.75" customHeight="1">
      <c r="A55" s="44" t="s">
        <v>74</v>
      </c>
      <c r="B55" s="51"/>
      <c r="C55" s="44" t="s">
        <v>27</v>
      </c>
      <c r="D55" s="35"/>
      <c r="E55" s="45">
        <f>2785586+1985158</f>
        <v>4770744</v>
      </c>
      <c r="F55" s="45"/>
      <c r="G55" s="45">
        <v>21383524</v>
      </c>
      <c r="H55" s="45"/>
      <c r="I55" s="45">
        <v>12624395</v>
      </c>
      <c r="J55" s="45"/>
      <c r="K55" s="45">
        <v>15333269</v>
      </c>
      <c r="L55" s="45"/>
      <c r="M55" s="45">
        <f>123037+329078</f>
        <v>452115</v>
      </c>
      <c r="N55" s="45"/>
      <c r="O55" s="45">
        <v>0</v>
      </c>
      <c r="P55" s="45"/>
      <c r="Q55" s="45">
        <v>5598140</v>
      </c>
      <c r="R55" s="45"/>
      <c r="S55" s="45">
        <f t="shared" si="6"/>
        <v>6050255</v>
      </c>
      <c r="T55" s="45"/>
      <c r="U55" s="44">
        <f t="shared" si="4"/>
        <v>0</v>
      </c>
      <c r="V55" s="44">
        <f t="shared" si="5"/>
        <v>0</v>
      </c>
    </row>
    <row r="56" spans="1:22" s="44" customFormat="1" ht="12.75" customHeight="1">
      <c r="A56" s="44" t="s">
        <v>75</v>
      </c>
      <c r="B56" s="51"/>
      <c r="C56" s="44" t="s">
        <v>76</v>
      </c>
      <c r="D56" s="35"/>
      <c r="E56" s="45">
        <v>884311</v>
      </c>
      <c r="F56" s="45"/>
      <c r="G56" s="45">
        <v>2009019</v>
      </c>
      <c r="H56" s="45"/>
      <c r="I56" s="45">
        <v>336773</v>
      </c>
      <c r="J56" s="45"/>
      <c r="K56" s="45">
        <v>782663</v>
      </c>
      <c r="L56" s="45"/>
      <c r="M56" s="45">
        <f>52387+22020+6552</f>
        <v>80959</v>
      </c>
      <c r="N56" s="45"/>
      <c r="O56" s="45">
        <v>0</v>
      </c>
      <c r="P56" s="45"/>
      <c r="Q56" s="45">
        <v>1145397</v>
      </c>
      <c r="R56" s="45"/>
      <c r="S56" s="45">
        <f t="shared" si="6"/>
        <v>1226356</v>
      </c>
      <c r="T56" s="45"/>
      <c r="U56" s="44">
        <f t="shared" si="4"/>
        <v>0</v>
      </c>
      <c r="V56" s="44">
        <f t="shared" si="5"/>
        <v>0</v>
      </c>
    </row>
    <row r="57" spans="1:22" s="44" customFormat="1" ht="12.75" customHeight="1">
      <c r="A57" s="44" t="s">
        <v>77</v>
      </c>
      <c r="B57" s="51"/>
      <c r="C57" s="44" t="s">
        <v>43</v>
      </c>
      <c r="D57" s="35"/>
      <c r="E57" s="45">
        <v>75026000</v>
      </c>
      <c r="F57" s="45"/>
      <c r="G57" s="45">
        <v>217749000</v>
      </c>
      <c r="H57" s="45"/>
      <c r="I57" s="45">
        <v>95436000</v>
      </c>
      <c r="J57" s="45"/>
      <c r="K57" s="45">
        <v>128837000</v>
      </c>
      <c r="L57" s="45"/>
      <c r="M57" s="45">
        <v>11898000</v>
      </c>
      <c r="N57" s="45"/>
      <c r="O57" s="45">
        <v>4951000</v>
      </c>
      <c r="P57" s="45"/>
      <c r="Q57" s="45">
        <v>72063000</v>
      </c>
      <c r="R57" s="45"/>
      <c r="S57" s="45">
        <f t="shared" si="6"/>
        <v>88912000</v>
      </c>
      <c r="T57" s="45"/>
      <c r="U57" s="44">
        <f t="shared" si="4"/>
        <v>0</v>
      </c>
      <c r="V57" s="44">
        <f t="shared" si="5"/>
        <v>0</v>
      </c>
    </row>
    <row r="58" spans="1:22" s="44" customFormat="1" ht="12.75" customHeight="1">
      <c r="A58" s="44" t="s">
        <v>94</v>
      </c>
      <c r="B58" s="51"/>
      <c r="C58" s="44" t="s">
        <v>94</v>
      </c>
      <c r="D58" s="35"/>
      <c r="E58" s="45">
        <f>111157+55300</f>
        <v>166457</v>
      </c>
      <c r="F58" s="45"/>
      <c r="G58" s="45">
        <v>972474</v>
      </c>
      <c r="H58" s="45"/>
      <c r="I58" s="45">
        <v>693069</v>
      </c>
      <c r="J58" s="45"/>
      <c r="K58" s="45">
        <v>774920</v>
      </c>
      <c r="L58" s="45"/>
      <c r="M58" s="45">
        <f>43265+36475</f>
        <v>79740</v>
      </c>
      <c r="N58" s="45"/>
      <c r="O58" s="45">
        <v>0</v>
      </c>
      <c r="P58" s="45"/>
      <c r="Q58" s="45">
        <v>117814</v>
      </c>
      <c r="R58" s="45"/>
      <c r="S58" s="45">
        <f>+Q58+O58+M58</f>
        <v>197554</v>
      </c>
      <c r="T58" s="45"/>
      <c r="U58" s="44">
        <f>+G58-K58-S58</f>
        <v>0</v>
      </c>
      <c r="V58" s="44">
        <f>+G58-K58-S58</f>
        <v>0</v>
      </c>
    </row>
    <row r="59" spans="1:22" s="44" customFormat="1" ht="12.75" customHeight="1">
      <c r="A59" s="44" t="s">
        <v>78</v>
      </c>
      <c r="B59" s="51"/>
      <c r="C59" s="44" t="s">
        <v>19</v>
      </c>
      <c r="D59" s="35"/>
      <c r="E59" s="45">
        <v>326954</v>
      </c>
      <c r="F59" s="45"/>
      <c r="G59" s="45">
        <v>2276764</v>
      </c>
      <c r="H59" s="45"/>
      <c r="I59" s="45">
        <v>1246335</v>
      </c>
      <c r="J59" s="45"/>
      <c r="K59" s="45">
        <v>1687441</v>
      </c>
      <c r="L59" s="45"/>
      <c r="M59" s="45">
        <f>16935+17772</f>
        <v>34707</v>
      </c>
      <c r="N59" s="45"/>
      <c r="O59" s="45">
        <v>0</v>
      </c>
      <c r="P59" s="45"/>
      <c r="Q59" s="45">
        <v>554616</v>
      </c>
      <c r="R59" s="45"/>
      <c r="S59" s="45">
        <f>+Q59+O59+M59</f>
        <v>589323</v>
      </c>
      <c r="T59" s="45"/>
      <c r="U59" s="44">
        <f>+G59-K59-S59</f>
        <v>0</v>
      </c>
      <c r="V59" s="44">
        <f>+G59-K59-S59</f>
        <v>0</v>
      </c>
    </row>
    <row r="60" spans="1:22" s="46" customFormat="1" ht="12.75" customHeight="1">
      <c r="D60" s="3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8" t="s">
        <v>484</v>
      </c>
      <c r="T60" s="45"/>
      <c r="U60" s="44"/>
      <c r="V60" s="44"/>
    </row>
    <row r="61" spans="1:22" s="44" customFormat="1" ht="12.75" customHeight="1">
      <c r="A61" s="44" t="s">
        <v>79</v>
      </c>
      <c r="B61" s="51"/>
      <c r="C61" s="44" t="s">
        <v>80</v>
      </c>
      <c r="D61" s="35"/>
      <c r="E61" s="94">
        <v>756863</v>
      </c>
      <c r="F61" s="94"/>
      <c r="G61" s="94">
        <v>1442680</v>
      </c>
      <c r="H61" s="94"/>
      <c r="I61" s="94">
        <v>646583</v>
      </c>
      <c r="J61" s="94"/>
      <c r="K61" s="94">
        <v>688971</v>
      </c>
      <c r="L61" s="94"/>
      <c r="M61" s="94">
        <v>0</v>
      </c>
      <c r="N61" s="94"/>
      <c r="O61" s="94">
        <v>0</v>
      </c>
      <c r="P61" s="94"/>
      <c r="Q61" s="94">
        <v>753709</v>
      </c>
      <c r="R61" s="94"/>
      <c r="S61" s="94">
        <f>+Q61+O61+M61</f>
        <v>753709</v>
      </c>
      <c r="T61" s="45"/>
      <c r="U61" s="44">
        <f>+G61-K61-S61</f>
        <v>0</v>
      </c>
      <c r="V61" s="44">
        <f>+G61-K61-S61</f>
        <v>0</v>
      </c>
    </row>
    <row r="62" spans="1:22" s="44" customFormat="1" ht="12.75" customHeight="1">
      <c r="A62" s="44" t="s">
        <v>81</v>
      </c>
      <c r="B62" s="51"/>
      <c r="C62" s="44" t="s">
        <v>81</v>
      </c>
      <c r="D62" s="35"/>
      <c r="E62" s="45">
        <v>34556</v>
      </c>
      <c r="F62" s="45"/>
      <c r="G62" s="45">
        <v>1464141</v>
      </c>
      <c r="H62" s="45"/>
      <c r="I62" s="45">
        <v>546654</v>
      </c>
      <c r="J62" s="45"/>
      <c r="K62" s="45">
        <v>1198592</v>
      </c>
      <c r="L62" s="45"/>
      <c r="M62" s="45">
        <v>2306</v>
      </c>
      <c r="N62" s="45"/>
      <c r="O62" s="45">
        <v>0</v>
      </c>
      <c r="P62" s="45"/>
      <c r="Q62" s="45">
        <v>263243</v>
      </c>
      <c r="R62" s="45"/>
      <c r="S62" s="45">
        <f>+Q62+O62+M62</f>
        <v>265549</v>
      </c>
      <c r="T62" s="45"/>
      <c r="U62" s="44">
        <f>+G62-K62-S62</f>
        <v>0</v>
      </c>
      <c r="V62" s="44">
        <f>+G62-K62-S62</f>
        <v>0</v>
      </c>
    </row>
    <row r="63" spans="1:22" s="123" customFormat="1" ht="12.75" hidden="1" customHeight="1">
      <c r="A63" s="122" t="s">
        <v>465</v>
      </c>
      <c r="B63" s="122"/>
      <c r="C63" s="122" t="s">
        <v>57</v>
      </c>
      <c r="D63" s="126"/>
      <c r="E63" s="127">
        <v>0</v>
      </c>
      <c r="F63" s="127"/>
      <c r="G63" s="127">
        <v>0</v>
      </c>
      <c r="H63" s="127"/>
      <c r="I63" s="127">
        <v>0</v>
      </c>
      <c r="J63" s="127"/>
      <c r="K63" s="127">
        <v>0</v>
      </c>
      <c r="L63" s="127"/>
      <c r="M63" s="127">
        <v>0</v>
      </c>
      <c r="N63" s="127"/>
      <c r="O63" s="127">
        <v>0</v>
      </c>
      <c r="P63" s="127"/>
      <c r="Q63" s="127">
        <v>0</v>
      </c>
      <c r="R63" s="127"/>
      <c r="S63" s="127">
        <f>+Q63+O63+M63</f>
        <v>0</v>
      </c>
      <c r="T63" s="127"/>
      <c r="U63" s="121">
        <f>+G63-K63-S63</f>
        <v>0</v>
      </c>
      <c r="V63" s="121">
        <f>+G63-K63-S63</f>
        <v>0</v>
      </c>
    </row>
    <row r="64" spans="1:22" s="44" customFormat="1" ht="12.75" customHeight="1">
      <c r="A64" s="44" t="s">
        <v>82</v>
      </c>
      <c r="B64" s="51"/>
      <c r="C64" s="44" t="s">
        <v>13</v>
      </c>
      <c r="D64" s="35"/>
      <c r="E64" s="45">
        <f>3178057+77517</f>
        <v>3255574</v>
      </c>
      <c r="F64" s="45"/>
      <c r="G64" s="45">
        <v>20380980</v>
      </c>
      <c r="H64" s="45"/>
      <c r="I64" s="45">
        <v>11366443</v>
      </c>
      <c r="J64" s="45"/>
      <c r="K64" s="45">
        <v>12280429</v>
      </c>
      <c r="L64" s="45"/>
      <c r="M64" s="45">
        <f>47921+101769+121149</f>
        <v>270839</v>
      </c>
      <c r="N64" s="45"/>
      <c r="O64" s="45">
        <v>0</v>
      </c>
      <c r="P64" s="45"/>
      <c r="Q64" s="45">
        <v>7829712</v>
      </c>
      <c r="R64" s="45"/>
      <c r="S64" s="45">
        <f t="shared" ref="S64:S66" si="7">+Q64+O64+M64</f>
        <v>8100551</v>
      </c>
      <c r="T64" s="45"/>
      <c r="U64" s="44">
        <f t="shared" si="1"/>
        <v>0</v>
      </c>
      <c r="V64" s="44">
        <f t="shared" si="2"/>
        <v>0</v>
      </c>
    </row>
    <row r="65" spans="1:22" s="44" customFormat="1" ht="12.75" customHeight="1">
      <c r="A65" s="44" t="s">
        <v>83</v>
      </c>
      <c r="B65" s="51"/>
      <c r="C65" s="44" t="s">
        <v>66</v>
      </c>
      <c r="D65" s="35"/>
      <c r="E65" s="45">
        <f>27090186+250</f>
        <v>27090436</v>
      </c>
      <c r="F65" s="45"/>
      <c r="G65" s="45">
        <v>68900241</v>
      </c>
      <c r="H65" s="45"/>
      <c r="I65" s="45">
        <v>14483501</v>
      </c>
      <c r="J65" s="45"/>
      <c r="K65" s="45">
        <v>34292557</v>
      </c>
      <c r="L65" s="45"/>
      <c r="M65" s="45">
        <f>2477421+511441+142262</f>
        <v>3131124</v>
      </c>
      <c r="N65" s="45"/>
      <c r="O65" s="45">
        <v>5322656</v>
      </c>
      <c r="P65" s="45"/>
      <c r="Q65" s="45">
        <v>26153904</v>
      </c>
      <c r="R65" s="45"/>
      <c r="S65" s="45">
        <f t="shared" si="7"/>
        <v>34607684</v>
      </c>
      <c r="T65" s="45"/>
      <c r="U65" s="44">
        <f t="shared" si="1"/>
        <v>0</v>
      </c>
      <c r="V65" s="44">
        <f t="shared" si="2"/>
        <v>0</v>
      </c>
    </row>
    <row r="66" spans="1:22" s="44" customFormat="1" ht="12" customHeight="1">
      <c r="A66" s="44" t="s">
        <v>84</v>
      </c>
      <c r="B66" s="51"/>
      <c r="C66" s="44" t="s">
        <v>45</v>
      </c>
      <c r="D66" s="35"/>
      <c r="E66" s="45">
        <v>1205185</v>
      </c>
      <c r="F66" s="45"/>
      <c r="G66" s="45">
        <v>3084324</v>
      </c>
      <c r="H66" s="45"/>
      <c r="I66" s="45">
        <v>11434610</v>
      </c>
      <c r="J66" s="45"/>
      <c r="K66" s="45">
        <v>1727509</v>
      </c>
      <c r="L66" s="45"/>
      <c r="M66" s="45">
        <v>0</v>
      </c>
      <c r="N66" s="45"/>
      <c r="O66" s="45">
        <v>0</v>
      </c>
      <c r="P66" s="45"/>
      <c r="Q66" s="45">
        <v>1356815</v>
      </c>
      <c r="R66" s="45"/>
      <c r="S66" s="45">
        <f t="shared" si="7"/>
        <v>1356815</v>
      </c>
      <c r="T66" s="45"/>
      <c r="U66" s="44">
        <f t="shared" si="1"/>
        <v>0</v>
      </c>
      <c r="V66" s="44">
        <f t="shared" si="2"/>
        <v>0</v>
      </c>
    </row>
    <row r="67" spans="1:22" s="46" customFormat="1" ht="12.75" customHeight="1">
      <c r="A67" s="44" t="s">
        <v>85</v>
      </c>
      <c r="B67" s="44"/>
      <c r="C67" s="44" t="s">
        <v>85</v>
      </c>
      <c r="D67" s="35"/>
      <c r="E67" s="45">
        <f>1389537+361+150846</f>
        <v>1540744</v>
      </c>
      <c r="F67" s="45"/>
      <c r="G67" s="45">
        <v>3490176</v>
      </c>
      <c r="H67" s="45"/>
      <c r="I67" s="45">
        <v>467630</v>
      </c>
      <c r="J67" s="45"/>
      <c r="K67" s="45">
        <v>1725716</v>
      </c>
      <c r="L67" s="45"/>
      <c r="M67" s="45">
        <f>39950+150846</f>
        <v>190796</v>
      </c>
      <c r="N67" s="45"/>
      <c r="O67" s="45">
        <v>0</v>
      </c>
      <c r="P67" s="45"/>
      <c r="Q67" s="45">
        <v>1573664</v>
      </c>
      <c r="R67" s="45"/>
      <c r="S67" s="45">
        <f t="shared" si="0"/>
        <v>1764460</v>
      </c>
      <c r="T67" s="45"/>
      <c r="U67" s="44">
        <f t="shared" si="1"/>
        <v>0</v>
      </c>
      <c r="V67" s="44">
        <f t="shared" si="2"/>
        <v>0</v>
      </c>
    </row>
    <row r="68" spans="1:22" s="46" customFormat="1" ht="12.75" customHeight="1">
      <c r="A68" s="44" t="s">
        <v>86</v>
      </c>
      <c r="B68" s="51"/>
      <c r="C68" s="44" t="s">
        <v>86</v>
      </c>
      <c r="D68" s="35"/>
      <c r="E68" s="45">
        <v>1494542</v>
      </c>
      <c r="F68" s="45"/>
      <c r="G68" s="45">
        <v>9119321</v>
      </c>
      <c r="H68" s="45"/>
      <c r="I68" s="45">
        <v>3360036</v>
      </c>
      <c r="J68" s="45"/>
      <c r="K68" s="45">
        <v>4567091</v>
      </c>
      <c r="L68" s="45"/>
      <c r="M68" s="45">
        <f>122677+69540+90975</f>
        <v>283192</v>
      </c>
      <c r="N68" s="45"/>
      <c r="O68" s="45">
        <v>0</v>
      </c>
      <c r="P68" s="45"/>
      <c r="Q68" s="45">
        <v>4269038</v>
      </c>
      <c r="R68" s="45"/>
      <c r="S68" s="45">
        <f t="shared" si="0"/>
        <v>4552230</v>
      </c>
      <c r="T68" s="45"/>
      <c r="U68" s="44">
        <f t="shared" si="1"/>
        <v>0</v>
      </c>
      <c r="V68" s="44">
        <f t="shared" si="2"/>
        <v>0</v>
      </c>
    </row>
    <row r="69" spans="1:22" s="46" customFormat="1" ht="12.75" customHeight="1">
      <c r="A69" s="46" t="s">
        <v>87</v>
      </c>
      <c r="C69" s="46" t="s">
        <v>88</v>
      </c>
      <c r="D69" s="35"/>
      <c r="E69" s="45">
        <v>442340</v>
      </c>
      <c r="F69" s="45"/>
      <c r="G69" s="45">
        <v>1639800</v>
      </c>
      <c r="H69" s="45"/>
      <c r="I69" s="45">
        <v>790426</v>
      </c>
      <c r="J69" s="45"/>
      <c r="K69" s="45">
        <v>885713</v>
      </c>
      <c r="L69" s="45"/>
      <c r="M69" s="45">
        <v>578</v>
      </c>
      <c r="N69" s="45"/>
      <c r="O69" s="45">
        <v>0</v>
      </c>
      <c r="P69" s="45"/>
      <c r="Q69" s="45">
        <v>753509</v>
      </c>
      <c r="R69" s="45"/>
      <c r="S69" s="45">
        <f t="shared" si="0"/>
        <v>754087</v>
      </c>
      <c r="T69" s="45"/>
      <c r="U69" s="44">
        <f t="shared" si="1"/>
        <v>0</v>
      </c>
      <c r="V69" s="44">
        <f t="shared" si="2"/>
        <v>0</v>
      </c>
    </row>
    <row r="70" spans="1:22" s="44" customFormat="1" ht="12.75" customHeight="1">
      <c r="A70" s="46" t="s">
        <v>394</v>
      </c>
      <c r="B70" s="46"/>
      <c r="C70" s="46" t="s">
        <v>89</v>
      </c>
      <c r="D70" s="64"/>
      <c r="E70" s="45">
        <v>895070</v>
      </c>
      <c r="F70" s="45"/>
      <c r="G70" s="45">
        <v>3430507</v>
      </c>
      <c r="H70" s="45"/>
      <c r="I70" s="45">
        <v>1757663</v>
      </c>
      <c r="J70" s="45"/>
      <c r="K70" s="45">
        <v>2112132</v>
      </c>
      <c r="L70" s="45"/>
      <c r="M70" s="45">
        <v>51717</v>
      </c>
      <c r="N70" s="45"/>
      <c r="O70" s="45">
        <v>0</v>
      </c>
      <c r="P70" s="45"/>
      <c r="Q70" s="45">
        <v>1266658</v>
      </c>
      <c r="R70" s="45"/>
      <c r="S70" s="45">
        <f t="shared" si="0"/>
        <v>1318375</v>
      </c>
      <c r="T70" s="94"/>
      <c r="U70" s="46">
        <f t="shared" si="1"/>
        <v>0</v>
      </c>
      <c r="V70" s="46">
        <f t="shared" si="2"/>
        <v>0</v>
      </c>
    </row>
    <row r="71" spans="1:22" s="44" customFormat="1" ht="12.75" customHeight="1">
      <c r="A71" s="44" t="s">
        <v>90</v>
      </c>
      <c r="B71" s="96"/>
      <c r="C71" s="44" t="s">
        <v>43</v>
      </c>
      <c r="D71" s="35"/>
      <c r="E71" s="45">
        <v>37841678</v>
      </c>
      <c r="F71" s="45"/>
      <c r="G71" s="45">
        <v>53464588</v>
      </c>
      <c r="H71" s="45"/>
      <c r="I71" s="45">
        <v>6118282</v>
      </c>
      <c r="J71" s="45"/>
      <c r="K71" s="45">
        <v>12975037</v>
      </c>
      <c r="L71" s="45"/>
      <c r="M71" s="45">
        <f>1185409+527857+390704+4042824</f>
        <v>6146794</v>
      </c>
      <c r="N71" s="45"/>
      <c r="O71" s="45">
        <v>0</v>
      </c>
      <c r="P71" s="45"/>
      <c r="Q71" s="45">
        <v>34342757</v>
      </c>
      <c r="R71" s="45"/>
      <c r="S71" s="45">
        <f t="shared" si="0"/>
        <v>40489551</v>
      </c>
      <c r="T71" s="45"/>
      <c r="U71" s="44">
        <f t="shared" si="1"/>
        <v>0</v>
      </c>
      <c r="V71" s="44">
        <f t="shared" si="2"/>
        <v>0</v>
      </c>
    </row>
    <row r="72" spans="1:22" s="121" customFormat="1" ht="12.75" hidden="1" customHeight="1">
      <c r="A72" s="122" t="s">
        <v>488</v>
      </c>
      <c r="B72" s="122"/>
      <c r="C72" s="122" t="s">
        <v>27</v>
      </c>
      <c r="D72" s="126"/>
      <c r="E72" s="127">
        <v>0</v>
      </c>
      <c r="F72" s="127"/>
      <c r="G72" s="127">
        <v>0</v>
      </c>
      <c r="H72" s="127"/>
      <c r="I72" s="127">
        <v>0</v>
      </c>
      <c r="J72" s="127"/>
      <c r="K72" s="127">
        <v>0</v>
      </c>
      <c r="L72" s="127"/>
      <c r="M72" s="127">
        <v>0</v>
      </c>
      <c r="N72" s="127"/>
      <c r="O72" s="127">
        <v>0</v>
      </c>
      <c r="P72" s="127"/>
      <c r="Q72" s="127">
        <v>0</v>
      </c>
      <c r="R72" s="127"/>
      <c r="S72" s="127">
        <f t="shared" si="0"/>
        <v>0</v>
      </c>
      <c r="T72" s="127"/>
      <c r="U72" s="121">
        <f t="shared" si="1"/>
        <v>0</v>
      </c>
      <c r="V72" s="121">
        <f t="shared" si="2"/>
        <v>0</v>
      </c>
    </row>
    <row r="73" spans="1:22" s="44" customFormat="1" ht="12.75" customHeight="1">
      <c r="A73" s="44" t="s">
        <v>93</v>
      </c>
      <c r="B73" s="47"/>
      <c r="C73" s="44" t="s">
        <v>94</v>
      </c>
      <c r="D73" s="35"/>
      <c r="E73" s="45">
        <v>0</v>
      </c>
      <c r="F73" s="45"/>
      <c r="G73" s="45">
        <v>1030516</v>
      </c>
      <c r="H73" s="45"/>
      <c r="I73" s="45">
        <v>506357</v>
      </c>
      <c r="J73" s="45"/>
      <c r="K73" s="45">
        <v>719753</v>
      </c>
      <c r="L73" s="45"/>
      <c r="M73" s="45">
        <v>50350</v>
      </c>
      <c r="N73" s="45"/>
      <c r="O73" s="45">
        <v>0</v>
      </c>
      <c r="P73" s="45"/>
      <c r="Q73" s="45">
        <v>260413</v>
      </c>
      <c r="R73" s="45"/>
      <c r="S73" s="45">
        <f>+Q73+O73+M73</f>
        <v>310763</v>
      </c>
      <c r="T73" s="45"/>
      <c r="U73" s="44">
        <f>+G73-K73-S73</f>
        <v>0</v>
      </c>
      <c r="V73" s="44">
        <f>+G73-K73-S73</f>
        <v>0</v>
      </c>
    </row>
    <row r="74" spans="1:22" s="46" customFormat="1" ht="12.75" customHeight="1">
      <c r="A74" s="46" t="s">
        <v>95</v>
      </c>
      <c r="B74" s="66"/>
      <c r="C74" s="46" t="s">
        <v>94</v>
      </c>
      <c r="D74" s="64"/>
      <c r="E74" s="45">
        <f>117241+100300</f>
        <v>217541</v>
      </c>
      <c r="F74" s="45"/>
      <c r="G74" s="45">
        <v>764684</v>
      </c>
      <c r="H74" s="45"/>
      <c r="I74" s="45">
        <v>263096</v>
      </c>
      <c r="J74" s="45"/>
      <c r="K74" s="45">
        <v>1185698</v>
      </c>
      <c r="L74" s="45"/>
      <c r="M74" s="45">
        <v>21462</v>
      </c>
      <c r="N74" s="45"/>
      <c r="O74" s="45">
        <v>0</v>
      </c>
      <c r="P74" s="45"/>
      <c r="Q74" s="45">
        <v>-442476</v>
      </c>
      <c r="R74" s="45"/>
      <c r="S74" s="45">
        <f t="shared" ref="S74:S80" si="8">+Q74+O74+M74</f>
        <v>-421014</v>
      </c>
      <c r="T74" s="45"/>
      <c r="U74" s="44">
        <f t="shared" ref="U74:U80" si="9">+G74-K74-S74</f>
        <v>0</v>
      </c>
      <c r="V74" s="44">
        <f t="shared" ref="V74:V80" si="10">+G74-K74-S74</f>
        <v>0</v>
      </c>
    </row>
    <row r="75" spans="1:22" s="44" customFormat="1" ht="12.75" hidden="1" customHeight="1">
      <c r="A75" s="44" t="s">
        <v>91</v>
      </c>
      <c r="B75" s="51"/>
      <c r="C75" s="44" t="s">
        <v>92</v>
      </c>
      <c r="D75" s="35"/>
      <c r="E75" s="45">
        <v>0</v>
      </c>
      <c r="F75" s="45"/>
      <c r="G75" s="45">
        <v>0</v>
      </c>
      <c r="H75" s="45"/>
      <c r="I75" s="45">
        <v>0</v>
      </c>
      <c r="J75" s="45"/>
      <c r="K75" s="45">
        <v>0</v>
      </c>
      <c r="L75" s="45"/>
      <c r="M75" s="45">
        <v>0</v>
      </c>
      <c r="N75" s="45"/>
      <c r="O75" s="45">
        <v>0</v>
      </c>
      <c r="P75" s="45"/>
      <c r="Q75" s="45">
        <v>0</v>
      </c>
      <c r="R75" s="45"/>
      <c r="S75" s="45">
        <f t="shared" si="8"/>
        <v>0</v>
      </c>
      <c r="T75" s="45"/>
      <c r="U75" s="44">
        <f t="shared" si="9"/>
        <v>0</v>
      </c>
      <c r="V75" s="44">
        <f t="shared" si="10"/>
        <v>0</v>
      </c>
    </row>
    <row r="76" spans="1:22" s="44" customFormat="1" ht="12.75" customHeight="1">
      <c r="A76" s="44" t="s">
        <v>96</v>
      </c>
      <c r="B76" s="51"/>
      <c r="C76" s="44" t="s">
        <v>97</v>
      </c>
      <c r="D76" s="35"/>
      <c r="E76" s="45">
        <v>2044289</v>
      </c>
      <c r="F76" s="45"/>
      <c r="G76" s="45">
        <v>3031268</v>
      </c>
      <c r="H76" s="45"/>
      <c r="I76" s="45">
        <v>794866</v>
      </c>
      <c r="J76" s="45"/>
      <c r="K76" s="45">
        <v>1034552</v>
      </c>
      <c r="L76" s="45"/>
      <c r="M76" s="45">
        <f>3447+3000</f>
        <v>6447</v>
      </c>
      <c r="N76" s="45"/>
      <c r="O76" s="45">
        <v>0</v>
      </c>
      <c r="P76" s="45"/>
      <c r="Q76" s="45">
        <v>1990269</v>
      </c>
      <c r="R76" s="45"/>
      <c r="S76" s="45">
        <f t="shared" si="8"/>
        <v>1996716</v>
      </c>
      <c r="T76" s="45"/>
      <c r="U76" s="44">
        <f t="shared" si="9"/>
        <v>0</v>
      </c>
      <c r="V76" s="44">
        <f t="shared" si="10"/>
        <v>0</v>
      </c>
    </row>
    <row r="77" spans="1:22" s="44" customFormat="1" ht="12.75" customHeight="1">
      <c r="A77" s="44" t="s">
        <v>98</v>
      </c>
      <c r="B77" s="51"/>
      <c r="C77" s="44" t="s">
        <v>17</v>
      </c>
      <c r="D77" s="35"/>
      <c r="E77" s="45">
        <v>1712224</v>
      </c>
      <c r="F77" s="45"/>
      <c r="G77" s="45">
        <v>9010820</v>
      </c>
      <c r="H77" s="45"/>
      <c r="I77" s="45">
        <v>2953865</v>
      </c>
      <c r="J77" s="45"/>
      <c r="K77" s="45">
        <v>6383259</v>
      </c>
      <c r="L77" s="45"/>
      <c r="M77" s="45">
        <v>558959</v>
      </c>
      <c r="N77" s="45"/>
      <c r="O77" s="45">
        <v>0</v>
      </c>
      <c r="P77" s="45"/>
      <c r="Q77" s="45">
        <v>2068602</v>
      </c>
      <c r="R77" s="45"/>
      <c r="S77" s="45">
        <f t="shared" si="8"/>
        <v>2627561</v>
      </c>
      <c r="T77" s="45"/>
      <c r="U77" s="44">
        <f t="shared" si="9"/>
        <v>0</v>
      </c>
      <c r="V77" s="44">
        <f t="shared" si="10"/>
        <v>0</v>
      </c>
    </row>
    <row r="78" spans="1:22" s="44" customFormat="1" ht="12.75" customHeight="1">
      <c r="A78" s="44" t="s">
        <v>99</v>
      </c>
      <c r="B78" s="51"/>
      <c r="C78" s="44" t="s">
        <v>66</v>
      </c>
      <c r="D78" s="35"/>
      <c r="E78" s="45">
        <v>3245987</v>
      </c>
      <c r="F78" s="45"/>
      <c r="G78" s="45">
        <v>5872456</v>
      </c>
      <c r="H78" s="45"/>
      <c r="I78" s="45">
        <v>1117746</v>
      </c>
      <c r="J78" s="45"/>
      <c r="K78" s="45">
        <v>1819598</v>
      </c>
      <c r="L78" s="45"/>
      <c r="M78" s="45">
        <v>15174</v>
      </c>
      <c r="N78" s="45"/>
      <c r="O78" s="45">
        <v>0</v>
      </c>
      <c r="P78" s="45"/>
      <c r="Q78" s="45">
        <v>4037684</v>
      </c>
      <c r="R78" s="45"/>
      <c r="S78" s="45">
        <f t="shared" si="8"/>
        <v>4052858</v>
      </c>
      <c r="T78" s="45"/>
      <c r="U78" s="44">
        <f t="shared" si="9"/>
        <v>0</v>
      </c>
      <c r="V78" s="44">
        <f t="shared" si="10"/>
        <v>0</v>
      </c>
    </row>
    <row r="79" spans="1:22" s="44" customFormat="1" ht="12.75" customHeight="1">
      <c r="A79" s="44" t="s">
        <v>100</v>
      </c>
      <c r="B79" s="51"/>
      <c r="C79" s="44" t="s">
        <v>27</v>
      </c>
      <c r="D79" s="35"/>
      <c r="E79" s="45">
        <f>2778579+5106+50132</f>
        <v>2833817</v>
      </c>
      <c r="F79" s="45"/>
      <c r="G79" s="45">
        <v>19617262</v>
      </c>
      <c r="H79" s="45"/>
      <c r="I79" s="45">
        <v>8229129</v>
      </c>
      <c r="J79" s="45"/>
      <c r="K79" s="45">
        <v>12190490</v>
      </c>
      <c r="L79" s="45"/>
      <c r="M79" s="45">
        <f>28105+1240789+43607</f>
        <v>1312501</v>
      </c>
      <c r="N79" s="45"/>
      <c r="O79" s="45">
        <v>0</v>
      </c>
      <c r="P79" s="45"/>
      <c r="Q79" s="45">
        <v>6114271</v>
      </c>
      <c r="R79" s="45"/>
      <c r="S79" s="45">
        <f t="shared" si="8"/>
        <v>7426772</v>
      </c>
      <c r="T79" s="45"/>
      <c r="U79" s="44">
        <f t="shared" si="9"/>
        <v>0</v>
      </c>
      <c r="V79" s="44">
        <f t="shared" si="10"/>
        <v>0</v>
      </c>
    </row>
    <row r="80" spans="1:22" s="44" customFormat="1" ht="12.75" customHeight="1">
      <c r="A80" s="44" t="s">
        <v>101</v>
      </c>
      <c r="B80" s="51"/>
      <c r="C80" s="44" t="s">
        <v>30</v>
      </c>
      <c r="D80" s="35"/>
      <c r="E80" s="45">
        <v>2932693</v>
      </c>
      <c r="F80" s="45"/>
      <c r="G80" s="45">
        <v>8515468</v>
      </c>
      <c r="H80" s="45"/>
      <c r="I80" s="45">
        <v>4486138</v>
      </c>
      <c r="J80" s="45"/>
      <c r="K80" s="45">
        <v>5014192</v>
      </c>
      <c r="L80" s="45"/>
      <c r="M80" s="45">
        <v>186548</v>
      </c>
      <c r="N80" s="45"/>
      <c r="O80" s="45">
        <v>0</v>
      </c>
      <c r="P80" s="45"/>
      <c r="Q80" s="45">
        <v>3314728</v>
      </c>
      <c r="R80" s="45"/>
      <c r="S80" s="45">
        <f t="shared" si="8"/>
        <v>3501276</v>
      </c>
      <c r="T80" s="45"/>
      <c r="U80" s="44">
        <f t="shared" si="9"/>
        <v>0</v>
      </c>
      <c r="V80" s="44">
        <f t="shared" si="10"/>
        <v>0</v>
      </c>
    </row>
    <row r="81" spans="1:22" s="44" customFormat="1" ht="12.75" customHeight="1">
      <c r="A81" s="44" t="s">
        <v>102</v>
      </c>
      <c r="B81" s="51"/>
      <c r="C81" s="44" t="s">
        <v>103</v>
      </c>
      <c r="D81" s="35"/>
      <c r="E81" s="45">
        <v>9089139</v>
      </c>
      <c r="F81" s="45"/>
      <c r="G81" s="45">
        <v>14426517</v>
      </c>
      <c r="H81" s="45"/>
      <c r="I81" s="45">
        <v>3521702</v>
      </c>
      <c r="J81" s="45"/>
      <c r="K81" s="45">
        <v>5196595</v>
      </c>
      <c r="L81" s="45"/>
      <c r="M81" s="45">
        <v>481771</v>
      </c>
      <c r="N81" s="45"/>
      <c r="O81" s="45">
        <v>0</v>
      </c>
      <c r="P81" s="45"/>
      <c r="Q81" s="45">
        <v>8748151</v>
      </c>
      <c r="R81" s="45"/>
      <c r="S81" s="45">
        <f t="shared" ref="S81:S146" si="11">+Q81+O81+M81</f>
        <v>9229922</v>
      </c>
      <c r="T81" s="45"/>
      <c r="U81" s="44">
        <f t="shared" ref="U81:U146" si="12">+G81-K81-S81</f>
        <v>0</v>
      </c>
      <c r="V81" s="44">
        <f t="shared" ref="V81:V146" si="13">+G81-K81-S81</f>
        <v>0</v>
      </c>
    </row>
    <row r="82" spans="1:22" s="44" customFormat="1" ht="12.75" customHeight="1">
      <c r="A82" s="44" t="s">
        <v>104</v>
      </c>
      <c r="B82" s="51"/>
      <c r="C82" s="44" t="s">
        <v>13</v>
      </c>
      <c r="D82" s="35"/>
      <c r="E82" s="45">
        <f>8761156+14318</f>
        <v>8775474</v>
      </c>
      <c r="F82" s="45"/>
      <c r="G82" s="45">
        <v>12140231</v>
      </c>
      <c r="H82" s="45"/>
      <c r="I82" s="45">
        <v>1052924</v>
      </c>
      <c r="J82" s="45"/>
      <c r="K82" s="45">
        <v>2327374</v>
      </c>
      <c r="L82" s="45"/>
      <c r="M82" s="45">
        <f>331801+86521+380412+19400</f>
        <v>818134</v>
      </c>
      <c r="N82" s="45"/>
      <c r="O82" s="45">
        <v>0</v>
      </c>
      <c r="P82" s="45"/>
      <c r="Q82" s="45">
        <v>8994723</v>
      </c>
      <c r="R82" s="45"/>
      <c r="S82" s="45">
        <f t="shared" si="11"/>
        <v>9812857</v>
      </c>
      <c r="T82" s="45"/>
      <c r="U82" s="44">
        <f t="shared" si="12"/>
        <v>0</v>
      </c>
      <c r="V82" s="44">
        <f t="shared" si="13"/>
        <v>0</v>
      </c>
    </row>
    <row r="83" spans="1:22" s="44" customFormat="1" ht="12.75" customHeight="1">
      <c r="A83" s="44" t="s">
        <v>105</v>
      </c>
      <c r="B83" s="51"/>
      <c r="C83" s="44" t="s">
        <v>27</v>
      </c>
      <c r="D83" s="35"/>
      <c r="E83" s="45">
        <v>1464792</v>
      </c>
      <c r="F83" s="45"/>
      <c r="G83" s="45">
        <v>7227805</v>
      </c>
      <c r="H83" s="45"/>
      <c r="I83" s="45">
        <v>4359674</v>
      </c>
      <c r="J83" s="45"/>
      <c r="K83" s="45">
        <v>4850982</v>
      </c>
      <c r="L83" s="45"/>
      <c r="M83" s="45">
        <f>10898+320000</f>
        <v>330898</v>
      </c>
      <c r="N83" s="45"/>
      <c r="O83" s="45">
        <v>0</v>
      </c>
      <c r="P83" s="45"/>
      <c r="Q83" s="45">
        <v>2045925</v>
      </c>
      <c r="R83" s="45"/>
      <c r="S83" s="45">
        <f t="shared" si="11"/>
        <v>2376823</v>
      </c>
      <c r="T83" s="45"/>
      <c r="U83" s="44">
        <f t="shared" si="12"/>
        <v>0</v>
      </c>
      <c r="V83" s="44">
        <f t="shared" si="13"/>
        <v>0</v>
      </c>
    </row>
    <row r="84" spans="1:22" s="44" customFormat="1" ht="12.75" customHeight="1">
      <c r="A84" s="44" t="s">
        <v>106</v>
      </c>
      <c r="B84" s="51"/>
      <c r="C84" s="44" t="s">
        <v>107</v>
      </c>
      <c r="D84" s="35"/>
      <c r="E84" s="45">
        <f>7169736+9931</f>
        <v>7179667</v>
      </c>
      <c r="F84" s="45"/>
      <c r="G84" s="45">
        <v>10847154</v>
      </c>
      <c r="H84" s="45"/>
      <c r="I84" s="45">
        <v>838374</v>
      </c>
      <c r="J84" s="45"/>
      <c r="K84" s="45">
        <v>4309328</v>
      </c>
      <c r="L84" s="45"/>
      <c r="M84" s="45">
        <f>566767+45096</f>
        <v>611863</v>
      </c>
      <c r="N84" s="45"/>
      <c r="O84" s="45">
        <v>1000000</v>
      </c>
      <c r="P84" s="45"/>
      <c r="Q84" s="45">
        <v>4925963</v>
      </c>
      <c r="R84" s="45"/>
      <c r="S84" s="45">
        <f t="shared" si="11"/>
        <v>6537826</v>
      </c>
      <c r="T84" s="45"/>
      <c r="U84" s="44">
        <f t="shared" si="12"/>
        <v>0</v>
      </c>
      <c r="V84" s="44">
        <f t="shared" si="13"/>
        <v>0</v>
      </c>
    </row>
    <row r="85" spans="1:22" s="44" customFormat="1" ht="12.75" customHeight="1">
      <c r="A85" s="44" t="s">
        <v>108</v>
      </c>
      <c r="B85" s="65"/>
      <c r="C85" s="44" t="s">
        <v>45</v>
      </c>
      <c r="D85" s="35"/>
      <c r="E85" s="45">
        <v>2729285</v>
      </c>
      <c r="F85" s="45"/>
      <c r="G85" s="45">
        <v>9365854</v>
      </c>
      <c r="H85" s="45"/>
      <c r="I85" s="45">
        <v>5389762</v>
      </c>
      <c r="J85" s="45"/>
      <c r="K85" s="45">
        <v>5833933</v>
      </c>
      <c r="L85" s="45"/>
      <c r="M85" s="45">
        <f>268775+25133</f>
        <v>293908</v>
      </c>
      <c r="N85" s="45"/>
      <c r="O85" s="45">
        <v>0</v>
      </c>
      <c r="P85" s="45"/>
      <c r="Q85" s="45">
        <v>3238013</v>
      </c>
      <c r="R85" s="45"/>
      <c r="S85" s="45">
        <f>+Q85+O85+M85</f>
        <v>3531921</v>
      </c>
      <c r="T85" s="45"/>
      <c r="U85" s="44">
        <f>+G85-K85-S85</f>
        <v>0</v>
      </c>
      <c r="V85" s="44">
        <f>+G85-K85-S85</f>
        <v>0</v>
      </c>
    </row>
    <row r="86" spans="1:22" s="44" customFormat="1" ht="12.75" customHeight="1">
      <c r="A86" s="44" t="s">
        <v>109</v>
      </c>
      <c r="C86" s="44" t="s">
        <v>110</v>
      </c>
      <c r="D86" s="35"/>
      <c r="E86" s="45">
        <v>0</v>
      </c>
      <c r="F86" s="45"/>
      <c r="G86" s="45">
        <v>2176195</v>
      </c>
      <c r="H86" s="45"/>
      <c r="I86" s="45">
        <v>751075</v>
      </c>
      <c r="J86" s="45"/>
      <c r="K86" s="45">
        <v>1993701</v>
      </c>
      <c r="L86" s="45"/>
      <c r="M86" s="45">
        <v>28068</v>
      </c>
      <c r="N86" s="45"/>
      <c r="O86" s="45">
        <v>0</v>
      </c>
      <c r="P86" s="45"/>
      <c r="Q86" s="45">
        <v>154426</v>
      </c>
      <c r="R86" s="45"/>
      <c r="S86" s="45">
        <f t="shared" si="11"/>
        <v>182494</v>
      </c>
      <c r="T86" s="45"/>
      <c r="U86" s="44">
        <f t="shared" si="12"/>
        <v>0</v>
      </c>
      <c r="V86" s="44">
        <f t="shared" si="13"/>
        <v>0</v>
      </c>
    </row>
    <row r="87" spans="1:22" s="44" customFormat="1" ht="12.75" customHeight="1">
      <c r="A87" s="46" t="s">
        <v>43</v>
      </c>
      <c r="B87" s="46"/>
      <c r="C87" s="46" t="s">
        <v>111</v>
      </c>
      <c r="D87" s="64"/>
      <c r="E87" s="45">
        <v>4313116</v>
      </c>
      <c r="F87" s="45"/>
      <c r="G87" s="45">
        <v>6461340</v>
      </c>
      <c r="H87" s="45"/>
      <c r="I87" s="45">
        <v>1392455</v>
      </c>
      <c r="J87" s="45"/>
      <c r="K87" s="45">
        <v>3271163</v>
      </c>
      <c r="L87" s="45"/>
      <c r="M87" s="45">
        <v>6145</v>
      </c>
      <c r="N87" s="45"/>
      <c r="O87" s="45">
        <v>0</v>
      </c>
      <c r="P87" s="45"/>
      <c r="Q87" s="45">
        <v>3184032</v>
      </c>
      <c r="R87" s="45"/>
      <c r="S87" s="45">
        <f t="shared" si="11"/>
        <v>3190177</v>
      </c>
      <c r="T87" s="45"/>
      <c r="U87" s="44">
        <f t="shared" si="12"/>
        <v>0</v>
      </c>
      <c r="V87" s="44">
        <f t="shared" si="13"/>
        <v>0</v>
      </c>
    </row>
    <row r="88" spans="1:22" s="44" customFormat="1" ht="12.75" customHeight="1">
      <c r="A88" s="44" t="s">
        <v>112</v>
      </c>
      <c r="B88" s="51"/>
      <c r="C88" s="44" t="s">
        <v>76</v>
      </c>
      <c r="D88" s="35"/>
      <c r="E88" s="45">
        <v>2153835</v>
      </c>
      <c r="F88" s="45"/>
      <c r="G88" s="45">
        <v>3394309</v>
      </c>
      <c r="H88" s="45"/>
      <c r="I88" s="45">
        <v>378218</v>
      </c>
      <c r="J88" s="45"/>
      <c r="K88" s="45">
        <v>1686641</v>
      </c>
      <c r="L88" s="45"/>
      <c r="M88" s="45">
        <f>73031+10119</f>
        <v>83150</v>
      </c>
      <c r="N88" s="45"/>
      <c r="O88" s="45">
        <v>235181</v>
      </c>
      <c r="P88" s="45"/>
      <c r="Q88" s="45">
        <v>1389337</v>
      </c>
      <c r="R88" s="45"/>
      <c r="S88" s="45">
        <f t="shared" si="11"/>
        <v>1707668</v>
      </c>
      <c r="T88" s="45"/>
      <c r="U88" s="44">
        <f t="shared" si="12"/>
        <v>0</v>
      </c>
      <c r="V88" s="44">
        <f t="shared" si="13"/>
        <v>0</v>
      </c>
    </row>
    <row r="89" spans="1:22" s="44" customFormat="1" ht="12.75" customHeight="1">
      <c r="A89" s="44" t="s">
        <v>113</v>
      </c>
      <c r="C89" s="44" t="s">
        <v>43</v>
      </c>
      <c r="D89" s="35"/>
      <c r="E89" s="45">
        <v>18680790</v>
      </c>
      <c r="F89" s="45"/>
      <c r="G89" s="45">
        <v>26841238</v>
      </c>
      <c r="H89" s="45"/>
      <c r="I89" s="45">
        <v>3592588</v>
      </c>
      <c r="J89" s="45"/>
      <c r="K89" s="45">
        <v>6586064</v>
      </c>
      <c r="L89" s="45"/>
      <c r="M89" s="45">
        <v>5405773</v>
      </c>
      <c r="N89" s="45"/>
      <c r="O89" s="45">
        <f>1605229+5604786</f>
        <v>7210015</v>
      </c>
      <c r="P89" s="45"/>
      <c r="Q89" s="45">
        <v>7639386</v>
      </c>
      <c r="R89" s="45"/>
      <c r="S89" s="45">
        <f t="shared" si="11"/>
        <v>20255174</v>
      </c>
      <c r="T89" s="45"/>
      <c r="U89" s="44">
        <f t="shared" si="12"/>
        <v>0</v>
      </c>
      <c r="V89" s="44">
        <f t="shared" si="13"/>
        <v>0</v>
      </c>
    </row>
    <row r="90" spans="1:22" s="44" customFormat="1" ht="12.75" customHeight="1">
      <c r="A90" s="46" t="s">
        <v>490</v>
      </c>
      <c r="B90" s="46"/>
      <c r="C90" s="46" t="s">
        <v>57</v>
      </c>
      <c r="D90" s="64"/>
      <c r="E90" s="45">
        <v>3807954</v>
      </c>
      <c r="F90" s="45"/>
      <c r="G90" s="45">
        <v>6909416</v>
      </c>
      <c r="H90" s="45"/>
      <c r="I90" s="45">
        <v>1098941</v>
      </c>
      <c r="J90" s="45"/>
      <c r="K90" s="45">
        <v>1685271</v>
      </c>
      <c r="L90" s="45"/>
      <c r="M90" s="45">
        <f>82189+45643</f>
        <v>127832</v>
      </c>
      <c r="N90" s="45"/>
      <c r="O90" s="45">
        <v>0</v>
      </c>
      <c r="P90" s="45"/>
      <c r="Q90" s="45">
        <v>5096313</v>
      </c>
      <c r="R90" s="45"/>
      <c r="S90" s="45">
        <f>+Q90+O90+M90</f>
        <v>5224145</v>
      </c>
      <c r="T90" s="45"/>
      <c r="U90" s="44">
        <f>+G90-K90-S90</f>
        <v>0</v>
      </c>
      <c r="V90" s="44">
        <f>+G90-K90-S90</f>
        <v>0</v>
      </c>
    </row>
    <row r="91" spans="1:22" s="44" customFormat="1" ht="12.75" customHeight="1">
      <c r="A91" s="44" t="s">
        <v>114</v>
      </c>
      <c r="B91" s="51"/>
      <c r="C91" s="44" t="s">
        <v>27</v>
      </c>
      <c r="D91" s="35"/>
      <c r="E91" s="45">
        <v>0</v>
      </c>
      <c r="F91" s="45"/>
      <c r="G91" s="45">
        <v>15469329</v>
      </c>
      <c r="H91" s="45"/>
      <c r="I91" s="45">
        <v>14086466</v>
      </c>
      <c r="J91" s="45"/>
      <c r="K91" s="45">
        <v>19746593</v>
      </c>
      <c r="L91" s="45"/>
      <c r="M91" s="45">
        <v>0</v>
      </c>
      <c r="N91" s="45"/>
      <c r="O91" s="45">
        <v>0</v>
      </c>
      <c r="P91" s="45"/>
      <c r="Q91" s="45">
        <v>-4277264</v>
      </c>
      <c r="R91" s="45"/>
      <c r="S91" s="45">
        <f>+Q91+O91+M91</f>
        <v>-4277264</v>
      </c>
      <c r="T91" s="45"/>
      <c r="U91" s="44">
        <f>+G91-K91-S91</f>
        <v>0</v>
      </c>
      <c r="V91" s="44">
        <f>+G91-K91-S91</f>
        <v>0</v>
      </c>
    </row>
    <row r="92" spans="1:22" s="44" customFormat="1" ht="12.75" customHeight="1">
      <c r="A92" s="44" t="s">
        <v>115</v>
      </c>
      <c r="C92" s="44" t="s">
        <v>19</v>
      </c>
      <c r="D92" s="35"/>
      <c r="E92" s="45">
        <v>1480095</v>
      </c>
      <c r="F92" s="45"/>
      <c r="G92" s="45">
        <v>3202163</v>
      </c>
      <c r="H92" s="45"/>
      <c r="I92" s="45">
        <v>1267561</v>
      </c>
      <c r="J92" s="45"/>
      <c r="K92" s="45">
        <v>1467143</v>
      </c>
      <c r="L92" s="45"/>
      <c r="M92" s="45">
        <v>23016</v>
      </c>
      <c r="N92" s="45"/>
      <c r="O92" s="45">
        <v>0</v>
      </c>
      <c r="P92" s="45"/>
      <c r="Q92" s="45">
        <v>1712004</v>
      </c>
      <c r="R92" s="45"/>
      <c r="S92" s="45">
        <f t="shared" si="11"/>
        <v>1735020</v>
      </c>
      <c r="T92" s="45"/>
      <c r="U92" s="44">
        <f t="shared" si="12"/>
        <v>0</v>
      </c>
      <c r="V92" s="44">
        <f t="shared" si="13"/>
        <v>0</v>
      </c>
    </row>
    <row r="93" spans="1:22" s="44" customFormat="1" ht="12.75" customHeight="1">
      <c r="A93" s="46" t="s">
        <v>116</v>
      </c>
      <c r="B93" s="46"/>
      <c r="C93" s="46" t="s">
        <v>80</v>
      </c>
      <c r="D93" s="64"/>
      <c r="E93" s="45">
        <v>54668</v>
      </c>
      <c r="F93" s="45"/>
      <c r="G93" s="45">
        <v>1917864</v>
      </c>
      <c r="H93" s="45"/>
      <c r="I93" s="45">
        <v>1574143</v>
      </c>
      <c r="J93" s="45"/>
      <c r="K93" s="45">
        <v>1776117</v>
      </c>
      <c r="L93" s="45"/>
      <c r="M93" s="45">
        <v>29426</v>
      </c>
      <c r="N93" s="45"/>
      <c r="O93" s="45">
        <v>0</v>
      </c>
      <c r="P93" s="45"/>
      <c r="Q93" s="45">
        <v>112321</v>
      </c>
      <c r="R93" s="45"/>
      <c r="S93" s="45">
        <f t="shared" si="11"/>
        <v>141747</v>
      </c>
      <c r="T93" s="45"/>
      <c r="U93" s="44">
        <f t="shared" si="12"/>
        <v>0</v>
      </c>
      <c r="V93" s="44">
        <f t="shared" si="13"/>
        <v>0</v>
      </c>
    </row>
    <row r="94" spans="1:22" s="44" customFormat="1" ht="12.75" customHeight="1">
      <c r="A94" s="44" t="s">
        <v>117</v>
      </c>
      <c r="C94" s="44" t="s">
        <v>43</v>
      </c>
      <c r="D94" s="35"/>
      <c r="E94" s="45">
        <v>3165261</v>
      </c>
      <c r="F94" s="45"/>
      <c r="G94" s="45">
        <v>6492371</v>
      </c>
      <c r="H94" s="45"/>
      <c r="I94" s="45">
        <v>2166138</v>
      </c>
      <c r="J94" s="45"/>
      <c r="K94" s="45">
        <v>2747158</v>
      </c>
      <c r="L94" s="45"/>
      <c r="M94" s="45">
        <f>59372+42988+215000</f>
        <v>317360</v>
      </c>
      <c r="N94" s="45"/>
      <c r="O94" s="45">
        <v>0</v>
      </c>
      <c r="P94" s="45"/>
      <c r="Q94" s="45">
        <v>3427853</v>
      </c>
      <c r="R94" s="45"/>
      <c r="S94" s="45">
        <f t="shared" si="11"/>
        <v>3745213</v>
      </c>
      <c r="T94" s="45"/>
      <c r="U94" s="44">
        <f t="shared" si="12"/>
        <v>0</v>
      </c>
      <c r="V94" s="44">
        <f t="shared" si="13"/>
        <v>0</v>
      </c>
    </row>
    <row r="95" spans="1:22" s="44" customFormat="1" ht="12.75" customHeight="1">
      <c r="A95" s="44" t="s">
        <v>118</v>
      </c>
      <c r="B95" s="51"/>
      <c r="C95" s="44" t="s">
        <v>13</v>
      </c>
      <c r="D95" s="35"/>
      <c r="E95" s="45">
        <v>19956734</v>
      </c>
      <c r="F95" s="45"/>
      <c r="G95" s="45">
        <v>28319827</v>
      </c>
      <c r="H95" s="45"/>
      <c r="I95" s="45">
        <v>2984827</v>
      </c>
      <c r="J95" s="45"/>
      <c r="K95" s="45">
        <v>3393895</v>
      </c>
      <c r="L95" s="45"/>
      <c r="M95" s="45">
        <v>1059499</v>
      </c>
      <c r="N95" s="45"/>
      <c r="O95" s="45">
        <v>0</v>
      </c>
      <c r="P95" s="45"/>
      <c r="Q95" s="45">
        <v>23866433</v>
      </c>
      <c r="R95" s="45"/>
      <c r="S95" s="45">
        <f t="shared" si="11"/>
        <v>24925932</v>
      </c>
      <c r="T95" s="45"/>
      <c r="U95" s="44">
        <f t="shared" si="12"/>
        <v>0</v>
      </c>
      <c r="V95" s="44">
        <f t="shared" si="13"/>
        <v>0</v>
      </c>
    </row>
    <row r="96" spans="1:22" s="44" customFormat="1" ht="12.75" customHeight="1">
      <c r="A96" s="44" t="s">
        <v>120</v>
      </c>
      <c r="B96" s="51"/>
      <c r="C96" s="44" t="s">
        <v>121</v>
      </c>
      <c r="D96" s="35"/>
      <c r="E96" s="45">
        <v>2034253</v>
      </c>
      <c r="F96" s="45"/>
      <c r="G96" s="45">
        <v>4985202</v>
      </c>
      <c r="H96" s="45"/>
      <c r="I96" s="45">
        <v>753228</v>
      </c>
      <c r="J96" s="45"/>
      <c r="K96" s="45">
        <v>2410657</v>
      </c>
      <c r="L96" s="45"/>
      <c r="M96" s="45">
        <f>91510+120860+10062</f>
        <v>222432</v>
      </c>
      <c r="N96" s="45"/>
      <c r="O96" s="45">
        <v>0</v>
      </c>
      <c r="P96" s="45"/>
      <c r="Q96" s="45">
        <v>2352113</v>
      </c>
      <c r="R96" s="45"/>
      <c r="S96" s="45">
        <f t="shared" si="11"/>
        <v>2574545</v>
      </c>
      <c r="T96" s="45"/>
      <c r="U96" s="44">
        <f t="shared" si="12"/>
        <v>0</v>
      </c>
      <c r="V96" s="44">
        <f t="shared" si="13"/>
        <v>0</v>
      </c>
    </row>
    <row r="97" spans="1:22" s="44" customFormat="1" ht="12.75" customHeight="1">
      <c r="A97" s="44" t="s">
        <v>122</v>
      </c>
      <c r="B97" s="51"/>
      <c r="C97" s="44" t="s">
        <v>43</v>
      </c>
      <c r="D97" s="35"/>
      <c r="E97" s="45">
        <v>18944590</v>
      </c>
      <c r="F97" s="45"/>
      <c r="G97" s="45">
        <v>24652234</v>
      </c>
      <c r="H97" s="45"/>
      <c r="I97" s="45">
        <v>3177568</v>
      </c>
      <c r="J97" s="45"/>
      <c r="K97" s="45">
        <v>4595471</v>
      </c>
      <c r="L97" s="45"/>
      <c r="M97" s="45">
        <f>3687622+145667</f>
        <v>3833289</v>
      </c>
      <c r="N97" s="45"/>
      <c r="O97" s="45">
        <v>0</v>
      </c>
      <c r="P97" s="45"/>
      <c r="Q97" s="45">
        <v>16223474</v>
      </c>
      <c r="R97" s="45"/>
      <c r="S97" s="45">
        <f t="shared" si="11"/>
        <v>20056763</v>
      </c>
      <c r="T97" s="45"/>
      <c r="U97" s="44">
        <f t="shared" si="12"/>
        <v>0</v>
      </c>
      <c r="V97" s="44">
        <f t="shared" si="13"/>
        <v>0</v>
      </c>
    </row>
    <row r="98" spans="1:22" s="44" customFormat="1" ht="12.75" customHeight="1">
      <c r="A98" s="44" t="s">
        <v>45</v>
      </c>
      <c r="B98" s="51"/>
      <c r="C98" s="44" t="s">
        <v>103</v>
      </c>
      <c r="D98" s="35"/>
      <c r="E98" s="45">
        <v>5295956</v>
      </c>
      <c r="F98" s="45"/>
      <c r="G98" s="45">
        <v>13654905</v>
      </c>
      <c r="H98" s="45"/>
      <c r="I98" s="45">
        <v>5556096</v>
      </c>
      <c r="J98" s="45"/>
      <c r="K98" s="45">
        <v>8970259</v>
      </c>
      <c r="L98" s="45"/>
      <c r="M98" s="45">
        <f>437270+208895+1181</f>
        <v>647346</v>
      </c>
      <c r="N98" s="45"/>
      <c r="O98" s="45">
        <v>0</v>
      </c>
      <c r="P98" s="45"/>
      <c r="Q98" s="45">
        <v>4037300</v>
      </c>
      <c r="R98" s="45"/>
      <c r="S98" s="45">
        <f t="shared" si="11"/>
        <v>4684646</v>
      </c>
      <c r="T98" s="45"/>
      <c r="U98" s="44">
        <f t="shared" si="12"/>
        <v>0</v>
      </c>
      <c r="V98" s="44">
        <f t="shared" si="13"/>
        <v>0</v>
      </c>
    </row>
    <row r="99" spans="1:22" s="44" customFormat="1" ht="12.75" customHeight="1">
      <c r="A99" s="44" t="s">
        <v>123</v>
      </c>
      <c r="B99" s="51"/>
      <c r="C99" s="44" t="s">
        <v>45</v>
      </c>
      <c r="D99" s="35"/>
      <c r="E99" s="45">
        <v>348096</v>
      </c>
      <c r="F99" s="45"/>
      <c r="G99" s="45">
        <v>2848484</v>
      </c>
      <c r="H99" s="45"/>
      <c r="I99" s="45">
        <v>1678386</v>
      </c>
      <c r="J99" s="45"/>
      <c r="K99" s="45">
        <v>1767856</v>
      </c>
      <c r="L99" s="45"/>
      <c r="M99" s="45">
        <f>7004+57347+9237+33631</f>
        <v>107219</v>
      </c>
      <c r="N99" s="45"/>
      <c r="O99" s="45">
        <v>0</v>
      </c>
      <c r="P99" s="45"/>
      <c r="Q99" s="45">
        <v>973409</v>
      </c>
      <c r="R99" s="45"/>
      <c r="S99" s="45">
        <f t="shared" si="11"/>
        <v>1080628</v>
      </c>
      <c r="T99" s="45"/>
      <c r="U99" s="44">
        <f t="shared" si="12"/>
        <v>0</v>
      </c>
      <c r="V99" s="44">
        <f t="shared" si="13"/>
        <v>0</v>
      </c>
    </row>
    <row r="100" spans="1:22" s="44" customFormat="1" ht="12.75" customHeight="1">
      <c r="A100" s="44" t="s">
        <v>124</v>
      </c>
      <c r="B100" s="51"/>
      <c r="C100" s="44" t="s">
        <v>125</v>
      </c>
      <c r="D100" s="35"/>
      <c r="E100" s="45">
        <f>679724+2577964</f>
        <v>3257688</v>
      </c>
      <c r="F100" s="45"/>
      <c r="G100" s="45">
        <v>4763262</v>
      </c>
      <c r="H100" s="45"/>
      <c r="I100" s="45">
        <v>826182</v>
      </c>
      <c r="J100" s="45"/>
      <c r="K100" s="45">
        <v>1006154</v>
      </c>
      <c r="L100" s="45"/>
      <c r="M100" s="45">
        <f>70949+55752+55154</f>
        <v>181855</v>
      </c>
      <c r="N100" s="45"/>
      <c r="O100" s="45">
        <v>0</v>
      </c>
      <c r="P100" s="45"/>
      <c r="Q100" s="45">
        <v>3575253</v>
      </c>
      <c r="R100" s="45"/>
      <c r="S100" s="45">
        <f t="shared" si="11"/>
        <v>3757108</v>
      </c>
      <c r="T100" s="45"/>
      <c r="U100" s="44">
        <f t="shared" si="12"/>
        <v>0</v>
      </c>
      <c r="V100" s="44">
        <f t="shared" si="13"/>
        <v>0</v>
      </c>
    </row>
    <row r="101" spans="1:22" s="44" customFormat="1" ht="12.75" customHeight="1">
      <c r="A101" s="44" t="s">
        <v>126</v>
      </c>
      <c r="C101" s="44" t="s">
        <v>27</v>
      </c>
      <c r="D101" s="35"/>
      <c r="E101" s="45">
        <v>5445469</v>
      </c>
      <c r="F101" s="45"/>
      <c r="G101" s="45">
        <v>8618814</v>
      </c>
      <c r="H101" s="45"/>
      <c r="I101" s="45">
        <v>1160623</v>
      </c>
      <c r="J101" s="45"/>
      <c r="K101" s="45">
        <v>1885575</v>
      </c>
      <c r="L101" s="45"/>
      <c r="M101" s="45">
        <f>75202+18286+61146</f>
        <v>154634</v>
      </c>
      <c r="N101" s="45"/>
      <c r="O101" s="45">
        <v>0</v>
      </c>
      <c r="P101" s="45"/>
      <c r="Q101" s="45">
        <v>6578605</v>
      </c>
      <c r="R101" s="45"/>
      <c r="S101" s="45">
        <f t="shared" si="11"/>
        <v>6733239</v>
      </c>
      <c r="T101" s="45"/>
      <c r="U101" s="44">
        <f t="shared" si="12"/>
        <v>0</v>
      </c>
      <c r="V101" s="44">
        <f t="shared" si="13"/>
        <v>0</v>
      </c>
    </row>
    <row r="102" spans="1:22" s="44" customFormat="1" ht="12.75" customHeight="1">
      <c r="A102" s="44" t="s">
        <v>127</v>
      </c>
      <c r="B102" s="51"/>
      <c r="C102" s="44" t="s">
        <v>43</v>
      </c>
      <c r="D102" s="35"/>
      <c r="E102" s="45">
        <v>2533866</v>
      </c>
      <c r="F102" s="45"/>
      <c r="G102" s="45">
        <v>7358716</v>
      </c>
      <c r="H102" s="45"/>
      <c r="I102" s="45">
        <v>2389480</v>
      </c>
      <c r="J102" s="45"/>
      <c r="K102" s="45">
        <v>4008981</v>
      </c>
      <c r="L102" s="45"/>
      <c r="M102" s="45">
        <v>188231</v>
      </c>
      <c r="N102" s="45"/>
      <c r="O102" s="45">
        <v>0</v>
      </c>
      <c r="P102" s="45"/>
      <c r="Q102" s="45">
        <v>3161504</v>
      </c>
      <c r="R102" s="45"/>
      <c r="S102" s="45">
        <f t="shared" si="11"/>
        <v>3349735</v>
      </c>
      <c r="T102" s="45"/>
      <c r="U102" s="44">
        <f t="shared" si="12"/>
        <v>0</v>
      </c>
      <c r="V102" s="44">
        <f t="shared" si="13"/>
        <v>0</v>
      </c>
    </row>
    <row r="103" spans="1:22" s="44" customFormat="1" ht="12.75" customHeight="1">
      <c r="A103" s="44" t="s">
        <v>128</v>
      </c>
      <c r="C103" s="44" t="s">
        <v>119</v>
      </c>
      <c r="D103" s="35"/>
      <c r="E103" s="45">
        <v>665787</v>
      </c>
      <c r="F103" s="45"/>
      <c r="G103" s="45">
        <v>2173131</v>
      </c>
      <c r="H103" s="45"/>
      <c r="I103" s="45">
        <v>792490</v>
      </c>
      <c r="J103" s="45"/>
      <c r="K103" s="45">
        <v>1010907</v>
      </c>
      <c r="L103" s="45"/>
      <c r="M103" s="45">
        <v>184575</v>
      </c>
      <c r="N103" s="45"/>
      <c r="O103" s="45">
        <v>0</v>
      </c>
      <c r="P103" s="45"/>
      <c r="Q103" s="45">
        <v>977649</v>
      </c>
      <c r="R103" s="45"/>
      <c r="S103" s="45">
        <f t="shared" si="11"/>
        <v>1162224</v>
      </c>
      <c r="T103" s="45"/>
      <c r="U103" s="44">
        <f t="shared" si="12"/>
        <v>0</v>
      </c>
      <c r="V103" s="44">
        <f t="shared" si="13"/>
        <v>0</v>
      </c>
    </row>
    <row r="104" spans="1:22" s="44" customFormat="1" ht="12.75" customHeight="1">
      <c r="A104" s="44" t="s">
        <v>129</v>
      </c>
      <c r="B104" s="51"/>
      <c r="C104" s="44" t="s">
        <v>80</v>
      </c>
      <c r="D104" s="35"/>
      <c r="E104" s="45">
        <f>6893+200</f>
        <v>7093</v>
      </c>
      <c r="F104" s="45"/>
      <c r="G104" s="45">
        <v>993900</v>
      </c>
      <c r="H104" s="45"/>
      <c r="I104" s="45">
        <v>285262</v>
      </c>
      <c r="J104" s="45"/>
      <c r="K104" s="45">
        <v>703562</v>
      </c>
      <c r="L104" s="45"/>
      <c r="M104" s="45">
        <f>5898+5690+2763</f>
        <v>14351</v>
      </c>
      <c r="N104" s="45"/>
      <c r="O104" s="45">
        <v>0</v>
      </c>
      <c r="P104" s="45"/>
      <c r="Q104" s="45">
        <v>275987</v>
      </c>
      <c r="R104" s="45"/>
      <c r="S104" s="45">
        <f t="shared" si="11"/>
        <v>290338</v>
      </c>
      <c r="T104" s="45"/>
      <c r="U104" s="44">
        <f t="shared" si="12"/>
        <v>0</v>
      </c>
      <c r="V104" s="44">
        <f t="shared" si="13"/>
        <v>0</v>
      </c>
    </row>
    <row r="105" spans="1:22" s="44" customFormat="1" ht="12.75" customHeight="1">
      <c r="A105" s="46" t="s">
        <v>130</v>
      </c>
      <c r="B105" s="46"/>
      <c r="C105" s="46" t="s">
        <v>66</v>
      </c>
      <c r="D105" s="64"/>
      <c r="E105" s="45">
        <v>5561067</v>
      </c>
      <c r="F105" s="45"/>
      <c r="G105" s="45">
        <v>10449959</v>
      </c>
      <c r="H105" s="45"/>
      <c r="I105" s="45">
        <v>2793354</v>
      </c>
      <c r="J105" s="45"/>
      <c r="K105" s="45">
        <v>3429842</v>
      </c>
      <c r="L105" s="45"/>
      <c r="M105" s="45">
        <f>547232+37620+8713</f>
        <v>593565</v>
      </c>
      <c r="N105" s="45"/>
      <c r="O105" s="45">
        <v>0</v>
      </c>
      <c r="P105" s="45"/>
      <c r="Q105" s="45">
        <v>6426552</v>
      </c>
      <c r="R105" s="45"/>
      <c r="S105" s="45">
        <f t="shared" si="11"/>
        <v>7020117</v>
      </c>
      <c r="T105" s="45"/>
      <c r="U105" s="44">
        <f t="shared" si="12"/>
        <v>0</v>
      </c>
      <c r="V105" s="44">
        <f t="shared" si="13"/>
        <v>0</v>
      </c>
    </row>
    <row r="106" spans="1:22" s="44" customFormat="1" ht="12.75" customHeight="1">
      <c r="A106" s="44" t="s">
        <v>131</v>
      </c>
      <c r="B106" s="51"/>
      <c r="C106" s="44" t="s">
        <v>13</v>
      </c>
      <c r="D106" s="35"/>
      <c r="E106" s="45">
        <v>11193904</v>
      </c>
      <c r="F106" s="45"/>
      <c r="G106" s="45">
        <v>19745567</v>
      </c>
      <c r="H106" s="45"/>
      <c r="I106" s="45">
        <v>5058175</v>
      </c>
      <c r="J106" s="45"/>
      <c r="K106" s="45">
        <v>5702140</v>
      </c>
      <c r="L106" s="45"/>
      <c r="M106" s="45">
        <f>215737+100000+35487</f>
        <v>351224</v>
      </c>
      <c r="N106" s="45"/>
      <c r="O106" s="45">
        <v>0</v>
      </c>
      <c r="P106" s="45"/>
      <c r="Q106" s="45">
        <v>13692203</v>
      </c>
      <c r="R106" s="45"/>
      <c r="S106" s="45">
        <f t="shared" si="11"/>
        <v>14043427</v>
      </c>
      <c r="T106" s="45"/>
      <c r="U106" s="44">
        <f t="shared" si="12"/>
        <v>0</v>
      </c>
      <c r="V106" s="44">
        <f t="shared" si="13"/>
        <v>0</v>
      </c>
    </row>
    <row r="107" spans="1:22" s="44" customFormat="1" ht="12.75" customHeight="1">
      <c r="A107" s="44" t="s">
        <v>38</v>
      </c>
      <c r="B107" s="51"/>
      <c r="C107" s="44" t="s">
        <v>132</v>
      </c>
      <c r="D107" s="35"/>
      <c r="E107" s="45">
        <v>571529</v>
      </c>
      <c r="F107" s="45"/>
      <c r="G107" s="45">
        <v>1536195</v>
      </c>
      <c r="H107" s="45"/>
      <c r="I107" s="45">
        <v>563788</v>
      </c>
      <c r="J107" s="45"/>
      <c r="K107" s="45">
        <v>812589</v>
      </c>
      <c r="L107" s="45"/>
      <c r="M107" s="45">
        <v>10876</v>
      </c>
      <c r="N107" s="45"/>
      <c r="O107" s="45">
        <v>0</v>
      </c>
      <c r="P107" s="45"/>
      <c r="Q107" s="45">
        <v>712730</v>
      </c>
      <c r="R107" s="45"/>
      <c r="S107" s="45">
        <f t="shared" si="11"/>
        <v>723606</v>
      </c>
      <c r="T107" s="45"/>
      <c r="U107" s="44">
        <f t="shared" si="12"/>
        <v>0</v>
      </c>
      <c r="V107" s="44">
        <f t="shared" si="13"/>
        <v>0</v>
      </c>
    </row>
    <row r="108" spans="1:22" s="44" customFormat="1" ht="12.75" customHeight="1">
      <c r="A108" s="44" t="s">
        <v>133</v>
      </c>
      <c r="B108" s="51"/>
      <c r="C108" s="44" t="s">
        <v>27</v>
      </c>
      <c r="D108" s="35"/>
      <c r="E108" s="45">
        <f>3312304+19094</f>
        <v>3331398</v>
      </c>
      <c r="F108" s="45"/>
      <c r="G108" s="45">
        <v>19115555</v>
      </c>
      <c r="H108" s="45"/>
      <c r="I108" s="45">
        <v>3830086</v>
      </c>
      <c r="J108" s="45"/>
      <c r="K108" s="45">
        <v>4655869</v>
      </c>
      <c r="L108" s="45"/>
      <c r="M108" s="45">
        <f>643004+7893000</f>
        <v>8536004</v>
      </c>
      <c r="N108" s="45"/>
      <c r="O108" s="45">
        <v>0</v>
      </c>
      <c r="P108" s="45"/>
      <c r="Q108" s="45">
        <v>5923682</v>
      </c>
      <c r="R108" s="45"/>
      <c r="S108" s="45">
        <f t="shared" si="11"/>
        <v>14459686</v>
      </c>
      <c r="T108" s="45"/>
      <c r="U108" s="44">
        <f t="shared" si="12"/>
        <v>0</v>
      </c>
      <c r="V108" s="44">
        <f t="shared" si="13"/>
        <v>0</v>
      </c>
    </row>
    <row r="109" spans="1:22" s="44" customFormat="1" ht="12.75" customHeight="1">
      <c r="A109" s="44" t="s">
        <v>482</v>
      </c>
      <c r="B109" s="51"/>
      <c r="C109" s="44" t="s">
        <v>45</v>
      </c>
      <c r="D109" s="35"/>
      <c r="E109" s="45">
        <v>1955661</v>
      </c>
      <c r="F109" s="45"/>
      <c r="G109" s="45">
        <v>3821971</v>
      </c>
      <c r="H109" s="45"/>
      <c r="I109" s="45">
        <v>946635</v>
      </c>
      <c r="J109" s="45"/>
      <c r="K109" s="45">
        <v>1741849</v>
      </c>
      <c r="L109" s="45"/>
      <c r="M109" s="45">
        <f>45186+78397</f>
        <v>123583</v>
      </c>
      <c r="N109" s="45"/>
      <c r="O109" s="45">
        <v>0</v>
      </c>
      <c r="P109" s="45"/>
      <c r="Q109" s="45">
        <v>1956539</v>
      </c>
      <c r="R109" s="45"/>
      <c r="S109" s="45">
        <f t="shared" si="11"/>
        <v>2080122</v>
      </c>
      <c r="T109" s="45"/>
      <c r="U109" s="44">
        <f t="shared" si="12"/>
        <v>0</v>
      </c>
      <c r="V109" s="44">
        <f t="shared" si="13"/>
        <v>0</v>
      </c>
    </row>
    <row r="110" spans="1:22" s="44" customFormat="1" ht="12.75" customHeight="1">
      <c r="A110" s="44" t="s">
        <v>136</v>
      </c>
      <c r="C110" s="44" t="s">
        <v>136</v>
      </c>
      <c r="D110" s="35"/>
      <c r="E110" s="45">
        <v>2015873</v>
      </c>
      <c r="F110" s="45"/>
      <c r="G110" s="45">
        <v>2854354</v>
      </c>
      <c r="H110" s="45"/>
      <c r="I110" s="45">
        <v>428377</v>
      </c>
      <c r="J110" s="45"/>
      <c r="K110" s="45">
        <v>584249</v>
      </c>
      <c r="L110" s="45"/>
      <c r="M110" s="45">
        <v>13720</v>
      </c>
      <c r="N110" s="45"/>
      <c r="O110" s="45">
        <v>0</v>
      </c>
      <c r="P110" s="45"/>
      <c r="Q110" s="45">
        <v>2256385</v>
      </c>
      <c r="R110" s="45"/>
      <c r="S110" s="45">
        <f t="shared" si="11"/>
        <v>2270105</v>
      </c>
      <c r="T110" s="45"/>
      <c r="U110" s="44">
        <f t="shared" si="12"/>
        <v>0</v>
      </c>
      <c r="V110" s="44">
        <f t="shared" si="13"/>
        <v>0</v>
      </c>
    </row>
    <row r="111" spans="1:22" s="44" customFormat="1" ht="12.75" customHeight="1">
      <c r="A111" s="44" t="s">
        <v>137</v>
      </c>
      <c r="C111" s="44" t="s">
        <v>22</v>
      </c>
      <c r="D111" s="35"/>
      <c r="E111" s="45">
        <v>6719871</v>
      </c>
      <c r="F111" s="45"/>
      <c r="G111" s="45">
        <v>11667784</v>
      </c>
      <c r="H111" s="45"/>
      <c r="I111" s="45">
        <v>2160990</v>
      </c>
      <c r="J111" s="45"/>
      <c r="K111" s="45">
        <v>2641537</v>
      </c>
      <c r="L111" s="45"/>
      <c r="M111" s="45">
        <f>107589+21312+51274+1200717</f>
        <v>1380892</v>
      </c>
      <c r="N111" s="45"/>
      <c r="O111" s="45">
        <v>0</v>
      </c>
      <c r="P111" s="45"/>
      <c r="Q111" s="45">
        <v>7645355</v>
      </c>
      <c r="R111" s="45"/>
      <c r="S111" s="45">
        <f t="shared" si="11"/>
        <v>9026247</v>
      </c>
      <c r="T111" s="45"/>
      <c r="U111" s="44">
        <f t="shared" si="12"/>
        <v>0</v>
      </c>
      <c r="V111" s="44">
        <f t="shared" si="13"/>
        <v>0</v>
      </c>
    </row>
    <row r="112" spans="1:22" s="121" customFormat="1" ht="12.75" hidden="1" customHeight="1">
      <c r="A112" s="121" t="s">
        <v>138</v>
      </c>
      <c r="B112" s="124"/>
      <c r="C112" s="121" t="s">
        <v>139</v>
      </c>
      <c r="D112" s="126"/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127"/>
      <c r="S112" s="127">
        <f t="shared" si="11"/>
        <v>0</v>
      </c>
      <c r="T112" s="127"/>
      <c r="U112" s="121">
        <f t="shared" si="12"/>
        <v>0</v>
      </c>
      <c r="V112" s="121">
        <f t="shared" si="13"/>
        <v>0</v>
      </c>
    </row>
    <row r="113" spans="1:22" s="44" customFormat="1" ht="12.75" customHeight="1">
      <c r="D113" s="3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8" t="s">
        <v>484</v>
      </c>
      <c r="T113" s="45"/>
    </row>
    <row r="114" spans="1:22" s="44" customFormat="1" ht="12.75" customHeight="1">
      <c r="A114" s="44" t="s">
        <v>140</v>
      </c>
      <c r="B114" s="51"/>
      <c r="C114" s="44" t="s">
        <v>66</v>
      </c>
      <c r="D114" s="35"/>
      <c r="E114" s="94">
        <v>38179676</v>
      </c>
      <c r="F114" s="94"/>
      <c r="G114" s="94">
        <v>54774815</v>
      </c>
      <c r="H114" s="94"/>
      <c r="I114" s="94">
        <v>12964808</v>
      </c>
      <c r="J114" s="94"/>
      <c r="K114" s="94">
        <v>15179452</v>
      </c>
      <c r="L114" s="94"/>
      <c r="M114" s="94">
        <f>24580+54747+398642+10580+5428+173267</f>
        <v>667244</v>
      </c>
      <c r="N114" s="94"/>
      <c r="O114" s="94">
        <v>104717</v>
      </c>
      <c r="P114" s="94"/>
      <c r="Q114" s="94">
        <v>38823402</v>
      </c>
      <c r="R114" s="94"/>
      <c r="S114" s="94">
        <f t="shared" si="11"/>
        <v>39595363</v>
      </c>
      <c r="T114" s="45"/>
      <c r="U114" s="44">
        <f t="shared" si="12"/>
        <v>0</v>
      </c>
      <c r="V114" s="44">
        <f t="shared" si="13"/>
        <v>0</v>
      </c>
    </row>
    <row r="115" spans="1:22" s="44" customFormat="1" ht="12.75" customHeight="1">
      <c r="A115" s="44" t="s">
        <v>478</v>
      </c>
      <c r="B115" s="51"/>
      <c r="C115" s="44" t="s">
        <v>92</v>
      </c>
      <c r="D115" s="35"/>
      <c r="E115" s="45">
        <v>364368</v>
      </c>
      <c r="F115" s="45"/>
      <c r="G115" s="45">
        <v>2101833</v>
      </c>
      <c r="H115" s="45"/>
      <c r="I115" s="45">
        <v>1135095</v>
      </c>
      <c r="J115" s="45"/>
      <c r="K115" s="45">
        <v>1441874</v>
      </c>
      <c r="L115" s="45"/>
      <c r="M115" s="45">
        <v>8194</v>
      </c>
      <c r="N115" s="45"/>
      <c r="O115" s="45">
        <v>0</v>
      </c>
      <c r="P115" s="45"/>
      <c r="Q115" s="45">
        <v>651765</v>
      </c>
      <c r="R115" s="45"/>
      <c r="S115" s="45">
        <f t="shared" si="11"/>
        <v>659959</v>
      </c>
      <c r="T115" s="45"/>
      <c r="U115" s="44">
        <f t="shared" si="12"/>
        <v>0</v>
      </c>
      <c r="V115" s="44">
        <f t="shared" si="13"/>
        <v>0</v>
      </c>
    </row>
    <row r="116" spans="1:22" s="46" customFormat="1" ht="12.75" customHeight="1">
      <c r="A116" s="44" t="s">
        <v>141</v>
      </c>
      <c r="B116" s="44"/>
      <c r="C116" s="44" t="s">
        <v>27</v>
      </c>
      <c r="D116" s="35"/>
      <c r="E116" s="45">
        <f>4130013+225466+2806</f>
        <v>4358285</v>
      </c>
      <c r="F116" s="45"/>
      <c r="G116" s="45">
        <v>25256754</v>
      </c>
      <c r="H116" s="45"/>
      <c r="I116" s="45">
        <v>16586402</v>
      </c>
      <c r="J116" s="45"/>
      <c r="K116" s="45">
        <v>18693256</v>
      </c>
      <c r="L116" s="45"/>
      <c r="M116" s="45">
        <v>949608</v>
      </c>
      <c r="N116" s="45"/>
      <c r="O116" s="45">
        <v>0</v>
      </c>
      <c r="P116" s="45"/>
      <c r="Q116" s="45">
        <v>5613890</v>
      </c>
      <c r="R116" s="45"/>
      <c r="S116" s="45">
        <f t="shared" si="11"/>
        <v>6563498</v>
      </c>
      <c r="T116" s="45"/>
      <c r="U116" s="44">
        <f t="shared" si="12"/>
        <v>0</v>
      </c>
      <c r="V116" s="44">
        <f t="shared" si="13"/>
        <v>0</v>
      </c>
    </row>
    <row r="117" spans="1:22" s="121" customFormat="1" ht="12.75" hidden="1" customHeight="1">
      <c r="A117" s="121" t="s">
        <v>142</v>
      </c>
      <c r="B117" s="124"/>
      <c r="C117" s="121" t="s">
        <v>102</v>
      </c>
      <c r="D117" s="126"/>
      <c r="E117" s="127">
        <v>0</v>
      </c>
      <c r="F117" s="127"/>
      <c r="G117" s="127">
        <v>0</v>
      </c>
      <c r="H117" s="127"/>
      <c r="I117" s="127">
        <v>0</v>
      </c>
      <c r="J117" s="127"/>
      <c r="K117" s="127">
        <v>0</v>
      </c>
      <c r="L117" s="127"/>
      <c r="M117" s="127">
        <v>0</v>
      </c>
      <c r="N117" s="127"/>
      <c r="O117" s="127">
        <v>0</v>
      </c>
      <c r="P117" s="127"/>
      <c r="Q117" s="127">
        <v>0</v>
      </c>
      <c r="R117" s="127"/>
      <c r="S117" s="127">
        <f>+Q117+O117+M117</f>
        <v>0</v>
      </c>
      <c r="T117" s="127"/>
      <c r="U117" s="121">
        <f t="shared" si="12"/>
        <v>0</v>
      </c>
      <c r="V117" s="121">
        <f t="shared" si="13"/>
        <v>0</v>
      </c>
    </row>
    <row r="118" spans="1:22" s="44" customFormat="1" ht="12.75" customHeight="1">
      <c r="A118" s="44" t="s">
        <v>143</v>
      </c>
      <c r="B118" s="51"/>
      <c r="C118" s="44" t="s">
        <v>111</v>
      </c>
      <c r="D118" s="35"/>
      <c r="E118" s="45">
        <v>4184308</v>
      </c>
      <c r="F118" s="45"/>
      <c r="G118" s="45">
        <v>8257868</v>
      </c>
      <c r="H118" s="45"/>
      <c r="I118" s="45">
        <v>2453969</v>
      </c>
      <c r="J118" s="45"/>
      <c r="K118" s="45">
        <v>3121746</v>
      </c>
      <c r="L118" s="45"/>
      <c r="M118" s="45">
        <v>1064339</v>
      </c>
      <c r="N118" s="45"/>
      <c r="O118" s="45">
        <v>0</v>
      </c>
      <c r="P118" s="45"/>
      <c r="Q118" s="45">
        <v>4071783</v>
      </c>
      <c r="R118" s="45"/>
      <c r="S118" s="45">
        <f>+Q118+O118+M118</f>
        <v>5136122</v>
      </c>
      <c r="T118" s="45"/>
      <c r="U118" s="44">
        <f t="shared" si="12"/>
        <v>0</v>
      </c>
      <c r="V118" s="44">
        <f t="shared" si="13"/>
        <v>0</v>
      </c>
    </row>
    <row r="119" spans="1:22" s="44" customFormat="1" ht="12.75" customHeight="1">
      <c r="A119" s="44" t="s">
        <v>144</v>
      </c>
      <c r="B119" s="51"/>
      <c r="C119" s="44" t="s">
        <v>88</v>
      </c>
      <c r="D119" s="35"/>
      <c r="E119" s="45">
        <v>3232417</v>
      </c>
      <c r="F119" s="45"/>
      <c r="G119" s="45">
        <v>10133803</v>
      </c>
      <c r="H119" s="45"/>
      <c r="I119" s="45">
        <v>3825587</v>
      </c>
      <c r="J119" s="45"/>
      <c r="K119" s="45">
        <v>5303794</v>
      </c>
      <c r="L119" s="45"/>
      <c r="M119" s="45">
        <f>450510+41311</f>
        <v>491821</v>
      </c>
      <c r="N119" s="45"/>
      <c r="O119" s="45">
        <v>0</v>
      </c>
      <c r="P119" s="45"/>
      <c r="Q119" s="45">
        <v>4338188</v>
      </c>
      <c r="R119" s="45"/>
      <c r="S119" s="45">
        <f t="shared" si="11"/>
        <v>4830009</v>
      </c>
      <c r="T119" s="45"/>
      <c r="U119" s="44">
        <f t="shared" si="12"/>
        <v>0</v>
      </c>
      <c r="V119" s="44">
        <f t="shared" si="13"/>
        <v>0</v>
      </c>
    </row>
    <row r="120" spans="1:22" s="44" customFormat="1" ht="12.75" customHeight="1">
      <c r="A120" s="44" t="s">
        <v>36</v>
      </c>
      <c r="B120" s="51"/>
      <c r="C120" s="44" t="s">
        <v>145</v>
      </c>
      <c r="D120" s="35"/>
      <c r="E120" s="45">
        <v>1075202</v>
      </c>
      <c r="F120" s="45"/>
      <c r="G120" s="45">
        <v>2103258</v>
      </c>
      <c r="H120" s="45"/>
      <c r="I120" s="45">
        <v>575677</v>
      </c>
      <c r="J120" s="45"/>
      <c r="K120" s="45">
        <v>826382</v>
      </c>
      <c r="L120" s="45"/>
      <c r="M120" s="45">
        <v>71137</v>
      </c>
      <c r="N120" s="45"/>
      <c r="O120" s="45">
        <v>0</v>
      </c>
      <c r="P120" s="45"/>
      <c r="Q120" s="45">
        <v>1205739</v>
      </c>
      <c r="R120" s="45"/>
      <c r="S120" s="45">
        <f t="shared" si="11"/>
        <v>1276876</v>
      </c>
      <c r="T120" s="45"/>
      <c r="U120" s="44">
        <f t="shared" si="12"/>
        <v>0</v>
      </c>
      <c r="V120" s="44">
        <f t="shared" si="13"/>
        <v>0</v>
      </c>
    </row>
    <row r="121" spans="1:22" s="44" customFormat="1" ht="12.75" customHeight="1">
      <c r="A121" s="44" t="s">
        <v>146</v>
      </c>
      <c r="B121" s="51"/>
      <c r="C121" s="44" t="s">
        <v>147</v>
      </c>
      <c r="D121" s="35"/>
      <c r="E121" s="45">
        <v>1331605</v>
      </c>
      <c r="F121" s="45"/>
      <c r="G121" s="45">
        <v>2961164</v>
      </c>
      <c r="H121" s="45"/>
      <c r="I121" s="45">
        <v>1283099</v>
      </c>
      <c r="J121" s="45"/>
      <c r="K121" s="45">
        <v>1554184</v>
      </c>
      <c r="L121" s="45"/>
      <c r="M121" s="45">
        <f>29566+1197+17391</f>
        <v>48154</v>
      </c>
      <c r="N121" s="45"/>
      <c r="O121" s="45">
        <v>0</v>
      </c>
      <c r="P121" s="45"/>
      <c r="Q121" s="45">
        <v>1358826</v>
      </c>
      <c r="R121" s="45"/>
      <c r="S121" s="45">
        <f t="shared" si="11"/>
        <v>1406980</v>
      </c>
      <c r="T121" s="45"/>
      <c r="U121" s="44">
        <f t="shared" si="12"/>
        <v>0</v>
      </c>
      <c r="V121" s="44">
        <f t="shared" si="13"/>
        <v>0</v>
      </c>
    </row>
    <row r="122" spans="1:22" s="44" customFormat="1" ht="12.75" customHeight="1">
      <c r="A122" s="44" t="s">
        <v>17</v>
      </c>
      <c r="B122" s="51"/>
      <c r="C122" s="44" t="s">
        <v>17</v>
      </c>
      <c r="D122" s="35"/>
      <c r="E122" s="45">
        <f>889699+96347</f>
        <v>986046</v>
      </c>
      <c r="F122" s="45"/>
      <c r="G122" s="45">
        <v>9697697</v>
      </c>
      <c r="H122" s="45"/>
      <c r="I122" s="45">
        <v>4954772</v>
      </c>
      <c r="J122" s="45"/>
      <c r="K122" s="45">
        <v>7633671</v>
      </c>
      <c r="L122" s="45"/>
      <c r="M122" s="45">
        <f>25000+123358</f>
        <v>148358</v>
      </c>
      <c r="N122" s="45"/>
      <c r="O122" s="45">
        <v>0</v>
      </c>
      <c r="P122" s="45"/>
      <c r="Q122" s="45">
        <v>1915668</v>
      </c>
      <c r="R122" s="45"/>
      <c r="S122" s="45">
        <f t="shared" si="11"/>
        <v>2064026</v>
      </c>
      <c r="T122" s="45"/>
      <c r="U122" s="44">
        <f t="shared" si="12"/>
        <v>0</v>
      </c>
      <c r="V122" s="44">
        <f t="shared" si="13"/>
        <v>0</v>
      </c>
    </row>
    <row r="123" spans="1:22" s="46" customFormat="1" ht="12.75" customHeight="1">
      <c r="A123" s="46" t="s">
        <v>148</v>
      </c>
      <c r="C123" s="46" t="s">
        <v>15</v>
      </c>
      <c r="D123" s="64"/>
      <c r="E123" s="45">
        <v>1380414</v>
      </c>
      <c r="F123" s="45"/>
      <c r="G123" s="45">
        <v>2849992</v>
      </c>
      <c r="H123" s="45"/>
      <c r="I123" s="45">
        <v>854305</v>
      </c>
      <c r="J123" s="45"/>
      <c r="K123" s="45">
        <v>1066709</v>
      </c>
      <c r="L123" s="45"/>
      <c r="M123" s="45">
        <f>28886+3678</f>
        <v>32564</v>
      </c>
      <c r="N123" s="45"/>
      <c r="O123" s="45">
        <v>0</v>
      </c>
      <c r="P123" s="45"/>
      <c r="Q123" s="45">
        <v>1750719</v>
      </c>
      <c r="R123" s="45"/>
      <c r="S123" s="45">
        <f t="shared" si="11"/>
        <v>1783283</v>
      </c>
      <c r="T123" s="45"/>
      <c r="U123" s="44">
        <f t="shared" si="12"/>
        <v>0</v>
      </c>
      <c r="V123" s="44">
        <f t="shared" si="13"/>
        <v>0</v>
      </c>
    </row>
    <row r="124" spans="1:22" s="44" customFormat="1" ht="12.75" customHeight="1">
      <c r="A124" s="44" t="s">
        <v>149</v>
      </c>
      <c r="B124" s="51"/>
      <c r="C124" s="44" t="s">
        <v>45</v>
      </c>
      <c r="D124" s="35"/>
      <c r="E124" s="45">
        <f>73040+1677191</f>
        <v>1750231</v>
      </c>
      <c r="F124" s="45"/>
      <c r="G124" s="45">
        <v>4004163</v>
      </c>
      <c r="H124" s="45"/>
      <c r="I124" s="45">
        <v>1179662</v>
      </c>
      <c r="J124" s="45"/>
      <c r="K124" s="45">
        <v>1386092</v>
      </c>
      <c r="L124" s="45"/>
      <c r="M124" s="45">
        <f>52985+1306</f>
        <v>54291</v>
      </c>
      <c r="N124" s="45"/>
      <c r="O124" s="45">
        <v>0</v>
      </c>
      <c r="P124" s="45"/>
      <c r="Q124" s="45">
        <v>2563780</v>
      </c>
      <c r="R124" s="45"/>
      <c r="S124" s="45">
        <f t="shared" si="11"/>
        <v>2618071</v>
      </c>
      <c r="T124" s="45"/>
      <c r="U124" s="44">
        <f t="shared" si="12"/>
        <v>0</v>
      </c>
      <c r="V124" s="44">
        <f t="shared" si="13"/>
        <v>0</v>
      </c>
    </row>
    <row r="125" spans="1:22" s="46" customFormat="1" ht="12.75" customHeight="1">
      <c r="A125" s="44" t="s">
        <v>150</v>
      </c>
      <c r="B125" s="51"/>
      <c r="C125" s="44" t="s">
        <v>27</v>
      </c>
      <c r="D125" s="35"/>
      <c r="E125" s="45">
        <f>2977176+602363</f>
        <v>3579539</v>
      </c>
      <c r="F125" s="45"/>
      <c r="G125" s="45">
        <v>11061701</v>
      </c>
      <c r="H125" s="45"/>
      <c r="I125" s="45">
        <v>5842353</v>
      </c>
      <c r="J125" s="45"/>
      <c r="K125" s="45">
        <v>6457025</v>
      </c>
      <c r="L125" s="45"/>
      <c r="M125" s="45">
        <f>151025+99158+32211</f>
        <v>282394</v>
      </c>
      <c r="N125" s="45"/>
      <c r="O125" s="45">
        <v>0</v>
      </c>
      <c r="P125" s="45"/>
      <c r="Q125" s="45">
        <v>4322282</v>
      </c>
      <c r="R125" s="45"/>
      <c r="S125" s="45">
        <f t="shared" si="11"/>
        <v>4604676</v>
      </c>
      <c r="T125" s="45"/>
      <c r="U125" s="44">
        <f t="shared" si="12"/>
        <v>0</v>
      </c>
      <c r="V125" s="44">
        <f t="shared" si="13"/>
        <v>0</v>
      </c>
    </row>
    <row r="126" spans="1:22" s="44" customFormat="1" ht="12.75" customHeight="1">
      <c r="A126" s="44" t="s">
        <v>151</v>
      </c>
      <c r="C126" s="44" t="s">
        <v>13</v>
      </c>
      <c r="D126" s="35"/>
      <c r="E126" s="45">
        <v>1797554</v>
      </c>
      <c r="F126" s="45"/>
      <c r="G126" s="45">
        <v>5841507</v>
      </c>
      <c r="H126" s="45"/>
      <c r="I126" s="45">
        <v>1513165</v>
      </c>
      <c r="J126" s="45"/>
      <c r="K126" s="45">
        <v>3279751</v>
      </c>
      <c r="L126" s="45"/>
      <c r="M126" s="45">
        <f>142455+2000+37133</f>
        <v>181588</v>
      </c>
      <c r="N126" s="45"/>
      <c r="O126" s="45">
        <v>500000</v>
      </c>
      <c r="P126" s="45"/>
      <c r="Q126" s="45">
        <v>1880168</v>
      </c>
      <c r="R126" s="45"/>
      <c r="S126" s="45">
        <f t="shared" si="11"/>
        <v>2561756</v>
      </c>
      <c r="T126" s="45"/>
      <c r="U126" s="44">
        <f t="shared" si="12"/>
        <v>0</v>
      </c>
      <c r="V126" s="44">
        <f t="shared" si="13"/>
        <v>0</v>
      </c>
    </row>
    <row r="127" spans="1:22" s="44" customFormat="1" ht="12.75" customHeight="1">
      <c r="A127" s="44" t="s">
        <v>481</v>
      </c>
      <c r="C127" s="44" t="s">
        <v>45</v>
      </c>
      <c r="D127" s="35"/>
      <c r="E127" s="45">
        <v>1499703</v>
      </c>
      <c r="F127" s="45"/>
      <c r="G127" s="45">
        <v>5077577</v>
      </c>
      <c r="H127" s="45"/>
      <c r="I127" s="45">
        <v>2971600</v>
      </c>
      <c r="J127" s="45"/>
      <c r="K127" s="45">
        <v>3379708</v>
      </c>
      <c r="L127" s="45"/>
      <c r="M127" s="45">
        <v>0</v>
      </c>
      <c r="N127" s="45"/>
      <c r="O127" s="45">
        <v>0</v>
      </c>
      <c r="P127" s="45"/>
      <c r="Q127" s="45">
        <v>1697869</v>
      </c>
      <c r="R127" s="45"/>
      <c r="S127" s="45">
        <f t="shared" si="11"/>
        <v>1697869</v>
      </c>
      <c r="T127" s="45"/>
      <c r="U127" s="44">
        <f t="shared" si="12"/>
        <v>0</v>
      </c>
      <c r="V127" s="44">
        <f t="shared" si="13"/>
        <v>0</v>
      </c>
    </row>
    <row r="128" spans="1:22" s="46" customFormat="1" ht="12.75" customHeight="1">
      <c r="A128" s="44" t="s">
        <v>152</v>
      </c>
      <c r="B128" s="51"/>
      <c r="C128" s="44" t="s">
        <v>153</v>
      </c>
      <c r="D128" s="35"/>
      <c r="E128" s="45">
        <v>0</v>
      </c>
      <c r="F128" s="45"/>
      <c r="G128" s="45">
        <v>7286939</v>
      </c>
      <c r="H128" s="45"/>
      <c r="I128" s="45">
        <v>3962317</v>
      </c>
      <c r="J128" s="45"/>
      <c r="K128" s="45">
        <v>6447611</v>
      </c>
      <c r="L128" s="45"/>
      <c r="M128" s="45">
        <f>42336+2053644+21864</f>
        <v>2117844</v>
      </c>
      <c r="N128" s="45"/>
      <c r="O128" s="45">
        <v>0</v>
      </c>
      <c r="P128" s="45"/>
      <c r="Q128" s="45">
        <v>-1278516</v>
      </c>
      <c r="R128" s="45"/>
      <c r="S128" s="45">
        <f t="shared" si="11"/>
        <v>839328</v>
      </c>
      <c r="T128" s="45"/>
      <c r="U128" s="44">
        <f t="shared" si="12"/>
        <v>0</v>
      </c>
      <c r="V128" s="44">
        <f t="shared" si="13"/>
        <v>0</v>
      </c>
    </row>
    <row r="129" spans="1:22" s="44" customFormat="1" ht="12.75" customHeight="1">
      <c r="A129" s="44" t="s">
        <v>154</v>
      </c>
      <c r="B129" s="51"/>
      <c r="C129" s="44" t="s">
        <v>27</v>
      </c>
      <c r="D129" s="35"/>
      <c r="E129" s="45">
        <v>99143</v>
      </c>
      <c r="F129" s="45"/>
      <c r="G129" s="45">
        <v>4593721</v>
      </c>
      <c r="H129" s="45"/>
      <c r="I129" s="45">
        <v>4088289</v>
      </c>
      <c r="J129" s="45"/>
      <c r="K129" s="45">
        <v>5247193</v>
      </c>
      <c r="L129" s="45"/>
      <c r="M129" s="45">
        <f>16286+28839+79195</f>
        <v>124320</v>
      </c>
      <c r="N129" s="45"/>
      <c r="O129" s="45">
        <v>0</v>
      </c>
      <c r="P129" s="45"/>
      <c r="Q129" s="45">
        <v>-777792</v>
      </c>
      <c r="R129" s="45"/>
      <c r="S129" s="45">
        <f t="shared" si="11"/>
        <v>-653472</v>
      </c>
      <c r="T129" s="45"/>
      <c r="U129" s="44">
        <f t="shared" si="12"/>
        <v>0</v>
      </c>
      <c r="V129" s="44">
        <f t="shared" si="13"/>
        <v>0</v>
      </c>
    </row>
    <row r="130" spans="1:22" s="44" customFormat="1" ht="12.75" customHeight="1">
      <c r="A130" s="44" t="s">
        <v>155</v>
      </c>
      <c r="C130" s="44" t="s">
        <v>40</v>
      </c>
      <c r="D130" s="35"/>
      <c r="E130" s="45">
        <f>1820174+33516+2264</f>
        <v>1855954</v>
      </c>
      <c r="F130" s="45"/>
      <c r="G130" s="45">
        <v>3835918</v>
      </c>
      <c r="H130" s="45"/>
      <c r="I130" s="45">
        <v>895132</v>
      </c>
      <c r="J130" s="45"/>
      <c r="K130" s="45">
        <v>1617888</v>
      </c>
      <c r="L130" s="45"/>
      <c r="M130" s="45">
        <f>112128+118317+180000</f>
        <v>410445</v>
      </c>
      <c r="N130" s="45"/>
      <c r="O130" s="45">
        <v>34259</v>
      </c>
      <c r="P130" s="45"/>
      <c r="Q130" s="45">
        <v>1773326</v>
      </c>
      <c r="R130" s="45"/>
      <c r="S130" s="45">
        <f t="shared" si="11"/>
        <v>2218030</v>
      </c>
      <c r="T130" s="45"/>
      <c r="U130" s="44">
        <f t="shared" si="12"/>
        <v>0</v>
      </c>
      <c r="V130" s="44">
        <f t="shared" si="13"/>
        <v>0</v>
      </c>
    </row>
    <row r="131" spans="1:22" s="121" customFormat="1" ht="12.75" hidden="1" customHeight="1">
      <c r="A131" s="121" t="s">
        <v>156</v>
      </c>
      <c r="B131" s="124"/>
      <c r="C131" s="121" t="s">
        <v>156</v>
      </c>
      <c r="D131" s="126"/>
      <c r="E131" s="127">
        <v>0</v>
      </c>
      <c r="F131" s="127"/>
      <c r="G131" s="127">
        <v>0</v>
      </c>
      <c r="H131" s="127"/>
      <c r="I131" s="127">
        <v>0</v>
      </c>
      <c r="J131" s="127"/>
      <c r="K131" s="127">
        <v>0</v>
      </c>
      <c r="L131" s="127"/>
      <c r="M131" s="127">
        <v>0</v>
      </c>
      <c r="N131" s="127"/>
      <c r="O131" s="127">
        <v>0</v>
      </c>
      <c r="P131" s="127"/>
      <c r="Q131" s="127">
        <v>0</v>
      </c>
      <c r="R131" s="127"/>
      <c r="S131" s="127">
        <f t="shared" si="11"/>
        <v>0</v>
      </c>
      <c r="T131" s="128"/>
      <c r="U131" s="123">
        <f t="shared" si="12"/>
        <v>0</v>
      </c>
      <c r="V131" s="123">
        <f t="shared" si="13"/>
        <v>0</v>
      </c>
    </row>
    <row r="132" spans="1:22" s="44" customFormat="1" ht="12.75" customHeight="1">
      <c r="A132" s="44" t="s">
        <v>157</v>
      </c>
      <c r="B132" s="51"/>
      <c r="C132" s="44" t="s">
        <v>33</v>
      </c>
      <c r="D132" s="35"/>
      <c r="E132" s="45">
        <v>156917</v>
      </c>
      <c r="F132" s="45"/>
      <c r="G132" s="45">
        <v>1297595</v>
      </c>
      <c r="H132" s="45"/>
      <c r="I132" s="45">
        <v>769045</v>
      </c>
      <c r="J132" s="45"/>
      <c r="K132" s="45">
        <v>907274</v>
      </c>
      <c r="L132" s="45"/>
      <c r="M132" s="45">
        <f>6802+31544</f>
        <v>38346</v>
      </c>
      <c r="N132" s="45"/>
      <c r="O132" s="45">
        <v>0</v>
      </c>
      <c r="P132" s="45"/>
      <c r="Q132" s="45">
        <v>351975</v>
      </c>
      <c r="R132" s="45"/>
      <c r="S132" s="45">
        <f t="shared" si="11"/>
        <v>390321</v>
      </c>
      <c r="T132" s="45"/>
      <c r="U132" s="44">
        <f t="shared" si="12"/>
        <v>0</v>
      </c>
      <c r="V132" s="44">
        <f t="shared" si="13"/>
        <v>0</v>
      </c>
    </row>
    <row r="133" spans="1:22" s="44" customFormat="1" ht="12.75" customHeight="1">
      <c r="A133" s="44" t="s">
        <v>158</v>
      </c>
      <c r="B133" s="51"/>
      <c r="C133" s="44" t="s">
        <v>159</v>
      </c>
      <c r="D133" s="35"/>
      <c r="E133" s="45">
        <v>4587021</v>
      </c>
      <c r="F133" s="45"/>
      <c r="G133" s="45">
        <v>9639725</v>
      </c>
      <c r="H133" s="45"/>
      <c r="I133" s="45">
        <v>1980664</v>
      </c>
      <c r="J133" s="45"/>
      <c r="K133" s="45">
        <v>2599024</v>
      </c>
      <c r="L133" s="45"/>
      <c r="M133" s="45">
        <f>349058+87825</f>
        <v>436883</v>
      </c>
      <c r="N133" s="45"/>
      <c r="O133" s="45">
        <v>0</v>
      </c>
      <c r="P133" s="45"/>
      <c r="Q133" s="45">
        <v>6603818</v>
      </c>
      <c r="R133" s="45"/>
      <c r="S133" s="45">
        <f t="shared" si="11"/>
        <v>7040701</v>
      </c>
      <c r="T133" s="45"/>
      <c r="U133" s="44">
        <f t="shared" si="12"/>
        <v>0</v>
      </c>
      <c r="V133" s="44">
        <f t="shared" si="13"/>
        <v>0</v>
      </c>
    </row>
    <row r="134" spans="1:22" s="46" customFormat="1" ht="12.75" customHeight="1">
      <c r="A134" s="46" t="s">
        <v>160</v>
      </c>
      <c r="B134" s="66"/>
      <c r="C134" s="46" t="s">
        <v>111</v>
      </c>
      <c r="D134" s="64"/>
      <c r="E134" s="45">
        <v>22127341</v>
      </c>
      <c r="F134" s="45"/>
      <c r="G134" s="45">
        <v>33452481</v>
      </c>
      <c r="H134" s="45"/>
      <c r="I134" s="45">
        <v>3283979</v>
      </c>
      <c r="J134" s="45"/>
      <c r="K134" s="45">
        <v>11683241</v>
      </c>
      <c r="L134" s="45"/>
      <c r="M134" s="45">
        <f>8483604+232262+9116</f>
        <v>8724982</v>
      </c>
      <c r="N134" s="45"/>
      <c r="O134" s="45">
        <v>0</v>
      </c>
      <c r="P134" s="45"/>
      <c r="Q134" s="45">
        <v>13044258</v>
      </c>
      <c r="R134" s="45"/>
      <c r="S134" s="45">
        <f t="shared" si="11"/>
        <v>21769240</v>
      </c>
      <c r="T134" s="45"/>
      <c r="U134" s="44">
        <f t="shared" si="12"/>
        <v>0</v>
      </c>
      <c r="V134" s="44">
        <f t="shared" si="13"/>
        <v>0</v>
      </c>
    </row>
    <row r="135" spans="1:22" s="44" customFormat="1" ht="12.75" customHeight="1">
      <c r="A135" s="44" t="s">
        <v>161</v>
      </c>
      <c r="C135" s="44" t="s">
        <v>15</v>
      </c>
      <c r="D135" s="35"/>
      <c r="E135" s="45">
        <f>207094+77776</f>
        <v>284870</v>
      </c>
      <c r="F135" s="45"/>
      <c r="G135" s="45">
        <v>4967648</v>
      </c>
      <c r="H135" s="45"/>
      <c r="I135" s="45">
        <v>2642650</v>
      </c>
      <c r="J135" s="45"/>
      <c r="K135" s="45">
        <v>4556188</v>
      </c>
      <c r="L135" s="45"/>
      <c r="M135" s="45">
        <f>382805+21625</f>
        <v>404430</v>
      </c>
      <c r="N135" s="45"/>
      <c r="O135" s="45">
        <v>0</v>
      </c>
      <c r="P135" s="45"/>
      <c r="Q135" s="45">
        <v>7030</v>
      </c>
      <c r="R135" s="45"/>
      <c r="S135" s="45">
        <f t="shared" si="11"/>
        <v>411460</v>
      </c>
      <c r="T135" s="45"/>
      <c r="U135" s="44">
        <f t="shared" si="12"/>
        <v>0</v>
      </c>
      <c r="V135" s="44">
        <f t="shared" si="13"/>
        <v>0</v>
      </c>
    </row>
    <row r="136" spans="1:22" s="44" customFormat="1" ht="12.75" customHeight="1">
      <c r="A136" s="44" t="s">
        <v>162</v>
      </c>
      <c r="B136" s="51"/>
      <c r="C136" s="44" t="s">
        <v>163</v>
      </c>
      <c r="D136" s="35"/>
      <c r="E136" s="45">
        <f>9136+483247</f>
        <v>492383</v>
      </c>
      <c r="F136" s="45"/>
      <c r="G136" s="45">
        <v>3063034</v>
      </c>
      <c r="H136" s="45"/>
      <c r="I136" s="45">
        <v>1975009</v>
      </c>
      <c r="J136" s="45"/>
      <c r="K136" s="45">
        <v>3034592</v>
      </c>
      <c r="L136" s="45"/>
      <c r="M136" s="45">
        <f>47700+43441+51767</f>
        <v>142908</v>
      </c>
      <c r="N136" s="45"/>
      <c r="O136" s="45">
        <v>0</v>
      </c>
      <c r="P136" s="45"/>
      <c r="Q136" s="45">
        <v>-114466</v>
      </c>
      <c r="R136" s="45"/>
      <c r="S136" s="45">
        <f t="shared" si="11"/>
        <v>28442</v>
      </c>
      <c r="T136" s="45"/>
      <c r="U136" s="44">
        <f t="shared" si="12"/>
        <v>0</v>
      </c>
      <c r="V136" s="44">
        <f t="shared" si="13"/>
        <v>0</v>
      </c>
    </row>
    <row r="137" spans="1:22" s="44" customFormat="1" ht="12.75" customHeight="1">
      <c r="A137" s="44" t="s">
        <v>164</v>
      </c>
      <c r="B137" s="51"/>
      <c r="C137" s="44" t="s">
        <v>27</v>
      </c>
      <c r="D137" s="35"/>
      <c r="E137" s="45">
        <f>38270+6742011</f>
        <v>6780281</v>
      </c>
      <c r="F137" s="45"/>
      <c r="G137" s="45">
        <v>14755070</v>
      </c>
      <c r="H137" s="45"/>
      <c r="I137" s="45">
        <v>5332696</v>
      </c>
      <c r="J137" s="45"/>
      <c r="K137" s="45">
        <v>6234970</v>
      </c>
      <c r="L137" s="45"/>
      <c r="M137" s="45">
        <f>79890+31387+58505</f>
        <v>169782</v>
      </c>
      <c r="N137" s="45"/>
      <c r="O137" s="45">
        <v>0</v>
      </c>
      <c r="P137" s="45"/>
      <c r="Q137" s="45">
        <v>8350318</v>
      </c>
      <c r="R137" s="45"/>
      <c r="S137" s="45">
        <f t="shared" si="11"/>
        <v>8520100</v>
      </c>
      <c r="T137" s="45"/>
      <c r="U137" s="44">
        <f t="shared" si="12"/>
        <v>0</v>
      </c>
      <c r="V137" s="44">
        <f t="shared" si="13"/>
        <v>0</v>
      </c>
    </row>
    <row r="138" spans="1:22" s="44" customFormat="1" ht="12.75" customHeight="1">
      <c r="A138" s="44" t="s">
        <v>53</v>
      </c>
      <c r="B138" s="51"/>
      <c r="C138" s="44" t="s">
        <v>53</v>
      </c>
      <c r="D138" s="35"/>
      <c r="E138" s="45">
        <v>6818075</v>
      </c>
      <c r="F138" s="45"/>
      <c r="G138" s="45">
        <v>13373654</v>
      </c>
      <c r="H138" s="45"/>
      <c r="I138" s="45">
        <v>2207308</v>
      </c>
      <c r="J138" s="45"/>
      <c r="K138" s="45">
        <v>2554656</v>
      </c>
      <c r="L138" s="45"/>
      <c r="M138" s="45">
        <f>378988+2682013</f>
        <v>3061001</v>
      </c>
      <c r="N138" s="45"/>
      <c r="O138" s="45">
        <v>0</v>
      </c>
      <c r="P138" s="45"/>
      <c r="Q138" s="45">
        <v>7757997</v>
      </c>
      <c r="R138" s="45"/>
      <c r="S138" s="45">
        <f t="shared" si="11"/>
        <v>10818998</v>
      </c>
      <c r="T138" s="45"/>
      <c r="U138" s="44">
        <f t="shared" si="12"/>
        <v>0</v>
      </c>
      <c r="V138" s="44">
        <f t="shared" si="13"/>
        <v>0</v>
      </c>
    </row>
    <row r="139" spans="1:22" s="44" customFormat="1" ht="12.75" customHeight="1">
      <c r="A139" s="44" t="s">
        <v>165</v>
      </c>
      <c r="B139" s="51"/>
      <c r="C139" s="44" t="s">
        <v>92</v>
      </c>
      <c r="D139" s="35"/>
      <c r="E139" s="45">
        <v>13695467</v>
      </c>
      <c r="F139" s="45"/>
      <c r="G139" s="45">
        <v>30756398</v>
      </c>
      <c r="H139" s="45"/>
      <c r="I139" s="45">
        <v>5747309</v>
      </c>
      <c r="J139" s="45"/>
      <c r="K139" s="45">
        <v>9256311</v>
      </c>
      <c r="L139" s="45"/>
      <c r="M139" s="45">
        <f>703444+1554517</f>
        <v>2257961</v>
      </c>
      <c r="N139" s="45"/>
      <c r="O139" s="45">
        <v>0</v>
      </c>
      <c r="P139" s="45"/>
      <c r="Q139" s="45">
        <v>19242126</v>
      </c>
      <c r="R139" s="45"/>
      <c r="S139" s="45">
        <f t="shared" si="11"/>
        <v>21500087</v>
      </c>
      <c r="T139" s="45"/>
      <c r="U139" s="44">
        <f t="shared" si="12"/>
        <v>0</v>
      </c>
      <c r="V139" s="44">
        <f t="shared" si="13"/>
        <v>0</v>
      </c>
    </row>
    <row r="140" spans="1:22" s="44" customFormat="1" ht="12.75" customHeight="1">
      <c r="A140" s="44" t="s">
        <v>166</v>
      </c>
      <c r="B140" s="51"/>
      <c r="C140" s="44" t="s">
        <v>92</v>
      </c>
      <c r="D140" s="35"/>
      <c r="E140" s="45">
        <v>296107</v>
      </c>
      <c r="F140" s="45"/>
      <c r="G140" s="45">
        <v>1161498</v>
      </c>
      <c r="H140" s="45"/>
      <c r="I140" s="45">
        <v>378661</v>
      </c>
      <c r="J140" s="45"/>
      <c r="K140" s="45">
        <v>1008079</v>
      </c>
      <c r="L140" s="45"/>
      <c r="M140" s="45">
        <f>9995+10644</f>
        <v>20639</v>
      </c>
      <c r="N140" s="45"/>
      <c r="O140" s="45">
        <v>0</v>
      </c>
      <c r="P140" s="45"/>
      <c r="Q140" s="45">
        <v>132780</v>
      </c>
      <c r="R140" s="45"/>
      <c r="S140" s="45">
        <f t="shared" si="11"/>
        <v>153419</v>
      </c>
      <c r="T140" s="45"/>
      <c r="U140" s="44">
        <f t="shared" si="12"/>
        <v>0</v>
      </c>
      <c r="V140" s="44">
        <f>+G140-K140-S140</f>
        <v>0</v>
      </c>
    </row>
    <row r="141" spans="1:22" s="44" customFormat="1" ht="12.75" customHeight="1">
      <c r="A141" s="44" t="s">
        <v>167</v>
      </c>
      <c r="B141" s="51"/>
      <c r="C141" s="44" t="s">
        <v>66</v>
      </c>
      <c r="D141" s="35"/>
      <c r="E141" s="45">
        <v>2964006</v>
      </c>
      <c r="F141" s="45"/>
      <c r="G141" s="45">
        <v>8020494</v>
      </c>
      <c r="H141" s="45"/>
      <c r="I141" s="45">
        <v>2770981</v>
      </c>
      <c r="J141" s="45"/>
      <c r="K141" s="45">
        <v>3597223</v>
      </c>
      <c r="L141" s="45"/>
      <c r="M141" s="45">
        <f>515704+161639+1190797</f>
        <v>1868140</v>
      </c>
      <c r="N141" s="45"/>
      <c r="O141" s="45">
        <v>156930</v>
      </c>
      <c r="P141" s="45"/>
      <c r="Q141" s="45">
        <v>2398201</v>
      </c>
      <c r="R141" s="45"/>
      <c r="S141" s="45">
        <f t="shared" si="11"/>
        <v>4423271</v>
      </c>
      <c r="T141" s="45"/>
      <c r="U141" s="44">
        <f t="shared" si="12"/>
        <v>0</v>
      </c>
      <c r="V141" s="44">
        <f t="shared" si="13"/>
        <v>0</v>
      </c>
    </row>
    <row r="142" spans="1:22" s="44" customFormat="1" ht="12.75" customHeight="1">
      <c r="A142" s="44" t="s">
        <v>168</v>
      </c>
      <c r="B142" s="51"/>
      <c r="C142" s="44" t="s">
        <v>27</v>
      </c>
      <c r="D142" s="35"/>
      <c r="E142" s="45">
        <v>1802542</v>
      </c>
      <c r="F142" s="45"/>
      <c r="G142" s="45">
        <v>8111575</v>
      </c>
      <c r="H142" s="45"/>
      <c r="I142" s="45">
        <v>3262981</v>
      </c>
      <c r="J142" s="45"/>
      <c r="K142" s="45">
        <v>4317761</v>
      </c>
      <c r="L142" s="45"/>
      <c r="M142" s="45">
        <f>246735+70490</f>
        <v>317225</v>
      </c>
      <c r="N142" s="45"/>
      <c r="O142" s="45">
        <v>0</v>
      </c>
      <c r="P142" s="45"/>
      <c r="Q142" s="45">
        <v>3476589</v>
      </c>
      <c r="R142" s="45"/>
      <c r="S142" s="45">
        <f t="shared" si="11"/>
        <v>3793814</v>
      </c>
      <c r="T142" s="45"/>
      <c r="U142" s="44">
        <f t="shared" si="12"/>
        <v>0</v>
      </c>
      <c r="V142" s="44">
        <f t="shared" si="13"/>
        <v>0</v>
      </c>
    </row>
    <row r="143" spans="1:22" s="44" customFormat="1" ht="12.75" customHeight="1">
      <c r="A143" s="44" t="s">
        <v>169</v>
      </c>
      <c r="B143" s="51"/>
      <c r="C143" s="44" t="s">
        <v>103</v>
      </c>
      <c r="D143" s="35"/>
      <c r="E143" s="45">
        <f>10097597+182914</f>
        <v>10280511</v>
      </c>
      <c r="F143" s="45"/>
      <c r="G143" s="45">
        <v>21799493</v>
      </c>
      <c r="H143" s="45"/>
      <c r="I143" s="45">
        <v>7437994</v>
      </c>
      <c r="J143" s="45"/>
      <c r="K143" s="45">
        <v>9759695</v>
      </c>
      <c r="L143" s="45"/>
      <c r="M143" s="45">
        <f>329289+13526</f>
        <v>342815</v>
      </c>
      <c r="N143" s="45"/>
      <c r="O143" s="45">
        <v>0</v>
      </c>
      <c r="P143" s="45"/>
      <c r="Q143" s="45">
        <v>11696983</v>
      </c>
      <c r="R143" s="45"/>
      <c r="S143" s="45">
        <f t="shared" si="11"/>
        <v>12039798</v>
      </c>
      <c r="T143" s="45"/>
      <c r="U143" s="44">
        <f t="shared" si="12"/>
        <v>0</v>
      </c>
      <c r="V143" s="44">
        <f t="shared" si="13"/>
        <v>0</v>
      </c>
    </row>
    <row r="144" spans="1:22" s="44" customFormat="1" ht="12.75" customHeight="1">
      <c r="A144" s="44" t="s">
        <v>170</v>
      </c>
      <c r="C144" s="44" t="s">
        <v>171</v>
      </c>
      <c r="D144" s="35"/>
      <c r="E144" s="45">
        <v>3476639</v>
      </c>
      <c r="F144" s="45"/>
      <c r="G144" s="45">
        <v>4566253</v>
      </c>
      <c r="H144" s="45"/>
      <c r="I144" s="45">
        <v>853481</v>
      </c>
      <c r="J144" s="45"/>
      <c r="K144" s="45">
        <v>1387248</v>
      </c>
      <c r="L144" s="45"/>
      <c r="M144" s="45">
        <v>81621</v>
      </c>
      <c r="N144" s="45"/>
      <c r="O144" s="45">
        <v>0</v>
      </c>
      <c r="P144" s="45"/>
      <c r="Q144" s="45">
        <v>3097384</v>
      </c>
      <c r="R144" s="45"/>
      <c r="S144" s="45">
        <f t="shared" si="11"/>
        <v>3179005</v>
      </c>
      <c r="T144" s="45"/>
      <c r="U144" s="44">
        <f t="shared" si="12"/>
        <v>0</v>
      </c>
      <c r="V144" s="44">
        <f t="shared" si="13"/>
        <v>0</v>
      </c>
    </row>
    <row r="145" spans="1:22" s="44" customFormat="1" ht="12.75" customHeight="1">
      <c r="A145" s="44" t="s">
        <v>172</v>
      </c>
      <c r="B145" s="51"/>
      <c r="C145" s="44" t="s">
        <v>103</v>
      </c>
      <c r="D145" s="35"/>
      <c r="E145" s="45">
        <v>5611707</v>
      </c>
      <c r="F145" s="45"/>
      <c r="G145" s="45">
        <v>7967030</v>
      </c>
      <c r="H145" s="45"/>
      <c r="I145" s="45">
        <v>1596010</v>
      </c>
      <c r="J145" s="45"/>
      <c r="K145" s="45">
        <v>1884075</v>
      </c>
      <c r="L145" s="45"/>
      <c r="M145" s="45">
        <v>482044</v>
      </c>
      <c r="N145" s="45"/>
      <c r="O145" s="45">
        <v>0</v>
      </c>
      <c r="P145" s="45"/>
      <c r="Q145" s="45">
        <v>5600911</v>
      </c>
      <c r="R145" s="45"/>
      <c r="S145" s="45">
        <f t="shared" si="11"/>
        <v>6082955</v>
      </c>
      <c r="T145" s="45"/>
      <c r="U145" s="44">
        <f t="shared" si="12"/>
        <v>0</v>
      </c>
      <c r="V145" s="44">
        <f t="shared" si="13"/>
        <v>0</v>
      </c>
    </row>
    <row r="146" spans="1:22" s="44" customFormat="1" ht="12.75" customHeight="1">
      <c r="A146" s="44" t="s">
        <v>66</v>
      </c>
      <c r="B146" s="51"/>
      <c r="C146" s="44" t="s">
        <v>45</v>
      </c>
      <c r="D146" s="35"/>
      <c r="E146" s="45">
        <f>3041622+10752306</f>
        <v>13793928</v>
      </c>
      <c r="F146" s="45"/>
      <c r="G146" s="45">
        <v>17650445</v>
      </c>
      <c r="H146" s="45"/>
      <c r="I146" s="45">
        <v>2484579</v>
      </c>
      <c r="J146" s="45"/>
      <c r="K146" s="45">
        <v>2886684</v>
      </c>
      <c r="L146" s="45"/>
      <c r="M146" s="45">
        <f>298874+18239</f>
        <v>317113</v>
      </c>
      <c r="N146" s="45"/>
      <c r="O146" s="45">
        <v>0</v>
      </c>
      <c r="P146" s="45"/>
      <c r="Q146" s="45">
        <v>14446648</v>
      </c>
      <c r="R146" s="45"/>
      <c r="S146" s="45">
        <f t="shared" si="11"/>
        <v>14763761</v>
      </c>
      <c r="T146" s="45"/>
      <c r="U146" s="44">
        <f t="shared" si="12"/>
        <v>0</v>
      </c>
      <c r="V146" s="44">
        <f t="shared" si="13"/>
        <v>0</v>
      </c>
    </row>
    <row r="147" spans="1:22" s="44" customFormat="1" ht="12.75" customHeight="1">
      <c r="A147" s="44" t="s">
        <v>173</v>
      </c>
      <c r="B147" s="51"/>
      <c r="C147" s="44" t="s">
        <v>66</v>
      </c>
      <c r="D147" s="35"/>
      <c r="E147" s="45">
        <v>7496813</v>
      </c>
      <c r="F147" s="45"/>
      <c r="G147" s="45">
        <v>10895940</v>
      </c>
      <c r="H147" s="45"/>
      <c r="I147" s="45">
        <v>1537515</v>
      </c>
      <c r="J147" s="45"/>
      <c r="K147" s="45">
        <v>2168430</v>
      </c>
      <c r="L147" s="45"/>
      <c r="M147" s="45">
        <f>192804+78383+3577+845000</f>
        <v>1119764</v>
      </c>
      <c r="N147" s="45"/>
      <c r="O147" s="45">
        <v>0</v>
      </c>
      <c r="P147" s="45"/>
      <c r="Q147" s="45">
        <v>7607746</v>
      </c>
      <c r="R147" s="45"/>
      <c r="S147" s="45">
        <f t="shared" ref="S147:S213" si="14">+Q147+O147+M147</f>
        <v>8727510</v>
      </c>
      <c r="T147" s="45"/>
      <c r="U147" s="44">
        <f t="shared" ref="U147:U213" si="15">+G147-K147-S147</f>
        <v>0</v>
      </c>
      <c r="V147" s="44">
        <f t="shared" ref="V147:V212" si="16">+G147-K147-S147</f>
        <v>0</v>
      </c>
    </row>
    <row r="148" spans="1:22" s="44" customFormat="1" ht="12.75" customHeight="1">
      <c r="A148" s="44" t="s">
        <v>174</v>
      </c>
      <c r="C148" s="44" t="s">
        <v>45</v>
      </c>
      <c r="D148" s="35"/>
      <c r="E148" s="45">
        <v>203745</v>
      </c>
      <c r="F148" s="45"/>
      <c r="G148" s="45">
        <v>1279702</v>
      </c>
      <c r="H148" s="45"/>
      <c r="I148" s="45">
        <v>908282</v>
      </c>
      <c r="J148" s="45"/>
      <c r="K148" s="45">
        <v>1043054</v>
      </c>
      <c r="L148" s="45"/>
      <c r="M148" s="45">
        <v>0</v>
      </c>
      <c r="N148" s="45"/>
      <c r="O148" s="45">
        <v>0</v>
      </c>
      <c r="P148" s="45"/>
      <c r="Q148" s="45">
        <v>236648</v>
      </c>
      <c r="R148" s="45"/>
      <c r="S148" s="45">
        <f t="shared" si="14"/>
        <v>236648</v>
      </c>
      <c r="T148" s="45"/>
      <c r="U148" s="44">
        <f t="shared" si="15"/>
        <v>0</v>
      </c>
      <c r="V148" s="44">
        <f t="shared" si="16"/>
        <v>0</v>
      </c>
    </row>
    <row r="149" spans="1:22" s="44" customFormat="1" ht="12.75" customHeight="1">
      <c r="A149" s="44" t="s">
        <v>175</v>
      </c>
      <c r="B149" s="51"/>
      <c r="C149" s="44" t="s">
        <v>176</v>
      </c>
      <c r="D149" s="35"/>
      <c r="E149" s="45">
        <f>2792132+704105</f>
        <v>3496237</v>
      </c>
      <c r="F149" s="45"/>
      <c r="G149" s="45">
        <v>7117792</v>
      </c>
      <c r="H149" s="45"/>
      <c r="I149" s="45">
        <v>1606970</v>
      </c>
      <c r="J149" s="45"/>
      <c r="K149" s="45">
        <v>2108327</v>
      </c>
      <c r="L149" s="45"/>
      <c r="M149" s="45">
        <f>350998+64836+533</f>
        <v>416367</v>
      </c>
      <c r="N149" s="45"/>
      <c r="O149" s="45">
        <v>0</v>
      </c>
      <c r="P149" s="45"/>
      <c r="Q149" s="45">
        <v>4593098</v>
      </c>
      <c r="R149" s="45"/>
      <c r="S149" s="45">
        <f t="shared" si="14"/>
        <v>5009465</v>
      </c>
      <c r="T149" s="45"/>
      <c r="U149" s="44">
        <f t="shared" si="15"/>
        <v>0</v>
      </c>
      <c r="V149" s="44">
        <f t="shared" si="16"/>
        <v>0</v>
      </c>
    </row>
    <row r="150" spans="1:22" s="44" customFormat="1" ht="12.75" customHeight="1">
      <c r="A150" s="44" t="s">
        <v>177</v>
      </c>
      <c r="B150" s="51"/>
      <c r="C150" s="44" t="s">
        <v>13</v>
      </c>
      <c r="D150" s="35"/>
      <c r="E150" s="45">
        <v>1413442</v>
      </c>
      <c r="F150" s="45"/>
      <c r="G150" s="45">
        <v>2151627</v>
      </c>
      <c r="H150" s="45"/>
      <c r="I150" s="45">
        <v>454647</v>
      </c>
      <c r="J150" s="45"/>
      <c r="K150" s="45">
        <v>536787</v>
      </c>
      <c r="L150" s="45"/>
      <c r="M150" s="45">
        <v>46657</v>
      </c>
      <c r="N150" s="45"/>
      <c r="O150" s="45">
        <v>0</v>
      </c>
      <c r="P150" s="45"/>
      <c r="Q150" s="45">
        <v>1568183</v>
      </c>
      <c r="R150" s="45"/>
      <c r="S150" s="45">
        <f t="shared" si="14"/>
        <v>1614840</v>
      </c>
      <c r="T150" s="45"/>
      <c r="U150" s="44">
        <f t="shared" si="15"/>
        <v>0</v>
      </c>
      <c r="V150" s="44">
        <f t="shared" si="16"/>
        <v>0</v>
      </c>
    </row>
    <row r="151" spans="1:22" s="44" customFormat="1" ht="12.75" customHeight="1">
      <c r="A151" s="44" t="s">
        <v>178</v>
      </c>
      <c r="B151" s="51"/>
      <c r="C151" s="44" t="s">
        <v>179</v>
      </c>
      <c r="D151" s="35"/>
      <c r="E151" s="45">
        <v>1420709</v>
      </c>
      <c r="F151" s="45"/>
      <c r="G151" s="45">
        <v>2802553</v>
      </c>
      <c r="H151" s="45"/>
      <c r="I151" s="45">
        <v>530214</v>
      </c>
      <c r="J151" s="45"/>
      <c r="K151" s="45">
        <v>750704</v>
      </c>
      <c r="L151" s="45"/>
      <c r="M151" s="45">
        <f>43792+2694</f>
        <v>46486</v>
      </c>
      <c r="N151" s="45"/>
      <c r="O151" s="45">
        <v>0</v>
      </c>
      <c r="P151" s="45"/>
      <c r="Q151" s="45">
        <v>2005363</v>
      </c>
      <c r="R151" s="45"/>
      <c r="S151" s="45">
        <f t="shared" si="14"/>
        <v>2051849</v>
      </c>
      <c r="T151" s="45"/>
      <c r="U151" s="44">
        <f t="shared" si="15"/>
        <v>0</v>
      </c>
      <c r="V151" s="44">
        <f t="shared" si="16"/>
        <v>0</v>
      </c>
    </row>
    <row r="152" spans="1:22" s="44" customFormat="1" ht="12.75" customHeight="1">
      <c r="A152" s="44" t="s">
        <v>180</v>
      </c>
      <c r="B152" s="51"/>
      <c r="C152" s="44" t="s">
        <v>20</v>
      </c>
      <c r="D152" s="35"/>
      <c r="E152" s="45">
        <f>174213+19451</f>
        <v>193664</v>
      </c>
      <c r="F152" s="45"/>
      <c r="G152" s="45">
        <v>2298090</v>
      </c>
      <c r="H152" s="45"/>
      <c r="I152" s="45">
        <v>380291</v>
      </c>
      <c r="J152" s="45"/>
      <c r="K152" s="45">
        <v>477180</v>
      </c>
      <c r="L152" s="45"/>
      <c r="M152" s="45">
        <v>19451</v>
      </c>
      <c r="N152" s="45"/>
      <c r="O152" s="45">
        <v>0</v>
      </c>
      <c r="P152" s="45"/>
      <c r="Q152" s="45">
        <v>1801459</v>
      </c>
      <c r="R152" s="45"/>
      <c r="S152" s="45">
        <f t="shared" si="14"/>
        <v>1820910</v>
      </c>
      <c r="T152" s="45"/>
      <c r="U152" s="44">
        <f t="shared" si="15"/>
        <v>0</v>
      </c>
      <c r="V152" s="44">
        <f t="shared" si="16"/>
        <v>0</v>
      </c>
    </row>
    <row r="153" spans="1:22" s="44" customFormat="1" ht="12.75" customHeight="1">
      <c r="A153" s="44" t="s">
        <v>182</v>
      </c>
      <c r="B153" s="51"/>
      <c r="C153" s="44" t="s">
        <v>183</v>
      </c>
      <c r="D153" s="35"/>
      <c r="E153" s="45">
        <v>197101</v>
      </c>
      <c r="F153" s="45"/>
      <c r="G153" s="45">
        <v>1121661</v>
      </c>
      <c r="H153" s="45"/>
      <c r="I153" s="45">
        <v>566653</v>
      </c>
      <c r="J153" s="45"/>
      <c r="K153" s="45">
        <v>752185</v>
      </c>
      <c r="L153" s="45"/>
      <c r="M153" s="45">
        <f>2460+38213</f>
        <v>40673</v>
      </c>
      <c r="N153" s="45"/>
      <c r="O153" s="45">
        <v>0</v>
      </c>
      <c r="P153" s="45"/>
      <c r="Q153" s="45">
        <v>328803</v>
      </c>
      <c r="R153" s="45"/>
      <c r="S153" s="45">
        <f t="shared" si="14"/>
        <v>369476</v>
      </c>
      <c r="T153" s="45"/>
      <c r="U153" s="44">
        <f t="shared" si="15"/>
        <v>0</v>
      </c>
      <c r="V153" s="44">
        <f t="shared" si="16"/>
        <v>0</v>
      </c>
    </row>
    <row r="154" spans="1:22" s="44" customFormat="1" ht="12.75" customHeight="1">
      <c r="A154" s="44" t="s">
        <v>487</v>
      </c>
      <c r="B154" s="51"/>
      <c r="C154" s="44" t="s">
        <v>13</v>
      </c>
      <c r="D154" s="35"/>
      <c r="E154" s="45">
        <v>1144104</v>
      </c>
      <c r="F154" s="45"/>
      <c r="G154" s="45">
        <v>2111818</v>
      </c>
      <c r="H154" s="45"/>
      <c r="I154" s="45">
        <v>496266</v>
      </c>
      <c r="J154" s="45"/>
      <c r="K154" s="45">
        <v>520882</v>
      </c>
      <c r="L154" s="45"/>
      <c r="M154" s="45">
        <v>16229</v>
      </c>
      <c r="N154" s="45"/>
      <c r="O154" s="45">
        <v>0</v>
      </c>
      <c r="P154" s="45"/>
      <c r="Q154" s="45">
        <v>1574707</v>
      </c>
      <c r="R154" s="45"/>
      <c r="S154" s="45">
        <f>+Q154+O154+M154</f>
        <v>1590936</v>
      </c>
      <c r="T154" s="45"/>
      <c r="U154" s="44">
        <f>+G154-K154-S154</f>
        <v>0</v>
      </c>
      <c r="V154" s="44">
        <f>+G154-K154-S154</f>
        <v>0</v>
      </c>
    </row>
    <row r="155" spans="1:22" s="44" customFormat="1" ht="12.75" customHeight="1">
      <c r="A155" s="44" t="s">
        <v>184</v>
      </c>
      <c r="B155" s="51"/>
      <c r="C155" s="44" t="s">
        <v>89</v>
      </c>
      <c r="D155" s="35"/>
      <c r="E155" s="45">
        <v>1197577</v>
      </c>
      <c r="F155" s="45"/>
      <c r="G155" s="45">
        <v>3221109</v>
      </c>
      <c r="H155" s="45"/>
      <c r="I155" s="45">
        <v>1291975</v>
      </c>
      <c r="J155" s="45"/>
      <c r="K155" s="45">
        <v>1495426</v>
      </c>
      <c r="L155" s="45"/>
      <c r="M155" s="45">
        <f>49034+27343</f>
        <v>76377</v>
      </c>
      <c r="N155" s="45"/>
      <c r="O155" s="45">
        <v>0</v>
      </c>
      <c r="P155" s="45"/>
      <c r="Q155" s="45">
        <v>1649306</v>
      </c>
      <c r="R155" s="45"/>
      <c r="S155" s="45">
        <f t="shared" si="14"/>
        <v>1725683</v>
      </c>
      <c r="T155" s="45"/>
      <c r="U155" s="44">
        <f t="shared" si="15"/>
        <v>0</v>
      </c>
      <c r="V155" s="44">
        <f t="shared" si="16"/>
        <v>0</v>
      </c>
    </row>
    <row r="156" spans="1:22" s="44" customFormat="1" ht="12.75" customHeight="1">
      <c r="A156" s="44" t="s">
        <v>181</v>
      </c>
      <c r="B156" s="51"/>
      <c r="C156" s="44" t="s">
        <v>125</v>
      </c>
      <c r="D156" s="35"/>
      <c r="E156" s="45">
        <v>2446248</v>
      </c>
      <c r="F156" s="45"/>
      <c r="G156" s="45">
        <v>7060709</v>
      </c>
      <c r="H156" s="45"/>
      <c r="I156" s="45">
        <v>3328736</v>
      </c>
      <c r="J156" s="45"/>
      <c r="K156" s="45">
        <v>4715654</v>
      </c>
      <c r="L156" s="45"/>
      <c r="M156" s="45">
        <f>449326+41974+79473</f>
        <v>570773</v>
      </c>
      <c r="N156" s="45"/>
      <c r="O156" s="45">
        <v>0</v>
      </c>
      <c r="P156" s="45"/>
      <c r="Q156" s="45">
        <v>1774282</v>
      </c>
      <c r="R156" s="45"/>
      <c r="S156" s="45">
        <f t="shared" si="14"/>
        <v>2345055</v>
      </c>
      <c r="T156" s="45"/>
      <c r="U156" s="44">
        <f t="shared" si="15"/>
        <v>0</v>
      </c>
      <c r="V156" s="44">
        <f t="shared" si="16"/>
        <v>0</v>
      </c>
    </row>
    <row r="157" spans="1:22" s="44" customFormat="1" ht="12.75" customHeight="1">
      <c r="A157" s="44" t="s">
        <v>185</v>
      </c>
      <c r="C157" s="44" t="s">
        <v>80</v>
      </c>
      <c r="D157" s="35"/>
      <c r="E157" s="45">
        <v>7570076</v>
      </c>
      <c r="F157" s="45"/>
      <c r="G157" s="45">
        <v>14184644</v>
      </c>
      <c r="H157" s="45"/>
      <c r="I157" s="45">
        <v>1832055</v>
      </c>
      <c r="J157" s="45"/>
      <c r="K157" s="45">
        <v>2660867</v>
      </c>
      <c r="L157" s="45"/>
      <c r="M157" s="45">
        <f>54725+8270+959775</f>
        <v>1022770</v>
      </c>
      <c r="N157" s="45"/>
      <c r="O157" s="45">
        <v>0</v>
      </c>
      <c r="P157" s="45"/>
      <c r="Q157" s="45">
        <v>10501007</v>
      </c>
      <c r="R157" s="45"/>
      <c r="S157" s="45">
        <f t="shared" si="14"/>
        <v>11523777</v>
      </c>
      <c r="T157" s="45"/>
      <c r="U157" s="44">
        <f t="shared" si="15"/>
        <v>0</v>
      </c>
      <c r="V157" s="44">
        <f>+G157-K157-S157</f>
        <v>0</v>
      </c>
    </row>
    <row r="158" spans="1:22" s="44" customFormat="1" ht="12.75" customHeight="1">
      <c r="A158" s="44" t="s">
        <v>186</v>
      </c>
      <c r="B158" s="51"/>
      <c r="C158" s="44" t="s">
        <v>15</v>
      </c>
      <c r="D158" s="35"/>
      <c r="E158" s="45">
        <f>229181+757000</f>
        <v>986181</v>
      </c>
      <c r="F158" s="45"/>
      <c r="G158" s="45">
        <v>3565381</v>
      </c>
      <c r="H158" s="45"/>
      <c r="I158" s="45">
        <v>892197</v>
      </c>
      <c r="J158" s="45"/>
      <c r="K158" s="45">
        <v>2113932</v>
      </c>
      <c r="L158" s="45"/>
      <c r="M158" s="45">
        <f>89594+4659+12238</f>
        <v>106491</v>
      </c>
      <c r="N158" s="45"/>
      <c r="O158" s="45">
        <v>757000</v>
      </c>
      <c r="P158" s="45"/>
      <c r="Q158" s="45">
        <v>587958</v>
      </c>
      <c r="R158" s="45"/>
      <c r="S158" s="45">
        <f t="shared" si="14"/>
        <v>1451449</v>
      </c>
      <c r="T158" s="45"/>
      <c r="U158" s="44">
        <f t="shared" si="15"/>
        <v>0</v>
      </c>
      <c r="V158" s="44">
        <f t="shared" si="16"/>
        <v>0</v>
      </c>
    </row>
    <row r="159" spans="1:22" s="44" customFormat="1" ht="12.75" customHeight="1">
      <c r="A159" s="44" t="s">
        <v>187</v>
      </c>
      <c r="C159" s="44" t="s">
        <v>27</v>
      </c>
      <c r="D159" s="35"/>
      <c r="E159" s="45">
        <v>2570537</v>
      </c>
      <c r="F159" s="45"/>
      <c r="G159" s="45">
        <v>12220693</v>
      </c>
      <c r="H159" s="45"/>
      <c r="I159" s="45">
        <v>6769540</v>
      </c>
      <c r="J159" s="45"/>
      <c r="K159" s="45">
        <v>7729032</v>
      </c>
      <c r="L159" s="45"/>
      <c r="M159" s="45">
        <f>361172+509781</f>
        <v>870953</v>
      </c>
      <c r="N159" s="45"/>
      <c r="O159" s="45">
        <v>0</v>
      </c>
      <c r="P159" s="45"/>
      <c r="Q159" s="45">
        <v>3620708</v>
      </c>
      <c r="R159" s="45"/>
      <c r="S159" s="45">
        <f t="shared" si="14"/>
        <v>4491661</v>
      </c>
      <c r="T159" s="45"/>
      <c r="U159" s="44">
        <f t="shared" si="15"/>
        <v>0</v>
      </c>
      <c r="V159" s="44">
        <f t="shared" si="16"/>
        <v>0</v>
      </c>
    </row>
    <row r="160" spans="1:22" s="44" customFormat="1" ht="12.75" customHeight="1">
      <c r="A160" s="44" t="s">
        <v>189</v>
      </c>
      <c r="B160" s="51"/>
      <c r="C160" s="44" t="s">
        <v>17</v>
      </c>
      <c r="D160" s="35"/>
      <c r="E160" s="45">
        <v>1739143</v>
      </c>
      <c r="F160" s="45"/>
      <c r="G160" s="45">
        <v>4175058</v>
      </c>
      <c r="H160" s="45"/>
      <c r="I160" s="45">
        <v>1931704</v>
      </c>
      <c r="J160" s="45"/>
      <c r="K160" s="45">
        <v>2665139</v>
      </c>
      <c r="L160" s="45"/>
      <c r="M160" s="45">
        <f>68222+46200</f>
        <v>114422</v>
      </c>
      <c r="N160" s="45"/>
      <c r="O160" s="45">
        <v>0</v>
      </c>
      <c r="P160" s="45"/>
      <c r="Q160" s="45">
        <v>1395497</v>
      </c>
      <c r="R160" s="45"/>
      <c r="S160" s="45">
        <f t="shared" si="14"/>
        <v>1509919</v>
      </c>
      <c r="T160" s="45"/>
      <c r="U160" s="44">
        <f t="shared" si="15"/>
        <v>0</v>
      </c>
      <c r="V160" s="44">
        <f t="shared" si="16"/>
        <v>0</v>
      </c>
    </row>
    <row r="161" spans="1:22" s="44" customFormat="1" ht="12.75" customHeight="1">
      <c r="A161" s="44" t="s">
        <v>188</v>
      </c>
      <c r="B161" s="51"/>
      <c r="C161" s="44" t="s">
        <v>27</v>
      </c>
      <c r="D161" s="35"/>
      <c r="E161" s="45">
        <v>413686</v>
      </c>
      <c r="F161" s="45"/>
      <c r="G161" s="45">
        <v>4757645</v>
      </c>
      <c r="H161" s="45"/>
      <c r="I161" s="45">
        <v>2397158</v>
      </c>
      <c r="J161" s="45"/>
      <c r="K161" s="45">
        <v>3139100</v>
      </c>
      <c r="L161" s="45"/>
      <c r="M161" s="45">
        <f>26203+73119+87691</f>
        <v>187013</v>
      </c>
      <c r="N161" s="45"/>
      <c r="O161" s="45">
        <v>0</v>
      </c>
      <c r="P161" s="45"/>
      <c r="Q161" s="45">
        <v>1431532</v>
      </c>
      <c r="R161" s="45"/>
      <c r="S161" s="45">
        <f t="shared" si="14"/>
        <v>1618545</v>
      </c>
      <c r="T161" s="45"/>
      <c r="U161" s="44">
        <f t="shared" si="15"/>
        <v>0</v>
      </c>
      <c r="V161" s="44">
        <f t="shared" si="16"/>
        <v>0</v>
      </c>
    </row>
    <row r="162" spans="1:22" s="44" customFormat="1" ht="12.75" customHeight="1">
      <c r="A162" s="44" t="s">
        <v>190</v>
      </c>
      <c r="B162" s="51"/>
      <c r="C162" s="44" t="s">
        <v>47</v>
      </c>
      <c r="D162" s="35"/>
      <c r="E162" s="45">
        <v>424246</v>
      </c>
      <c r="F162" s="45"/>
      <c r="G162" s="45">
        <v>1824248</v>
      </c>
      <c r="H162" s="45"/>
      <c r="I162" s="45">
        <v>844619</v>
      </c>
      <c r="J162" s="45"/>
      <c r="K162" s="45">
        <v>1126867</v>
      </c>
      <c r="L162" s="45"/>
      <c r="M162" s="45">
        <f>48587+6211</f>
        <v>54798</v>
      </c>
      <c r="N162" s="45"/>
      <c r="O162" s="45">
        <v>0</v>
      </c>
      <c r="P162" s="45"/>
      <c r="Q162" s="45">
        <v>642583</v>
      </c>
      <c r="R162" s="45"/>
      <c r="S162" s="45">
        <f t="shared" si="14"/>
        <v>697381</v>
      </c>
      <c r="T162" s="45"/>
      <c r="U162" s="44">
        <f t="shared" si="15"/>
        <v>0</v>
      </c>
      <c r="V162" s="44">
        <f t="shared" si="16"/>
        <v>0</v>
      </c>
    </row>
    <row r="163" spans="1:22" s="44" customFormat="1" ht="12.75" customHeight="1">
      <c r="A163" s="44" t="s">
        <v>191</v>
      </c>
      <c r="C163" s="44" t="s">
        <v>13</v>
      </c>
      <c r="D163" s="35"/>
      <c r="E163" s="45">
        <f>708383+20913</f>
        <v>729296</v>
      </c>
      <c r="F163" s="45"/>
      <c r="G163" s="45">
        <v>2924864</v>
      </c>
      <c r="H163" s="45"/>
      <c r="I163" s="45">
        <v>1044860</v>
      </c>
      <c r="J163" s="45"/>
      <c r="K163" s="45">
        <v>1949233</v>
      </c>
      <c r="L163" s="45"/>
      <c r="M163" s="45">
        <f>24914+5320+253030</f>
        <v>283264</v>
      </c>
      <c r="N163" s="45"/>
      <c r="O163" s="45">
        <v>0</v>
      </c>
      <c r="P163" s="45"/>
      <c r="Q163" s="45">
        <v>692367</v>
      </c>
      <c r="R163" s="45"/>
      <c r="S163" s="45">
        <f t="shared" si="14"/>
        <v>975631</v>
      </c>
      <c r="T163" s="45"/>
      <c r="U163" s="44">
        <f t="shared" si="15"/>
        <v>0</v>
      </c>
      <c r="V163" s="44">
        <f t="shared" si="16"/>
        <v>0</v>
      </c>
    </row>
    <row r="164" spans="1:22" s="44" customFormat="1" ht="12.75" customHeight="1">
      <c r="B164" s="51"/>
      <c r="D164" s="3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8" t="s">
        <v>484</v>
      </c>
      <c r="T164" s="45"/>
    </row>
    <row r="165" spans="1:22" s="44" customFormat="1" ht="12.75" customHeight="1">
      <c r="A165" s="44" t="s">
        <v>192</v>
      </c>
      <c r="B165" s="51"/>
      <c r="C165" s="44" t="s">
        <v>38</v>
      </c>
      <c r="D165" s="35"/>
      <c r="E165" s="94">
        <v>1532301</v>
      </c>
      <c r="F165" s="94"/>
      <c r="G165" s="94">
        <v>3820902</v>
      </c>
      <c r="H165" s="94"/>
      <c r="I165" s="94">
        <v>277995</v>
      </c>
      <c r="J165" s="94"/>
      <c r="K165" s="94">
        <v>1244827</v>
      </c>
      <c r="L165" s="94"/>
      <c r="M165" s="94">
        <v>27582</v>
      </c>
      <c r="N165" s="94"/>
      <c r="O165" s="94">
        <v>0</v>
      </c>
      <c r="P165" s="94"/>
      <c r="Q165" s="94">
        <v>2548493</v>
      </c>
      <c r="R165" s="94"/>
      <c r="S165" s="94">
        <f t="shared" si="14"/>
        <v>2576075</v>
      </c>
      <c r="T165" s="45"/>
      <c r="U165" s="44">
        <f t="shared" si="15"/>
        <v>0</v>
      </c>
      <c r="V165" s="44">
        <f t="shared" si="16"/>
        <v>0</v>
      </c>
    </row>
    <row r="166" spans="1:22" s="46" customFormat="1" ht="12.75" customHeight="1">
      <c r="A166" s="46" t="s">
        <v>193</v>
      </c>
      <c r="C166" s="46" t="s">
        <v>45</v>
      </c>
      <c r="D166" s="64"/>
      <c r="E166" s="45">
        <v>831395</v>
      </c>
      <c r="F166" s="45"/>
      <c r="G166" s="45">
        <v>6199272</v>
      </c>
      <c r="H166" s="45"/>
      <c r="I166" s="45">
        <v>3947661</v>
      </c>
      <c r="J166" s="45"/>
      <c r="K166" s="45">
        <v>5178822</v>
      </c>
      <c r="L166" s="45"/>
      <c r="M166" s="45">
        <v>199648</v>
      </c>
      <c r="N166" s="45"/>
      <c r="O166" s="45">
        <v>0</v>
      </c>
      <c r="P166" s="45"/>
      <c r="Q166" s="45">
        <v>820802</v>
      </c>
      <c r="R166" s="45"/>
      <c r="S166" s="45">
        <f t="shared" si="14"/>
        <v>1020450</v>
      </c>
      <c r="T166" s="45"/>
      <c r="U166" s="44">
        <f t="shared" si="15"/>
        <v>0</v>
      </c>
      <c r="V166" s="44">
        <f t="shared" si="16"/>
        <v>0</v>
      </c>
    </row>
    <row r="167" spans="1:22" s="44" customFormat="1" ht="12.75" customHeight="1">
      <c r="A167" s="44" t="s">
        <v>194</v>
      </c>
      <c r="B167" s="51"/>
      <c r="C167" s="44" t="s">
        <v>66</v>
      </c>
      <c r="D167" s="35"/>
      <c r="E167" s="45">
        <f>7671922+9324</f>
        <v>7681246</v>
      </c>
      <c r="F167" s="45"/>
      <c r="G167" s="45">
        <v>11463153</v>
      </c>
      <c r="H167" s="45"/>
      <c r="I167" s="45">
        <v>3154173</v>
      </c>
      <c r="J167" s="45"/>
      <c r="K167" s="45">
        <v>6302644</v>
      </c>
      <c r="L167" s="45"/>
      <c r="M167" s="45">
        <f>29588+21972+23122</f>
        <v>74682</v>
      </c>
      <c r="N167" s="45"/>
      <c r="O167" s="45">
        <v>0</v>
      </c>
      <c r="P167" s="45"/>
      <c r="Q167" s="45">
        <v>5085827</v>
      </c>
      <c r="R167" s="45"/>
      <c r="S167" s="45">
        <f t="shared" si="14"/>
        <v>5160509</v>
      </c>
      <c r="T167" s="45"/>
      <c r="U167" s="44">
        <f t="shared" si="15"/>
        <v>0</v>
      </c>
      <c r="V167" s="44">
        <f>+G167-K167-S167</f>
        <v>0</v>
      </c>
    </row>
    <row r="168" spans="1:22" s="44" customFormat="1" ht="12.75" customHeight="1">
      <c r="A168" s="44" t="s">
        <v>195</v>
      </c>
      <c r="B168" s="51"/>
      <c r="C168" s="44" t="s">
        <v>17</v>
      </c>
      <c r="D168" s="35"/>
      <c r="E168" s="45">
        <f>113093+8597587</f>
        <v>8710680</v>
      </c>
      <c r="F168" s="45"/>
      <c r="G168" s="45">
        <v>10975352</v>
      </c>
      <c r="H168" s="45"/>
      <c r="I168" s="45">
        <v>913968</v>
      </c>
      <c r="J168" s="45"/>
      <c r="K168" s="45">
        <v>1175542</v>
      </c>
      <c r="L168" s="45"/>
      <c r="M168" s="45">
        <f>180063+10873+2580</f>
        <v>193516</v>
      </c>
      <c r="N168" s="45"/>
      <c r="O168" s="45">
        <v>0</v>
      </c>
      <c r="P168" s="45"/>
      <c r="Q168" s="45">
        <v>9606294</v>
      </c>
      <c r="R168" s="45"/>
      <c r="S168" s="45">
        <f t="shared" si="14"/>
        <v>9799810</v>
      </c>
      <c r="T168" s="45"/>
      <c r="U168" s="44">
        <f t="shared" si="15"/>
        <v>0</v>
      </c>
      <c r="V168" s="44">
        <f t="shared" si="16"/>
        <v>0</v>
      </c>
    </row>
    <row r="169" spans="1:22" s="44" customFormat="1" ht="12.75" customHeight="1">
      <c r="A169" s="44" t="s">
        <v>196</v>
      </c>
      <c r="B169" s="51"/>
      <c r="C169" s="44" t="s">
        <v>27</v>
      </c>
      <c r="D169" s="35"/>
      <c r="E169" s="45">
        <v>599628</v>
      </c>
      <c r="F169" s="45"/>
      <c r="G169" s="45">
        <v>3122710</v>
      </c>
      <c r="H169" s="45"/>
      <c r="I169" s="45">
        <v>1653033</v>
      </c>
      <c r="J169" s="45"/>
      <c r="K169" s="45">
        <v>1793599</v>
      </c>
      <c r="L169" s="45"/>
      <c r="M169" s="45">
        <f>74772+66857+981</f>
        <v>142610</v>
      </c>
      <c r="N169" s="45"/>
      <c r="O169" s="45">
        <v>0</v>
      </c>
      <c r="P169" s="45"/>
      <c r="Q169" s="45">
        <v>1186501</v>
      </c>
      <c r="R169" s="45"/>
      <c r="S169" s="45">
        <f t="shared" si="14"/>
        <v>1329111</v>
      </c>
      <c r="T169" s="45"/>
      <c r="U169" s="44">
        <f t="shared" si="15"/>
        <v>0</v>
      </c>
      <c r="V169" s="44">
        <f t="shared" si="16"/>
        <v>0</v>
      </c>
    </row>
    <row r="170" spans="1:22" s="121" customFormat="1" ht="12.75" customHeight="1">
      <c r="A170" s="44" t="s">
        <v>386</v>
      </c>
      <c r="B170" s="51"/>
      <c r="C170" s="44" t="s">
        <v>153</v>
      </c>
      <c r="D170" s="35"/>
      <c r="E170" s="45">
        <v>2503491</v>
      </c>
      <c r="F170" s="45"/>
      <c r="G170" s="45">
        <v>3977334</v>
      </c>
      <c r="H170" s="45"/>
      <c r="I170" s="45">
        <v>647676</v>
      </c>
      <c r="J170" s="45"/>
      <c r="K170" s="45">
        <v>1307224</v>
      </c>
      <c r="L170" s="45"/>
      <c r="M170" s="45">
        <f>20330+56196+31176</f>
        <v>107702</v>
      </c>
      <c r="N170" s="45"/>
      <c r="O170" s="45">
        <v>0</v>
      </c>
      <c r="P170" s="45"/>
      <c r="Q170" s="45">
        <v>2562408</v>
      </c>
      <c r="R170" s="45"/>
      <c r="S170" s="45">
        <f>+Q170+O170+M170</f>
        <v>2670110</v>
      </c>
      <c r="T170" s="45"/>
      <c r="U170" s="44">
        <f t="shared" si="15"/>
        <v>0</v>
      </c>
      <c r="V170" s="44">
        <f t="shared" si="16"/>
        <v>0</v>
      </c>
    </row>
    <row r="171" spans="1:22" s="44" customFormat="1" ht="12.75" customHeight="1">
      <c r="A171" s="46" t="s">
        <v>197</v>
      </c>
      <c r="B171" s="46"/>
      <c r="C171" s="46" t="s">
        <v>163</v>
      </c>
      <c r="D171" s="64"/>
      <c r="E171" s="45">
        <f>2994850+10702508</f>
        <v>13697358</v>
      </c>
      <c r="F171" s="45"/>
      <c r="G171" s="45">
        <v>18739001</v>
      </c>
      <c r="H171" s="45"/>
      <c r="I171" s="45">
        <v>2020630</v>
      </c>
      <c r="J171" s="45"/>
      <c r="K171" s="45">
        <v>2886760</v>
      </c>
      <c r="L171" s="45"/>
      <c r="M171" s="45">
        <f>424755+101199+415429</f>
        <v>941383</v>
      </c>
      <c r="N171" s="45"/>
      <c r="O171" s="45">
        <v>0</v>
      </c>
      <c r="P171" s="45"/>
      <c r="Q171" s="45">
        <v>14910858</v>
      </c>
      <c r="R171" s="45"/>
      <c r="S171" s="45">
        <f t="shared" si="14"/>
        <v>15852241</v>
      </c>
      <c r="T171" s="45"/>
      <c r="U171" s="44">
        <f t="shared" si="15"/>
        <v>0</v>
      </c>
      <c r="V171" s="44">
        <f t="shared" si="16"/>
        <v>0</v>
      </c>
    </row>
    <row r="172" spans="1:22" s="44" customFormat="1" ht="12.75" customHeight="1">
      <c r="A172" s="44" t="s">
        <v>198</v>
      </c>
      <c r="B172" s="51"/>
      <c r="C172" s="44" t="s">
        <v>199</v>
      </c>
      <c r="D172" s="35"/>
      <c r="E172" s="45">
        <v>3074276</v>
      </c>
      <c r="F172" s="45"/>
      <c r="G172" s="45">
        <v>5359031</v>
      </c>
      <c r="H172" s="45"/>
      <c r="I172" s="45">
        <v>1256831</v>
      </c>
      <c r="J172" s="45"/>
      <c r="K172" s="45">
        <v>1691442</v>
      </c>
      <c r="L172" s="45"/>
      <c r="M172" s="45">
        <v>24441</v>
      </c>
      <c r="N172" s="45"/>
      <c r="O172" s="45">
        <v>0</v>
      </c>
      <c r="P172" s="45"/>
      <c r="Q172" s="45">
        <v>3643148</v>
      </c>
      <c r="R172" s="45"/>
      <c r="S172" s="45">
        <f t="shared" si="14"/>
        <v>3667589</v>
      </c>
      <c r="T172" s="45"/>
      <c r="U172" s="44">
        <f t="shared" si="15"/>
        <v>0</v>
      </c>
      <c r="V172" s="44">
        <f t="shared" si="16"/>
        <v>0</v>
      </c>
    </row>
    <row r="173" spans="1:22" s="44" customFormat="1" ht="12.75" customHeight="1">
      <c r="A173" s="44" t="s">
        <v>200</v>
      </c>
      <c r="B173" s="51"/>
      <c r="C173" s="44" t="s">
        <v>103</v>
      </c>
      <c r="D173" s="35"/>
      <c r="E173" s="45">
        <v>6767763</v>
      </c>
      <c r="F173" s="45"/>
      <c r="G173" s="45">
        <v>9597704</v>
      </c>
      <c r="H173" s="45"/>
      <c r="I173" s="45">
        <v>2086563</v>
      </c>
      <c r="J173" s="45"/>
      <c r="K173" s="45">
        <v>2613920</v>
      </c>
      <c r="L173" s="45"/>
      <c r="M173" s="45">
        <v>44953</v>
      </c>
      <c r="N173" s="45"/>
      <c r="O173" s="45">
        <v>0</v>
      </c>
      <c r="P173" s="45"/>
      <c r="Q173" s="45">
        <v>6938831</v>
      </c>
      <c r="R173" s="45"/>
      <c r="S173" s="45">
        <f t="shared" si="14"/>
        <v>6983784</v>
      </c>
      <c r="T173" s="45"/>
      <c r="U173" s="44">
        <f t="shared" si="15"/>
        <v>0</v>
      </c>
      <c r="V173" s="44">
        <f t="shared" si="16"/>
        <v>0</v>
      </c>
    </row>
    <row r="174" spans="1:22" s="44" customFormat="1" ht="12.75" customHeight="1">
      <c r="A174" s="44" t="s">
        <v>201</v>
      </c>
      <c r="C174" s="44" t="s">
        <v>92</v>
      </c>
      <c r="D174" s="35"/>
      <c r="E174" s="45">
        <f>390784+4434219</f>
        <v>4825003</v>
      </c>
      <c r="F174" s="45"/>
      <c r="G174" s="45">
        <v>8631567</v>
      </c>
      <c r="H174" s="45"/>
      <c r="I174" s="45">
        <v>1121520</v>
      </c>
      <c r="J174" s="45"/>
      <c r="K174" s="45">
        <v>2045815</v>
      </c>
      <c r="L174" s="45"/>
      <c r="M174" s="45">
        <f>303638+54603+162157</f>
        <v>520398</v>
      </c>
      <c r="N174" s="45"/>
      <c r="O174" s="45">
        <v>0</v>
      </c>
      <c r="P174" s="45"/>
      <c r="Q174" s="45">
        <v>6065354</v>
      </c>
      <c r="R174" s="45"/>
      <c r="S174" s="45">
        <f t="shared" si="14"/>
        <v>6585752</v>
      </c>
      <c r="T174" s="45"/>
      <c r="U174" s="44">
        <f t="shared" si="15"/>
        <v>0</v>
      </c>
      <c r="V174" s="44">
        <f t="shared" si="16"/>
        <v>0</v>
      </c>
    </row>
    <row r="175" spans="1:22" s="44" customFormat="1" ht="12.75" customHeight="1">
      <c r="A175" s="44" t="s">
        <v>202</v>
      </c>
      <c r="B175" s="51"/>
      <c r="C175" s="44" t="s">
        <v>27</v>
      </c>
      <c r="D175" s="35"/>
      <c r="E175" s="45">
        <f>3079127+906</f>
        <v>3080033</v>
      </c>
      <c r="F175" s="45"/>
      <c r="G175" s="45">
        <v>15312725</v>
      </c>
      <c r="H175" s="45"/>
      <c r="I175" s="45">
        <v>7990895</v>
      </c>
      <c r="J175" s="45"/>
      <c r="K175" s="45">
        <v>10552594</v>
      </c>
      <c r="L175" s="45"/>
      <c r="M175" s="45">
        <f>209559+174635</f>
        <v>384194</v>
      </c>
      <c r="N175" s="45"/>
      <c r="O175" s="45">
        <v>0</v>
      </c>
      <c r="P175" s="45"/>
      <c r="Q175" s="45">
        <v>4375937</v>
      </c>
      <c r="R175" s="45"/>
      <c r="S175" s="45">
        <f t="shared" si="14"/>
        <v>4760131</v>
      </c>
      <c r="T175" s="45"/>
      <c r="U175" s="44">
        <f t="shared" si="15"/>
        <v>0</v>
      </c>
      <c r="V175" s="44">
        <f t="shared" si="16"/>
        <v>0</v>
      </c>
    </row>
    <row r="176" spans="1:22" s="44" customFormat="1" ht="12.75" customHeight="1">
      <c r="A176" s="46" t="s">
        <v>203</v>
      </c>
      <c r="B176" s="46"/>
      <c r="C176" s="46" t="s">
        <v>27</v>
      </c>
      <c r="D176" s="64"/>
      <c r="E176" s="45">
        <v>554067</v>
      </c>
      <c r="F176" s="45"/>
      <c r="G176" s="45">
        <v>8048978</v>
      </c>
      <c r="H176" s="45"/>
      <c r="I176" s="45">
        <v>6070887</v>
      </c>
      <c r="J176" s="45"/>
      <c r="K176" s="45">
        <v>6946748</v>
      </c>
      <c r="L176" s="45"/>
      <c r="M176" s="45">
        <f>33065+21637+21429</f>
        <v>76131</v>
      </c>
      <c r="N176" s="45"/>
      <c r="O176" s="45">
        <v>0</v>
      </c>
      <c r="P176" s="45"/>
      <c r="Q176" s="45">
        <v>1026099</v>
      </c>
      <c r="R176" s="45"/>
      <c r="S176" s="45">
        <f t="shared" si="14"/>
        <v>1102230</v>
      </c>
      <c r="T176" s="45"/>
      <c r="U176" s="44">
        <f t="shared" si="15"/>
        <v>0</v>
      </c>
      <c r="V176" s="44">
        <f t="shared" si="16"/>
        <v>0</v>
      </c>
    </row>
    <row r="177" spans="1:22" s="44" customFormat="1" ht="12.75" customHeight="1">
      <c r="A177" s="44" t="s">
        <v>204</v>
      </c>
      <c r="B177" s="51"/>
      <c r="C177" s="44" t="s">
        <v>125</v>
      </c>
      <c r="D177" s="35"/>
      <c r="E177" s="45">
        <v>1439124</v>
      </c>
      <c r="F177" s="45"/>
      <c r="G177" s="45">
        <v>2520346</v>
      </c>
      <c r="H177" s="45"/>
      <c r="I177" s="45">
        <v>145039</v>
      </c>
      <c r="J177" s="45"/>
      <c r="K177" s="45">
        <v>833819</v>
      </c>
      <c r="L177" s="45"/>
      <c r="M177" s="45">
        <v>7173</v>
      </c>
      <c r="N177" s="45"/>
      <c r="O177" s="45">
        <v>0</v>
      </c>
      <c r="P177" s="45"/>
      <c r="Q177" s="45">
        <v>1679354</v>
      </c>
      <c r="R177" s="45"/>
      <c r="S177" s="45">
        <f t="shared" si="14"/>
        <v>1686527</v>
      </c>
      <c r="T177" s="45"/>
      <c r="U177" s="44">
        <f t="shared" si="15"/>
        <v>0</v>
      </c>
      <c r="V177" s="44">
        <f t="shared" si="16"/>
        <v>0</v>
      </c>
    </row>
    <row r="178" spans="1:22" s="123" customFormat="1" ht="12.75" hidden="1" customHeight="1">
      <c r="A178" s="123" t="s">
        <v>205</v>
      </c>
      <c r="C178" s="123" t="s">
        <v>27</v>
      </c>
      <c r="D178" s="152"/>
      <c r="E178" s="127">
        <v>0</v>
      </c>
      <c r="F178" s="127"/>
      <c r="G178" s="127">
        <v>0</v>
      </c>
      <c r="H178" s="127"/>
      <c r="I178" s="127">
        <v>0</v>
      </c>
      <c r="J178" s="127"/>
      <c r="K178" s="127">
        <v>0</v>
      </c>
      <c r="L178" s="127"/>
      <c r="M178" s="127">
        <v>0</v>
      </c>
      <c r="N178" s="127"/>
      <c r="O178" s="127">
        <v>0</v>
      </c>
      <c r="P178" s="127"/>
      <c r="Q178" s="127">
        <v>0</v>
      </c>
      <c r="R178" s="127"/>
      <c r="S178" s="127">
        <f t="shared" si="14"/>
        <v>0</v>
      </c>
      <c r="T178" s="127"/>
      <c r="U178" s="121">
        <f t="shared" si="15"/>
        <v>0</v>
      </c>
      <c r="V178" s="121">
        <f t="shared" si="16"/>
        <v>0</v>
      </c>
    </row>
    <row r="179" spans="1:22" s="44" customFormat="1" ht="12.75" customHeight="1">
      <c r="A179" s="44" t="s">
        <v>206</v>
      </c>
      <c r="C179" s="44" t="s">
        <v>47</v>
      </c>
      <c r="D179" s="35"/>
      <c r="E179" s="45">
        <f>986891+3258402</f>
        <v>4245293</v>
      </c>
      <c r="F179" s="45"/>
      <c r="G179" s="45">
        <v>8501482</v>
      </c>
      <c r="H179" s="45"/>
      <c r="I179" s="45">
        <v>1859062</v>
      </c>
      <c r="J179" s="45"/>
      <c r="K179" s="45">
        <v>2474211</v>
      </c>
      <c r="L179" s="45"/>
      <c r="M179" s="45">
        <f>157031+119079</f>
        <v>276110</v>
      </c>
      <c r="N179" s="45"/>
      <c r="O179" s="45">
        <v>0</v>
      </c>
      <c r="P179" s="45"/>
      <c r="Q179" s="45">
        <v>5751161</v>
      </c>
      <c r="R179" s="45"/>
      <c r="S179" s="45">
        <f t="shared" si="14"/>
        <v>6027271</v>
      </c>
      <c r="T179" s="45"/>
      <c r="U179" s="44">
        <f t="shared" si="15"/>
        <v>0</v>
      </c>
      <c r="V179" s="44">
        <f t="shared" si="16"/>
        <v>0</v>
      </c>
    </row>
    <row r="180" spans="1:22" s="44" customFormat="1" ht="12.75" customHeight="1">
      <c r="A180" s="44" t="s">
        <v>207</v>
      </c>
      <c r="B180" s="51"/>
      <c r="C180" s="44" t="s">
        <v>102</v>
      </c>
      <c r="D180" s="35"/>
      <c r="E180" s="45">
        <v>3145938</v>
      </c>
      <c r="F180" s="45"/>
      <c r="G180" s="45">
        <v>5066640</v>
      </c>
      <c r="H180" s="45"/>
      <c r="I180" s="45">
        <v>1272061</v>
      </c>
      <c r="J180" s="45"/>
      <c r="K180" s="45">
        <v>1440648</v>
      </c>
      <c r="L180" s="45"/>
      <c r="M180" s="45">
        <f>42320+5551</f>
        <v>47871</v>
      </c>
      <c r="N180" s="45"/>
      <c r="O180" s="45">
        <v>0</v>
      </c>
      <c r="P180" s="45"/>
      <c r="Q180" s="45">
        <v>3578121</v>
      </c>
      <c r="R180" s="45"/>
      <c r="S180" s="45">
        <f t="shared" si="14"/>
        <v>3625992</v>
      </c>
      <c r="T180" s="45"/>
      <c r="U180" s="44">
        <f t="shared" si="15"/>
        <v>0</v>
      </c>
      <c r="V180" s="44">
        <f t="shared" si="16"/>
        <v>0</v>
      </c>
    </row>
    <row r="181" spans="1:22" s="44" customFormat="1" ht="12.75" customHeight="1">
      <c r="A181" s="44" t="s">
        <v>208</v>
      </c>
      <c r="B181" s="51"/>
      <c r="C181" s="44" t="s">
        <v>209</v>
      </c>
      <c r="D181" s="35"/>
      <c r="E181" s="45">
        <f>5164227+2121630</f>
        <v>7285857</v>
      </c>
      <c r="F181" s="45"/>
      <c r="G181" s="45">
        <v>23250900</v>
      </c>
      <c r="H181" s="45"/>
      <c r="I181" s="45">
        <v>2097121</v>
      </c>
      <c r="J181" s="45"/>
      <c r="K181" s="45">
        <v>2731041</v>
      </c>
      <c r="L181" s="45"/>
      <c r="M181" s="45">
        <f>12515872+18638</f>
        <v>12534510</v>
      </c>
      <c r="N181" s="45"/>
      <c r="O181" s="45">
        <v>2638668</v>
      </c>
      <c r="P181" s="45"/>
      <c r="Q181" s="45">
        <v>5346681</v>
      </c>
      <c r="R181" s="45"/>
      <c r="S181" s="45">
        <f t="shared" si="14"/>
        <v>20519859</v>
      </c>
      <c r="T181" s="45"/>
      <c r="U181" s="44">
        <f t="shared" si="15"/>
        <v>0</v>
      </c>
      <c r="V181" s="44">
        <f>+G181-K181-S181</f>
        <v>0</v>
      </c>
    </row>
    <row r="182" spans="1:22" s="46" customFormat="1" ht="12.75" customHeight="1">
      <c r="A182" s="44" t="s">
        <v>210</v>
      </c>
      <c r="B182" s="44"/>
      <c r="C182" s="44" t="s">
        <v>211</v>
      </c>
      <c r="D182" s="35"/>
      <c r="E182" s="45">
        <v>693741</v>
      </c>
      <c r="F182" s="45"/>
      <c r="G182" s="45">
        <v>2365796</v>
      </c>
      <c r="H182" s="45"/>
      <c r="I182" s="45">
        <v>1239019</v>
      </c>
      <c r="J182" s="45"/>
      <c r="K182" s="45">
        <v>1440358</v>
      </c>
      <c r="L182" s="45"/>
      <c r="M182" s="45">
        <f>26874+18603</f>
        <v>45477</v>
      </c>
      <c r="N182" s="45"/>
      <c r="O182" s="45">
        <v>62209</v>
      </c>
      <c r="P182" s="45"/>
      <c r="Q182" s="45">
        <v>817752</v>
      </c>
      <c r="R182" s="45"/>
      <c r="S182" s="45">
        <f t="shared" si="14"/>
        <v>925438</v>
      </c>
      <c r="T182" s="45"/>
      <c r="U182" s="44">
        <f t="shared" si="15"/>
        <v>0</v>
      </c>
      <c r="V182" s="44">
        <f t="shared" si="16"/>
        <v>0</v>
      </c>
    </row>
    <row r="183" spans="1:22" s="44" customFormat="1" ht="12.75" customHeight="1">
      <c r="A183" s="44" t="s">
        <v>212</v>
      </c>
      <c r="B183" s="51"/>
      <c r="C183" s="44" t="s">
        <v>213</v>
      </c>
      <c r="D183" s="35"/>
      <c r="E183" s="45">
        <v>0</v>
      </c>
      <c r="F183" s="45"/>
      <c r="G183" s="45">
        <v>3327651</v>
      </c>
      <c r="H183" s="45"/>
      <c r="I183" s="45">
        <v>2533075</v>
      </c>
      <c r="J183" s="45"/>
      <c r="K183" s="45">
        <v>3806761</v>
      </c>
      <c r="L183" s="45"/>
      <c r="M183" s="45">
        <f>6132+13366</f>
        <v>19498</v>
      </c>
      <c r="N183" s="45"/>
      <c r="O183" s="45">
        <v>0</v>
      </c>
      <c r="P183" s="45"/>
      <c r="Q183" s="45">
        <v>-498608</v>
      </c>
      <c r="R183" s="45"/>
      <c r="S183" s="45">
        <f t="shared" si="14"/>
        <v>-479110</v>
      </c>
      <c r="T183" s="45"/>
      <c r="U183" s="44">
        <f t="shared" si="15"/>
        <v>0</v>
      </c>
      <c r="V183" s="44">
        <f t="shared" si="16"/>
        <v>0</v>
      </c>
    </row>
    <row r="184" spans="1:22" s="44" customFormat="1" ht="12.75" customHeight="1">
      <c r="A184" s="44" t="s">
        <v>214</v>
      </c>
      <c r="C184" s="44" t="s">
        <v>86</v>
      </c>
      <c r="D184" s="35"/>
      <c r="E184" s="45">
        <v>6158157</v>
      </c>
      <c r="F184" s="45"/>
      <c r="G184" s="45">
        <v>8252416</v>
      </c>
      <c r="H184" s="45"/>
      <c r="I184" s="45">
        <v>1644472</v>
      </c>
      <c r="J184" s="45"/>
      <c r="K184" s="45">
        <v>1921719</v>
      </c>
      <c r="L184" s="45"/>
      <c r="M184" s="45">
        <f>270095+23639</f>
        <v>293734</v>
      </c>
      <c r="N184" s="45"/>
      <c r="O184" s="45">
        <v>0</v>
      </c>
      <c r="P184" s="45"/>
      <c r="Q184" s="45">
        <v>6036963</v>
      </c>
      <c r="R184" s="45"/>
      <c r="S184" s="45">
        <f t="shared" si="14"/>
        <v>6330697</v>
      </c>
      <c r="T184" s="45"/>
      <c r="U184" s="44">
        <f t="shared" si="15"/>
        <v>0</v>
      </c>
      <c r="V184" s="44">
        <f t="shared" si="16"/>
        <v>0</v>
      </c>
    </row>
    <row r="185" spans="1:22" s="46" customFormat="1" ht="12.75" customHeight="1">
      <c r="A185" s="44" t="s">
        <v>215</v>
      </c>
      <c r="B185" s="44"/>
      <c r="C185" s="44" t="s">
        <v>22</v>
      </c>
      <c r="D185" s="35"/>
      <c r="E185" s="45">
        <f>2043081+4212</f>
        <v>2047293</v>
      </c>
      <c r="F185" s="45"/>
      <c r="G185" s="45">
        <v>4294179</v>
      </c>
      <c r="H185" s="45"/>
      <c r="I185" s="45">
        <v>1337217</v>
      </c>
      <c r="J185" s="45"/>
      <c r="K185" s="45">
        <v>1585021</v>
      </c>
      <c r="L185" s="45"/>
      <c r="M185" s="45">
        <f>47515+4212</f>
        <v>51727</v>
      </c>
      <c r="N185" s="45"/>
      <c r="O185" s="45">
        <v>0</v>
      </c>
      <c r="P185" s="45"/>
      <c r="Q185" s="45">
        <v>2657431</v>
      </c>
      <c r="R185" s="45"/>
      <c r="S185" s="45">
        <f t="shared" si="14"/>
        <v>2709158</v>
      </c>
      <c r="T185" s="45"/>
      <c r="U185" s="44">
        <f t="shared" si="15"/>
        <v>0</v>
      </c>
      <c r="V185" s="44">
        <f t="shared" si="16"/>
        <v>0</v>
      </c>
    </row>
    <row r="186" spans="1:22" s="44" customFormat="1" ht="12.75" customHeight="1">
      <c r="A186" s="44" t="s">
        <v>216</v>
      </c>
      <c r="B186" s="51"/>
      <c r="C186" s="44" t="s">
        <v>45</v>
      </c>
      <c r="D186" s="35"/>
      <c r="E186" s="45">
        <v>300314</v>
      </c>
      <c r="F186" s="45"/>
      <c r="G186" s="45">
        <v>2393867</v>
      </c>
      <c r="H186" s="45"/>
      <c r="I186" s="45">
        <v>1184327</v>
      </c>
      <c r="J186" s="45"/>
      <c r="K186" s="45">
        <v>2056334</v>
      </c>
      <c r="L186" s="45"/>
      <c r="M186" s="45">
        <v>0</v>
      </c>
      <c r="N186" s="45"/>
      <c r="O186" s="45">
        <v>0</v>
      </c>
      <c r="P186" s="45"/>
      <c r="Q186" s="45">
        <v>337533</v>
      </c>
      <c r="R186" s="45"/>
      <c r="S186" s="45">
        <f t="shared" si="14"/>
        <v>337533</v>
      </c>
      <c r="T186" s="45"/>
      <c r="U186" s="44">
        <f t="shared" si="15"/>
        <v>0</v>
      </c>
      <c r="V186" s="44">
        <f t="shared" si="16"/>
        <v>0</v>
      </c>
    </row>
    <row r="187" spans="1:22" s="44" customFormat="1" ht="12.75" customHeight="1">
      <c r="A187" s="44" t="s">
        <v>217</v>
      </c>
      <c r="B187" s="51"/>
      <c r="C187" s="44" t="s">
        <v>43</v>
      </c>
      <c r="D187" s="35"/>
      <c r="E187" s="45">
        <f>689435+2109044</f>
        <v>2798479</v>
      </c>
      <c r="F187" s="45"/>
      <c r="G187" s="45">
        <v>5558560</v>
      </c>
      <c r="H187" s="45"/>
      <c r="I187" s="45">
        <v>1246898</v>
      </c>
      <c r="J187" s="45"/>
      <c r="K187" s="45">
        <v>2107291</v>
      </c>
      <c r="L187" s="45"/>
      <c r="M187" s="45">
        <f>197800+22505+3872</f>
        <v>224177</v>
      </c>
      <c r="N187" s="45"/>
      <c r="O187" s="45">
        <v>3227092</v>
      </c>
      <c r="P187" s="45"/>
      <c r="Q187" s="45">
        <v>0</v>
      </c>
      <c r="R187" s="45"/>
      <c r="S187" s="45">
        <f t="shared" si="14"/>
        <v>3451269</v>
      </c>
      <c r="T187" s="45"/>
      <c r="U187" s="44">
        <f t="shared" si="15"/>
        <v>0</v>
      </c>
      <c r="V187" s="44">
        <f t="shared" si="16"/>
        <v>0</v>
      </c>
    </row>
    <row r="188" spans="1:22" s="121" customFormat="1" ht="12.75" hidden="1" customHeight="1">
      <c r="A188" s="123" t="s">
        <v>218</v>
      </c>
      <c r="B188" s="123"/>
      <c r="C188" s="123" t="s">
        <v>27</v>
      </c>
      <c r="D188" s="152"/>
      <c r="E188" s="127">
        <v>0</v>
      </c>
      <c r="F188" s="127"/>
      <c r="G188" s="127">
        <v>0</v>
      </c>
      <c r="H188" s="127"/>
      <c r="I188" s="127">
        <v>0</v>
      </c>
      <c r="J188" s="127"/>
      <c r="K188" s="127">
        <v>0</v>
      </c>
      <c r="L188" s="127"/>
      <c r="M188" s="127">
        <v>0</v>
      </c>
      <c r="N188" s="127"/>
      <c r="O188" s="127">
        <v>0</v>
      </c>
      <c r="P188" s="127"/>
      <c r="Q188" s="127">
        <v>0</v>
      </c>
      <c r="R188" s="127"/>
      <c r="S188" s="127">
        <f t="shared" si="14"/>
        <v>0</v>
      </c>
      <c r="T188" s="127"/>
      <c r="U188" s="121">
        <f t="shared" si="15"/>
        <v>0</v>
      </c>
      <c r="V188" s="121">
        <f t="shared" si="16"/>
        <v>0</v>
      </c>
    </row>
    <row r="189" spans="1:22" s="44" customFormat="1" ht="12.75" customHeight="1">
      <c r="A189" s="44" t="s">
        <v>219</v>
      </c>
      <c r="B189" s="51"/>
      <c r="C189" s="44" t="s">
        <v>199</v>
      </c>
      <c r="D189" s="35"/>
      <c r="E189" s="45">
        <v>745165</v>
      </c>
      <c r="F189" s="45"/>
      <c r="G189" s="45">
        <v>1738165</v>
      </c>
      <c r="H189" s="45"/>
      <c r="I189" s="45">
        <v>639231</v>
      </c>
      <c r="J189" s="45"/>
      <c r="K189" s="45">
        <v>826685</v>
      </c>
      <c r="L189" s="45"/>
      <c r="M189" s="45">
        <f>3357+2702+20673</f>
        <v>26732</v>
      </c>
      <c r="N189" s="45"/>
      <c r="O189" s="45">
        <f>83036+26729</f>
        <v>109765</v>
      </c>
      <c r="P189" s="45"/>
      <c r="Q189" s="45">
        <v>774983</v>
      </c>
      <c r="R189" s="45"/>
      <c r="S189" s="45">
        <f t="shared" si="14"/>
        <v>911480</v>
      </c>
      <c r="T189" s="45"/>
      <c r="U189" s="44">
        <f t="shared" si="15"/>
        <v>0</v>
      </c>
      <c r="V189" s="44">
        <f t="shared" si="16"/>
        <v>0</v>
      </c>
    </row>
    <row r="190" spans="1:22" s="44" customFormat="1" ht="12.75" customHeight="1">
      <c r="A190" s="44" t="s">
        <v>220</v>
      </c>
      <c r="B190" s="51"/>
      <c r="C190" s="44" t="s">
        <v>66</v>
      </c>
      <c r="D190" s="35"/>
      <c r="E190" s="45">
        <v>6843974</v>
      </c>
      <c r="F190" s="45"/>
      <c r="G190" s="45">
        <v>9360718</v>
      </c>
      <c r="H190" s="45"/>
      <c r="I190" s="45">
        <v>1908241</v>
      </c>
      <c r="J190" s="45"/>
      <c r="K190" s="45">
        <v>2057746</v>
      </c>
      <c r="L190" s="45"/>
      <c r="M190" s="45">
        <v>70715</v>
      </c>
      <c r="N190" s="45"/>
      <c r="O190" s="45">
        <v>633933</v>
      </c>
      <c r="P190" s="45"/>
      <c r="Q190" s="45">
        <v>6598324</v>
      </c>
      <c r="R190" s="45"/>
      <c r="S190" s="45">
        <f>+Q190+O190+M190</f>
        <v>7302972</v>
      </c>
      <c r="T190" s="45"/>
      <c r="U190" s="44">
        <f t="shared" si="15"/>
        <v>0</v>
      </c>
      <c r="V190" s="44">
        <f t="shared" si="16"/>
        <v>0</v>
      </c>
    </row>
    <row r="191" spans="1:22" s="44" customFormat="1" ht="12.75" customHeight="1">
      <c r="A191" s="44" t="s">
        <v>221</v>
      </c>
      <c r="B191" s="51"/>
      <c r="C191" s="44" t="s">
        <v>27</v>
      </c>
      <c r="D191" s="35"/>
      <c r="E191" s="45">
        <v>2500198</v>
      </c>
      <c r="F191" s="45"/>
      <c r="G191" s="45">
        <v>10247335</v>
      </c>
      <c r="H191" s="45"/>
      <c r="I191" s="45">
        <v>5760894</v>
      </c>
      <c r="J191" s="45"/>
      <c r="K191" s="45">
        <v>6340462</v>
      </c>
      <c r="L191" s="45"/>
      <c r="M191" s="45">
        <f>353007+17700</f>
        <v>370707</v>
      </c>
      <c r="N191" s="45"/>
      <c r="O191" s="45">
        <v>0</v>
      </c>
      <c r="P191" s="45"/>
      <c r="Q191" s="45">
        <v>3536166</v>
      </c>
      <c r="R191" s="45"/>
      <c r="S191" s="45">
        <f>+Q191+O191+M191</f>
        <v>3906873</v>
      </c>
      <c r="T191" s="45"/>
      <c r="U191" s="44">
        <f t="shared" si="15"/>
        <v>0</v>
      </c>
      <c r="V191" s="44">
        <f t="shared" si="16"/>
        <v>0</v>
      </c>
    </row>
    <row r="192" spans="1:22" s="44" customFormat="1" ht="12.75" customHeight="1">
      <c r="A192" s="44" t="s">
        <v>222</v>
      </c>
      <c r="C192" s="44" t="s">
        <v>47</v>
      </c>
      <c r="D192" s="35"/>
      <c r="E192" s="45">
        <v>3447657</v>
      </c>
      <c r="F192" s="45"/>
      <c r="G192" s="45">
        <v>5498223</v>
      </c>
      <c r="H192" s="45"/>
      <c r="I192" s="45">
        <v>1079900</v>
      </c>
      <c r="J192" s="45"/>
      <c r="K192" s="45">
        <v>1290827</v>
      </c>
      <c r="L192" s="45"/>
      <c r="M192" s="45">
        <f>269273+50535</f>
        <v>319808</v>
      </c>
      <c r="N192" s="45"/>
      <c r="O192" s="45">
        <v>0</v>
      </c>
      <c r="P192" s="45"/>
      <c r="Q192" s="45">
        <v>3887588</v>
      </c>
      <c r="R192" s="45"/>
      <c r="S192" s="45">
        <f t="shared" si="14"/>
        <v>4207396</v>
      </c>
      <c r="T192" s="45"/>
      <c r="U192" s="44">
        <f t="shared" si="15"/>
        <v>0</v>
      </c>
      <c r="V192" s="44">
        <f t="shared" si="16"/>
        <v>0</v>
      </c>
    </row>
    <row r="193" spans="1:22" s="44" customFormat="1" ht="12.75" customHeight="1">
      <c r="A193" s="44" t="s">
        <v>223</v>
      </c>
      <c r="B193" s="51"/>
      <c r="C193" s="44" t="s">
        <v>94</v>
      </c>
      <c r="D193" s="35"/>
      <c r="E193" s="45">
        <v>4500857</v>
      </c>
      <c r="F193" s="45"/>
      <c r="G193" s="45">
        <v>1363392</v>
      </c>
      <c r="H193" s="45"/>
      <c r="I193" s="45">
        <v>734817</v>
      </c>
      <c r="J193" s="45"/>
      <c r="K193" s="45">
        <v>972651</v>
      </c>
      <c r="L193" s="45"/>
      <c r="M193" s="45">
        <f>19466+15342+76239</f>
        <v>111047</v>
      </c>
      <c r="N193" s="45"/>
      <c r="O193" s="45">
        <v>0</v>
      </c>
      <c r="P193" s="45"/>
      <c r="Q193" s="45">
        <v>279694</v>
      </c>
      <c r="R193" s="45"/>
      <c r="S193" s="45">
        <f t="shared" si="14"/>
        <v>390741</v>
      </c>
      <c r="T193" s="45"/>
      <c r="U193" s="44">
        <f t="shared" si="15"/>
        <v>0</v>
      </c>
      <c r="V193" s="44">
        <f t="shared" si="16"/>
        <v>0</v>
      </c>
    </row>
    <row r="194" spans="1:22" s="44" customFormat="1" ht="12.75" customHeight="1">
      <c r="A194" s="44" t="s">
        <v>76</v>
      </c>
      <c r="B194" s="51"/>
      <c r="C194" s="44" t="s">
        <v>132</v>
      </c>
      <c r="D194" s="35"/>
      <c r="E194" s="45">
        <v>3509974</v>
      </c>
      <c r="F194" s="45"/>
      <c r="G194" s="45">
        <v>8336338</v>
      </c>
      <c r="H194" s="45"/>
      <c r="I194" s="45">
        <v>3941248</v>
      </c>
      <c r="J194" s="45"/>
      <c r="K194" s="45">
        <v>4691221</v>
      </c>
      <c r="L194" s="45"/>
      <c r="M194" s="45">
        <f>146670+93120</f>
        <v>239790</v>
      </c>
      <c r="N194" s="45"/>
      <c r="O194" s="45">
        <v>133224</v>
      </c>
      <c r="P194" s="45"/>
      <c r="Q194" s="45">
        <v>3272103</v>
      </c>
      <c r="R194" s="45"/>
      <c r="S194" s="45">
        <f t="shared" si="14"/>
        <v>3645117</v>
      </c>
      <c r="T194" s="45"/>
      <c r="U194" s="44">
        <f t="shared" si="15"/>
        <v>0</v>
      </c>
      <c r="V194" s="44">
        <f t="shared" si="16"/>
        <v>0</v>
      </c>
    </row>
    <row r="195" spans="1:22" s="44" customFormat="1" ht="12.75" customHeight="1">
      <c r="A195" s="44" t="s">
        <v>224</v>
      </c>
      <c r="B195" s="51"/>
      <c r="C195" s="44" t="s">
        <v>27</v>
      </c>
      <c r="D195" s="35"/>
      <c r="E195" s="45">
        <v>2871492</v>
      </c>
      <c r="F195" s="45"/>
      <c r="G195" s="45">
        <v>5831690</v>
      </c>
      <c r="H195" s="45"/>
      <c r="I195" s="45">
        <v>1867217</v>
      </c>
      <c r="J195" s="45"/>
      <c r="K195" s="45">
        <v>2325175</v>
      </c>
      <c r="L195" s="45"/>
      <c r="M195" s="45">
        <f>6364+17836+252247</f>
        <v>276447</v>
      </c>
      <c r="N195" s="45"/>
      <c r="O195" s="45">
        <v>0</v>
      </c>
      <c r="P195" s="45"/>
      <c r="Q195" s="45">
        <v>3230068</v>
      </c>
      <c r="R195" s="45"/>
      <c r="S195" s="45">
        <f>+Q195+O195+M195</f>
        <v>3506515</v>
      </c>
      <c r="T195" s="45"/>
      <c r="U195" s="44">
        <f t="shared" si="15"/>
        <v>0</v>
      </c>
      <c r="V195" s="44">
        <f t="shared" si="16"/>
        <v>0</v>
      </c>
    </row>
    <row r="196" spans="1:22" s="44" customFormat="1" ht="12.75" customHeight="1">
      <c r="A196" s="44" t="s">
        <v>225</v>
      </c>
      <c r="C196" s="44" t="s">
        <v>27</v>
      </c>
      <c r="D196" s="35"/>
      <c r="E196" s="45">
        <v>8413342</v>
      </c>
      <c r="F196" s="45"/>
      <c r="G196" s="45">
        <v>26106388</v>
      </c>
      <c r="H196" s="45"/>
      <c r="I196" s="45">
        <v>12657003</v>
      </c>
      <c r="J196" s="45"/>
      <c r="K196" s="45">
        <v>14145736</v>
      </c>
      <c r="L196" s="45"/>
      <c r="M196" s="45">
        <v>635380</v>
      </c>
      <c r="N196" s="45"/>
      <c r="O196" s="45">
        <v>0</v>
      </c>
      <c r="P196" s="45"/>
      <c r="Q196" s="45">
        <v>11325272</v>
      </c>
      <c r="R196" s="45"/>
      <c r="S196" s="45">
        <f t="shared" si="14"/>
        <v>11960652</v>
      </c>
      <c r="T196" s="94"/>
      <c r="U196" s="46">
        <f t="shared" si="15"/>
        <v>0</v>
      </c>
      <c r="V196" s="46">
        <f t="shared" si="16"/>
        <v>0</v>
      </c>
    </row>
    <row r="197" spans="1:22" s="44" customFormat="1" ht="12.75" customHeight="1">
      <c r="A197" s="46" t="s">
        <v>226</v>
      </c>
      <c r="B197" s="46"/>
      <c r="C197" s="46" t="s">
        <v>45</v>
      </c>
      <c r="D197" s="64"/>
      <c r="E197" s="45">
        <v>4330808</v>
      </c>
      <c r="F197" s="45"/>
      <c r="G197" s="45">
        <v>7027850</v>
      </c>
      <c r="H197" s="45"/>
      <c r="I197" s="45">
        <v>789194</v>
      </c>
      <c r="J197" s="45"/>
      <c r="K197" s="45">
        <v>1562618</v>
      </c>
      <c r="L197" s="45"/>
      <c r="M197" s="45">
        <f>220462+47060</f>
        <v>267522</v>
      </c>
      <c r="N197" s="45"/>
      <c r="O197" s="45">
        <v>0</v>
      </c>
      <c r="P197" s="45"/>
      <c r="Q197" s="45">
        <v>5197710</v>
      </c>
      <c r="R197" s="45"/>
      <c r="S197" s="45">
        <f t="shared" si="14"/>
        <v>5465232</v>
      </c>
      <c r="T197" s="45"/>
      <c r="U197" s="44">
        <f t="shared" si="15"/>
        <v>0</v>
      </c>
      <c r="V197" s="44">
        <f t="shared" si="16"/>
        <v>0</v>
      </c>
    </row>
    <row r="198" spans="1:22" s="46" customFormat="1" ht="12.75" customHeight="1">
      <c r="A198" s="46" t="s">
        <v>227</v>
      </c>
      <c r="B198" s="66"/>
      <c r="C198" s="46" t="s">
        <v>17</v>
      </c>
      <c r="D198" s="64"/>
      <c r="E198" s="45">
        <v>569380</v>
      </c>
      <c r="F198" s="45"/>
      <c r="G198" s="45">
        <v>2225352</v>
      </c>
      <c r="H198" s="45"/>
      <c r="I198" s="45">
        <v>1433514</v>
      </c>
      <c r="J198" s="45"/>
      <c r="K198" s="45">
        <v>1589984</v>
      </c>
      <c r="L198" s="45"/>
      <c r="M198" s="45">
        <f>4568+20100+14412</f>
        <v>39080</v>
      </c>
      <c r="N198" s="45"/>
      <c r="O198" s="45">
        <v>0</v>
      </c>
      <c r="P198" s="45"/>
      <c r="Q198" s="45">
        <v>596288</v>
      </c>
      <c r="R198" s="45"/>
      <c r="S198" s="45">
        <f t="shared" si="14"/>
        <v>635368</v>
      </c>
      <c r="T198" s="45"/>
      <c r="U198" s="44">
        <f t="shared" si="15"/>
        <v>0</v>
      </c>
      <c r="V198" s="44">
        <f t="shared" si="16"/>
        <v>0</v>
      </c>
    </row>
    <row r="199" spans="1:22" s="44" customFormat="1" ht="12.75" customHeight="1">
      <c r="A199" s="44" t="s">
        <v>228</v>
      </c>
      <c r="B199" s="51"/>
      <c r="C199" s="44" t="s">
        <v>153</v>
      </c>
      <c r="D199" s="35"/>
      <c r="E199" s="45">
        <v>1312747</v>
      </c>
      <c r="F199" s="45"/>
      <c r="G199" s="45">
        <v>2387652</v>
      </c>
      <c r="H199" s="45"/>
      <c r="I199" s="45">
        <v>589883</v>
      </c>
      <c r="J199" s="45"/>
      <c r="K199" s="45">
        <v>1715134</v>
      </c>
      <c r="L199" s="45"/>
      <c r="M199" s="45">
        <f>104019+23169+18229+4336</f>
        <v>149753</v>
      </c>
      <c r="N199" s="45"/>
      <c r="O199" s="45">
        <v>0</v>
      </c>
      <c r="P199" s="45"/>
      <c r="Q199" s="45">
        <v>522765</v>
      </c>
      <c r="R199" s="45"/>
      <c r="S199" s="45">
        <f t="shared" si="14"/>
        <v>672518</v>
      </c>
      <c r="T199" s="45"/>
      <c r="U199" s="44">
        <f t="shared" si="15"/>
        <v>0</v>
      </c>
      <c r="V199" s="44">
        <f t="shared" si="16"/>
        <v>0</v>
      </c>
    </row>
    <row r="200" spans="1:22" s="44" customFormat="1" ht="12.75" customHeight="1">
      <c r="A200" s="44" t="s">
        <v>229</v>
      </c>
      <c r="B200" s="51"/>
      <c r="C200" s="44" t="s">
        <v>228</v>
      </c>
      <c r="D200" s="35"/>
      <c r="E200" s="45">
        <v>4514113</v>
      </c>
      <c r="F200" s="45"/>
      <c r="G200" s="45">
        <v>9468636</v>
      </c>
      <c r="H200" s="45"/>
      <c r="I200" s="45">
        <v>3259927</v>
      </c>
      <c r="J200" s="45"/>
      <c r="K200" s="45">
        <v>4885226</v>
      </c>
      <c r="L200" s="45"/>
      <c r="M200" s="45">
        <v>209212</v>
      </c>
      <c r="N200" s="45"/>
      <c r="O200" s="45">
        <v>0</v>
      </c>
      <c r="P200" s="45"/>
      <c r="Q200" s="45">
        <v>4374198</v>
      </c>
      <c r="R200" s="45"/>
      <c r="S200" s="45">
        <f t="shared" si="14"/>
        <v>4583410</v>
      </c>
      <c r="T200" s="45"/>
      <c r="U200" s="44">
        <f t="shared" si="15"/>
        <v>0</v>
      </c>
      <c r="V200" s="44">
        <f t="shared" si="16"/>
        <v>0</v>
      </c>
    </row>
    <row r="201" spans="1:22" s="44" customFormat="1" ht="12.75" customHeight="1">
      <c r="A201" s="44" t="s">
        <v>230</v>
      </c>
      <c r="C201" s="44" t="s">
        <v>45</v>
      </c>
      <c r="D201" s="35"/>
      <c r="E201" s="45">
        <v>1479513</v>
      </c>
      <c r="F201" s="45"/>
      <c r="G201" s="45">
        <v>3382115</v>
      </c>
      <c r="H201" s="45"/>
      <c r="I201" s="45">
        <v>1667140</v>
      </c>
      <c r="J201" s="45"/>
      <c r="K201" s="45">
        <v>1903209</v>
      </c>
      <c r="L201" s="45"/>
      <c r="M201" s="45">
        <f>23574+22837</f>
        <v>46411</v>
      </c>
      <c r="N201" s="45"/>
      <c r="O201" s="45">
        <v>0</v>
      </c>
      <c r="P201" s="45"/>
      <c r="Q201" s="45">
        <v>1432495</v>
      </c>
      <c r="R201" s="45"/>
      <c r="S201" s="45">
        <f t="shared" si="14"/>
        <v>1478906</v>
      </c>
      <c r="T201" s="45"/>
      <c r="U201" s="44">
        <f t="shared" si="15"/>
        <v>0</v>
      </c>
      <c r="V201" s="44">
        <f t="shared" si="16"/>
        <v>0</v>
      </c>
    </row>
    <row r="202" spans="1:22" s="44" customFormat="1" ht="12.75" customHeight="1">
      <c r="A202" s="44" t="s">
        <v>231</v>
      </c>
      <c r="C202" s="44" t="s">
        <v>27</v>
      </c>
      <c r="D202" s="35"/>
      <c r="E202" s="45">
        <f>18658555+96595</f>
        <v>18755150</v>
      </c>
      <c r="F202" s="45"/>
      <c r="G202" s="45">
        <v>26293078</v>
      </c>
      <c r="H202" s="45"/>
      <c r="I202" s="45">
        <v>3615476</v>
      </c>
      <c r="J202" s="45"/>
      <c r="K202" s="45">
        <v>4620198</v>
      </c>
      <c r="L202" s="45"/>
      <c r="M202" s="45">
        <f>555472+96972+1182073</f>
        <v>1834517</v>
      </c>
      <c r="N202" s="45"/>
      <c r="O202" s="45">
        <v>359302</v>
      </c>
      <c r="P202" s="45"/>
      <c r="Q202" s="45">
        <v>19479061</v>
      </c>
      <c r="R202" s="45"/>
      <c r="S202" s="45">
        <f t="shared" si="14"/>
        <v>21672880</v>
      </c>
      <c r="T202" s="45"/>
      <c r="U202" s="44">
        <f t="shared" si="15"/>
        <v>0</v>
      </c>
      <c r="V202" s="44">
        <f t="shared" si="16"/>
        <v>0</v>
      </c>
    </row>
    <row r="203" spans="1:22" s="44" customFormat="1" ht="12.75" customHeight="1">
      <c r="A203" s="44" t="s">
        <v>232</v>
      </c>
      <c r="B203" s="51"/>
      <c r="C203" s="44" t="s">
        <v>27</v>
      </c>
      <c r="D203" s="35"/>
      <c r="E203" s="45">
        <v>3498267</v>
      </c>
      <c r="F203" s="45"/>
      <c r="G203" s="45">
        <v>13250682</v>
      </c>
      <c r="H203" s="45"/>
      <c r="I203" s="45">
        <v>807860</v>
      </c>
      <c r="J203" s="45"/>
      <c r="K203" s="45">
        <v>9120876</v>
      </c>
      <c r="L203" s="45"/>
      <c r="M203" s="45">
        <f>131894+3095</f>
        <v>134989</v>
      </c>
      <c r="N203" s="45"/>
      <c r="O203" s="45">
        <v>165513</v>
      </c>
      <c r="P203" s="45"/>
      <c r="Q203" s="45">
        <v>3829304</v>
      </c>
      <c r="R203" s="45"/>
      <c r="S203" s="45">
        <f>+Q203+O203+M203</f>
        <v>4129806</v>
      </c>
      <c r="T203" s="45"/>
      <c r="U203" s="44">
        <f t="shared" si="15"/>
        <v>0</v>
      </c>
      <c r="V203" s="44">
        <f t="shared" si="16"/>
        <v>0</v>
      </c>
    </row>
    <row r="204" spans="1:22" s="44" customFormat="1" ht="12.75" customHeight="1">
      <c r="A204" s="44" t="s">
        <v>233</v>
      </c>
      <c r="B204" s="51"/>
      <c r="C204" s="44" t="s">
        <v>111</v>
      </c>
      <c r="D204" s="35"/>
      <c r="E204" s="45">
        <f>390974+7069851</f>
        <v>7460825</v>
      </c>
      <c r="F204" s="45"/>
      <c r="G204" s="45">
        <v>10339866</v>
      </c>
      <c r="H204" s="45"/>
      <c r="I204" s="45">
        <v>1917200</v>
      </c>
      <c r="J204" s="45"/>
      <c r="K204" s="45">
        <v>2398412</v>
      </c>
      <c r="L204" s="45"/>
      <c r="M204" s="45">
        <f>321358+117416+13700</f>
        <v>452474</v>
      </c>
      <c r="N204" s="45"/>
      <c r="O204" s="45">
        <v>0</v>
      </c>
      <c r="P204" s="45"/>
      <c r="Q204" s="45">
        <v>7488980</v>
      </c>
      <c r="R204" s="45"/>
      <c r="S204" s="45">
        <f t="shared" si="14"/>
        <v>7941454</v>
      </c>
      <c r="T204" s="45"/>
      <c r="U204" s="44">
        <f t="shared" si="15"/>
        <v>0</v>
      </c>
      <c r="V204" s="44">
        <f t="shared" si="16"/>
        <v>0</v>
      </c>
    </row>
    <row r="205" spans="1:22" s="44" customFormat="1" ht="12.75" customHeight="1">
      <c r="A205" s="46" t="s">
        <v>234</v>
      </c>
      <c r="B205" s="46"/>
      <c r="C205" s="46" t="s">
        <v>45</v>
      </c>
      <c r="D205" s="64"/>
      <c r="E205" s="45">
        <f>4252750+31842</f>
        <v>4284592</v>
      </c>
      <c r="F205" s="45"/>
      <c r="G205" s="45">
        <v>10454426</v>
      </c>
      <c r="H205" s="45"/>
      <c r="I205" s="45">
        <v>2557277</v>
      </c>
      <c r="J205" s="45"/>
      <c r="K205" s="45">
        <v>4403396</v>
      </c>
      <c r="L205" s="45"/>
      <c r="M205" s="45">
        <f>62472+252456+19539</f>
        <v>334467</v>
      </c>
      <c r="N205" s="45"/>
      <c r="O205" s="45">
        <f>41641+657462</f>
        <v>699103</v>
      </c>
      <c r="P205" s="45"/>
      <c r="Q205" s="45">
        <v>5017460</v>
      </c>
      <c r="R205" s="45"/>
      <c r="S205" s="45">
        <f t="shared" si="14"/>
        <v>6051030</v>
      </c>
      <c r="T205" s="45"/>
      <c r="U205" s="44">
        <f t="shared" si="15"/>
        <v>0</v>
      </c>
      <c r="V205" s="44">
        <f t="shared" si="16"/>
        <v>0</v>
      </c>
    </row>
    <row r="206" spans="1:22" s="44" customFormat="1" ht="12.75" customHeight="1">
      <c r="A206" s="44" t="s">
        <v>235</v>
      </c>
      <c r="C206" s="44" t="s">
        <v>183</v>
      </c>
      <c r="D206" s="35"/>
      <c r="E206" s="45">
        <f>4141918+1051670</f>
        <v>5193588</v>
      </c>
      <c r="F206" s="45"/>
      <c r="G206" s="45">
        <v>15662255</v>
      </c>
      <c r="H206" s="45"/>
      <c r="I206" s="45">
        <v>6421167</v>
      </c>
      <c r="J206" s="45"/>
      <c r="K206" s="45">
        <v>9353476</v>
      </c>
      <c r="L206" s="45"/>
      <c r="M206" s="45">
        <f>3086+1571469</f>
        <v>1574555</v>
      </c>
      <c r="N206" s="45"/>
      <c r="O206" s="45">
        <v>0</v>
      </c>
      <c r="P206" s="45"/>
      <c r="Q206" s="45">
        <v>4734224</v>
      </c>
      <c r="R206" s="45"/>
      <c r="S206" s="45">
        <f t="shared" si="14"/>
        <v>6308779</v>
      </c>
      <c r="T206" s="45"/>
      <c r="U206" s="44">
        <f t="shared" si="15"/>
        <v>0</v>
      </c>
      <c r="V206" s="44">
        <f t="shared" si="16"/>
        <v>0</v>
      </c>
    </row>
    <row r="207" spans="1:22" s="44" customFormat="1" ht="12.75" customHeight="1">
      <c r="A207" s="44" t="s">
        <v>236</v>
      </c>
      <c r="B207" s="51"/>
      <c r="C207" s="44" t="s">
        <v>45</v>
      </c>
      <c r="D207" s="35"/>
      <c r="E207" s="45">
        <v>159023</v>
      </c>
      <c r="F207" s="45"/>
      <c r="G207" s="45">
        <v>6832936</v>
      </c>
      <c r="H207" s="45"/>
      <c r="I207" s="45">
        <v>511032</v>
      </c>
      <c r="J207" s="45"/>
      <c r="K207" s="45">
        <v>1168032</v>
      </c>
      <c r="L207" s="45"/>
      <c r="M207" s="45">
        <f>81782+59280+77152</f>
        <v>218214</v>
      </c>
      <c r="N207" s="45"/>
      <c r="O207" s="45">
        <v>0</v>
      </c>
      <c r="P207" s="45"/>
      <c r="Q207" s="45">
        <v>5446690</v>
      </c>
      <c r="R207" s="45"/>
      <c r="S207" s="45">
        <f t="shared" si="14"/>
        <v>5664904</v>
      </c>
      <c r="T207" s="45"/>
      <c r="U207" s="44">
        <f t="shared" si="15"/>
        <v>0</v>
      </c>
      <c r="V207" s="44">
        <f t="shared" si="16"/>
        <v>0</v>
      </c>
    </row>
    <row r="208" spans="1:22" s="44" customFormat="1" ht="12.75" customHeight="1">
      <c r="A208" s="44" t="s">
        <v>237</v>
      </c>
      <c r="C208" s="44" t="s">
        <v>33</v>
      </c>
      <c r="D208" s="35"/>
      <c r="E208" s="45">
        <v>38454</v>
      </c>
      <c r="F208" s="45"/>
      <c r="G208" s="45">
        <v>449888</v>
      </c>
      <c r="H208" s="45"/>
      <c r="I208" s="45">
        <v>348604</v>
      </c>
      <c r="J208" s="45"/>
      <c r="K208" s="45">
        <v>573676</v>
      </c>
      <c r="L208" s="45"/>
      <c r="M208" s="45">
        <f>120+860+3110</f>
        <v>4090</v>
      </c>
      <c r="N208" s="45"/>
      <c r="O208" s="45">
        <v>0</v>
      </c>
      <c r="P208" s="45"/>
      <c r="Q208" s="45">
        <v>-127878</v>
      </c>
      <c r="R208" s="45"/>
      <c r="S208" s="45">
        <f t="shared" si="14"/>
        <v>-123788</v>
      </c>
      <c r="T208" s="45"/>
      <c r="U208" s="44">
        <f t="shared" si="15"/>
        <v>0</v>
      </c>
      <c r="V208" s="44">
        <f t="shared" si="16"/>
        <v>0</v>
      </c>
    </row>
    <row r="209" spans="1:22" s="44" customFormat="1" ht="12.75" customHeight="1">
      <c r="A209" s="44" t="s">
        <v>238</v>
      </c>
      <c r="B209" s="51"/>
      <c r="C209" s="44" t="s">
        <v>239</v>
      </c>
      <c r="D209" s="35"/>
      <c r="E209" s="45">
        <v>4110549</v>
      </c>
      <c r="F209" s="45"/>
      <c r="G209" s="45">
        <v>5370352</v>
      </c>
      <c r="H209" s="45"/>
      <c r="I209" s="45">
        <v>421068</v>
      </c>
      <c r="J209" s="45"/>
      <c r="K209" s="45">
        <v>974045</v>
      </c>
      <c r="L209" s="45"/>
      <c r="M209" s="45">
        <f>151355+37163+46150</f>
        <v>234668</v>
      </c>
      <c r="N209" s="45"/>
      <c r="O209" s="45">
        <v>0</v>
      </c>
      <c r="P209" s="45"/>
      <c r="Q209" s="45">
        <v>4161639</v>
      </c>
      <c r="R209" s="45"/>
      <c r="S209" s="45">
        <f t="shared" si="14"/>
        <v>4396307</v>
      </c>
      <c r="T209" s="45"/>
      <c r="U209" s="44">
        <f t="shared" si="15"/>
        <v>0</v>
      </c>
      <c r="V209" s="44">
        <f t="shared" si="16"/>
        <v>0</v>
      </c>
    </row>
    <row r="210" spans="1:22" s="44" customFormat="1" ht="12.75" customHeight="1">
      <c r="A210" s="44" t="s">
        <v>486</v>
      </c>
      <c r="B210" s="51"/>
      <c r="C210" s="44" t="s">
        <v>249</v>
      </c>
      <c r="D210" s="35"/>
      <c r="E210" s="45">
        <v>563162</v>
      </c>
      <c r="F210" s="45"/>
      <c r="G210" s="45">
        <v>4913338</v>
      </c>
      <c r="H210" s="45"/>
      <c r="I210" s="45">
        <v>2398792</v>
      </c>
      <c r="J210" s="45"/>
      <c r="K210" s="45">
        <v>4237352</v>
      </c>
      <c r="L210" s="45"/>
      <c r="M210" s="45">
        <f>59321+294153+8113</f>
        <v>361587</v>
      </c>
      <c r="N210" s="45"/>
      <c r="O210" s="45">
        <v>0</v>
      </c>
      <c r="P210" s="45"/>
      <c r="Q210" s="45">
        <v>314399</v>
      </c>
      <c r="R210" s="45"/>
      <c r="S210" s="45">
        <f>+Q210+O210+M210</f>
        <v>675986</v>
      </c>
      <c r="T210" s="45"/>
      <c r="U210" s="44">
        <f>+G210-K210-S210</f>
        <v>0</v>
      </c>
      <c r="V210" s="44">
        <f>+G210-K210-S210</f>
        <v>0</v>
      </c>
    </row>
    <row r="211" spans="1:22" s="44" customFormat="1" ht="12.75" customHeight="1">
      <c r="A211" s="44" t="s">
        <v>240</v>
      </c>
      <c r="B211" s="51"/>
      <c r="C211" s="44" t="s">
        <v>13</v>
      </c>
      <c r="D211" s="35"/>
      <c r="E211" s="45">
        <v>4049114</v>
      </c>
      <c r="F211" s="45"/>
      <c r="G211" s="45">
        <v>12550341</v>
      </c>
      <c r="H211" s="45"/>
      <c r="I211" s="45">
        <v>1673575</v>
      </c>
      <c r="J211" s="45"/>
      <c r="K211" s="45">
        <v>7868144</v>
      </c>
      <c r="L211" s="45"/>
      <c r="M211" s="45">
        <f>396633+168131+150000</f>
        <v>714764</v>
      </c>
      <c r="N211" s="45"/>
      <c r="O211" s="45">
        <v>1000000</v>
      </c>
      <c r="P211" s="45"/>
      <c r="Q211" s="45">
        <v>2967433</v>
      </c>
      <c r="R211" s="45"/>
      <c r="S211" s="45">
        <f t="shared" si="14"/>
        <v>4682197</v>
      </c>
      <c r="T211" s="45"/>
      <c r="U211" s="44">
        <f t="shared" si="15"/>
        <v>0</v>
      </c>
      <c r="V211" s="44">
        <f t="shared" si="16"/>
        <v>0</v>
      </c>
    </row>
    <row r="212" spans="1:22" s="44" customFormat="1" ht="12.75" customHeight="1">
      <c r="A212" s="44" t="s">
        <v>241</v>
      </c>
      <c r="C212" s="44" t="s">
        <v>22</v>
      </c>
      <c r="D212" s="35"/>
      <c r="E212" s="45">
        <v>2304249</v>
      </c>
      <c r="F212" s="45"/>
      <c r="G212" s="45">
        <v>6735067</v>
      </c>
      <c r="H212" s="45"/>
      <c r="I212" s="45">
        <v>2188607</v>
      </c>
      <c r="J212" s="45"/>
      <c r="K212" s="45">
        <v>3482735</v>
      </c>
      <c r="L212" s="45"/>
      <c r="M212" s="45">
        <f>297150+42247+32935</f>
        <v>372332</v>
      </c>
      <c r="N212" s="45"/>
      <c r="O212" s="45">
        <v>0</v>
      </c>
      <c r="P212" s="45"/>
      <c r="Q212" s="45">
        <v>2880000</v>
      </c>
      <c r="R212" s="45"/>
      <c r="S212" s="45">
        <f t="shared" si="14"/>
        <v>3252332</v>
      </c>
      <c r="T212" s="45"/>
      <c r="U212" s="44">
        <f t="shared" si="15"/>
        <v>0</v>
      </c>
      <c r="V212" s="44">
        <f t="shared" si="16"/>
        <v>0</v>
      </c>
    </row>
    <row r="213" spans="1:22" s="44" customFormat="1" ht="12.75" customHeight="1">
      <c r="A213" s="44" t="s">
        <v>242</v>
      </c>
      <c r="B213" s="51"/>
      <c r="C213" s="44" t="s">
        <v>27</v>
      </c>
      <c r="D213" s="35"/>
      <c r="E213" s="45">
        <v>7571611</v>
      </c>
      <c r="F213" s="45"/>
      <c r="G213" s="45">
        <v>15322698</v>
      </c>
      <c r="H213" s="45"/>
      <c r="I213" s="45">
        <v>2857460</v>
      </c>
      <c r="J213" s="45"/>
      <c r="K213" s="45">
        <v>3626537</v>
      </c>
      <c r="L213" s="45"/>
      <c r="M213" s="45">
        <f>60258+295778</f>
        <v>356036</v>
      </c>
      <c r="N213" s="45"/>
      <c r="O213" s="45">
        <v>0</v>
      </c>
      <c r="P213" s="45"/>
      <c r="Q213" s="45">
        <v>11340125</v>
      </c>
      <c r="R213" s="45"/>
      <c r="S213" s="45">
        <f t="shared" si="14"/>
        <v>11696161</v>
      </c>
      <c r="T213" s="45"/>
      <c r="U213" s="44">
        <f t="shared" si="15"/>
        <v>0</v>
      </c>
      <c r="V213" s="44">
        <f>+G213-K213-S213</f>
        <v>0</v>
      </c>
    </row>
    <row r="214" spans="1:22" s="44" customFormat="1" ht="12.75" customHeight="1">
      <c r="A214" s="44" t="s">
        <v>243</v>
      </c>
      <c r="C214" s="44" t="s">
        <v>163</v>
      </c>
      <c r="D214" s="35"/>
      <c r="E214" s="45">
        <f>384318+3084474</f>
        <v>3468792</v>
      </c>
      <c r="F214" s="45"/>
      <c r="G214" s="45">
        <v>6089399</v>
      </c>
      <c r="H214" s="45"/>
      <c r="I214" s="45">
        <v>1541723</v>
      </c>
      <c r="J214" s="45"/>
      <c r="K214" s="45">
        <v>2010012</v>
      </c>
      <c r="L214" s="45"/>
      <c r="M214" s="45">
        <f>764+47242+371947</f>
        <v>419953</v>
      </c>
      <c r="N214" s="45"/>
      <c r="O214" s="45">
        <v>0</v>
      </c>
      <c r="P214" s="45"/>
      <c r="Q214" s="45">
        <v>3659434</v>
      </c>
      <c r="R214" s="45"/>
      <c r="S214" s="45">
        <f t="shared" ref="S214" si="17">+Q214+O214+M214</f>
        <v>4079387</v>
      </c>
      <c r="T214" s="45"/>
      <c r="U214" s="44">
        <f t="shared" ref="U214" si="18">+G214-K214-S214</f>
        <v>0</v>
      </c>
      <c r="V214" s="44">
        <f t="shared" ref="V214" si="19">+G214-K214-S214</f>
        <v>0</v>
      </c>
    </row>
    <row r="215" spans="1:22" s="44" customFormat="1" ht="12.75" customHeight="1">
      <c r="B215" s="51"/>
      <c r="D215" s="3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8" t="s">
        <v>484</v>
      </c>
      <c r="T215" s="45"/>
    </row>
    <row r="216" spans="1:22" s="44" customFormat="1" ht="12.75" customHeight="1">
      <c r="A216" s="44" t="s">
        <v>244</v>
      </c>
      <c r="B216" s="51"/>
      <c r="C216" s="44" t="s">
        <v>13</v>
      </c>
      <c r="D216" s="35"/>
      <c r="E216" s="94">
        <v>3514103</v>
      </c>
      <c r="F216" s="94"/>
      <c r="G216" s="94">
        <v>6829997</v>
      </c>
      <c r="H216" s="94"/>
      <c r="I216" s="94">
        <v>763201</v>
      </c>
      <c r="J216" s="94"/>
      <c r="K216" s="94">
        <v>2034438</v>
      </c>
      <c r="L216" s="94"/>
      <c r="M216" s="94">
        <f>69411+96818</f>
        <v>166229</v>
      </c>
      <c r="N216" s="94"/>
      <c r="O216" s="94">
        <v>0</v>
      </c>
      <c r="P216" s="94"/>
      <c r="Q216" s="94">
        <v>4629330</v>
      </c>
      <c r="R216" s="94"/>
      <c r="S216" s="94">
        <f t="shared" ref="S216:S256" si="20">+Q216+O216+M216</f>
        <v>4795559</v>
      </c>
      <c r="T216" s="45"/>
      <c r="U216" s="44">
        <f t="shared" ref="U216:U256" si="21">+G216-K216-S216</f>
        <v>0</v>
      </c>
      <c r="V216" s="44">
        <f t="shared" ref="V216:V256" si="22">+G216-K216-S216</f>
        <v>0</v>
      </c>
    </row>
    <row r="217" spans="1:22" s="44" customFormat="1" ht="12.75" customHeight="1">
      <c r="A217" s="44" t="s">
        <v>245</v>
      </c>
      <c r="B217" s="51"/>
      <c r="C217" s="44" t="s">
        <v>110</v>
      </c>
      <c r="D217" s="35"/>
      <c r="E217" s="45">
        <v>662320</v>
      </c>
      <c r="F217" s="45"/>
      <c r="G217" s="45">
        <v>4339553</v>
      </c>
      <c r="H217" s="45"/>
      <c r="I217" s="45">
        <v>1675873</v>
      </c>
      <c r="J217" s="45"/>
      <c r="K217" s="45">
        <v>3122854</v>
      </c>
      <c r="L217" s="45"/>
      <c r="M217" s="45">
        <f>166439+44411+12447+72183</f>
        <v>295480</v>
      </c>
      <c r="N217" s="45"/>
      <c r="O217" s="45">
        <v>0</v>
      </c>
      <c r="P217" s="45"/>
      <c r="Q217" s="45">
        <v>921219</v>
      </c>
      <c r="R217" s="45"/>
      <c r="S217" s="45">
        <f t="shared" si="20"/>
        <v>1216699</v>
      </c>
      <c r="T217" s="45"/>
      <c r="U217" s="44">
        <f t="shared" si="21"/>
        <v>0</v>
      </c>
      <c r="V217" s="44">
        <f t="shared" si="22"/>
        <v>0</v>
      </c>
    </row>
    <row r="218" spans="1:22" s="46" customFormat="1" ht="12.75" customHeight="1">
      <c r="A218" s="46" t="s">
        <v>246</v>
      </c>
      <c r="C218" s="46" t="s">
        <v>209</v>
      </c>
      <c r="D218" s="64"/>
      <c r="E218" s="45">
        <f>1224696+2528773</f>
        <v>3753469</v>
      </c>
      <c r="F218" s="45"/>
      <c r="G218" s="45">
        <v>5341619</v>
      </c>
      <c r="H218" s="45"/>
      <c r="I218" s="45">
        <v>940134</v>
      </c>
      <c r="J218" s="45"/>
      <c r="K218" s="45">
        <v>1289889</v>
      </c>
      <c r="L218" s="45"/>
      <c r="M218" s="45">
        <f>125131+31222+64711</f>
        <v>221064</v>
      </c>
      <c r="N218" s="45"/>
      <c r="O218" s="45">
        <v>0</v>
      </c>
      <c r="P218" s="45"/>
      <c r="Q218" s="45">
        <v>3830666</v>
      </c>
      <c r="R218" s="45"/>
      <c r="S218" s="45">
        <f t="shared" si="20"/>
        <v>4051730</v>
      </c>
      <c r="T218" s="45"/>
      <c r="U218" s="44">
        <f t="shared" si="21"/>
        <v>0</v>
      </c>
      <c r="V218" s="44">
        <f t="shared" si="22"/>
        <v>0</v>
      </c>
    </row>
    <row r="219" spans="1:22" s="44" customFormat="1" ht="12.75" customHeight="1">
      <c r="A219" s="44" t="s">
        <v>247</v>
      </c>
      <c r="C219" s="44" t="s">
        <v>163</v>
      </c>
      <c r="D219" s="35"/>
      <c r="E219" s="45">
        <v>8266000</v>
      </c>
      <c r="F219" s="45"/>
      <c r="G219" s="45">
        <v>64437000</v>
      </c>
      <c r="H219" s="45"/>
      <c r="I219" s="45">
        <v>29371000</v>
      </c>
      <c r="J219" s="45"/>
      <c r="K219" s="45">
        <v>73049000</v>
      </c>
      <c r="L219" s="45"/>
      <c r="M219" s="45">
        <f>688000+10200000+4207000</f>
        <v>15095000</v>
      </c>
      <c r="N219" s="45"/>
      <c r="O219" s="45">
        <v>0</v>
      </c>
      <c r="P219" s="45"/>
      <c r="Q219" s="45">
        <v>-23707000</v>
      </c>
      <c r="R219" s="45"/>
      <c r="S219" s="45">
        <f t="shared" si="20"/>
        <v>-8612000</v>
      </c>
      <c r="T219" s="45"/>
      <c r="U219" s="44">
        <f t="shared" si="21"/>
        <v>0</v>
      </c>
      <c r="V219" s="44">
        <f t="shared" si="22"/>
        <v>0</v>
      </c>
    </row>
    <row r="220" spans="1:22" s="44" customFormat="1" ht="12.75" customHeight="1">
      <c r="A220" s="44" t="s">
        <v>248</v>
      </c>
      <c r="C220" s="44" t="s">
        <v>249</v>
      </c>
      <c r="D220" s="35"/>
      <c r="E220" s="45">
        <v>239754</v>
      </c>
      <c r="F220" s="45"/>
      <c r="G220" s="45">
        <v>1261671</v>
      </c>
      <c r="H220" s="45"/>
      <c r="I220" s="45">
        <v>719167</v>
      </c>
      <c r="J220" s="45"/>
      <c r="K220" s="45">
        <v>778157</v>
      </c>
      <c r="L220" s="45"/>
      <c r="M220" s="45">
        <v>0</v>
      </c>
      <c r="N220" s="45"/>
      <c r="O220" s="45">
        <v>0</v>
      </c>
      <c r="P220" s="45"/>
      <c r="Q220" s="45">
        <v>483514</v>
      </c>
      <c r="R220" s="45"/>
      <c r="S220" s="45">
        <f t="shared" si="20"/>
        <v>483514</v>
      </c>
      <c r="T220" s="45"/>
      <c r="U220" s="44">
        <f t="shared" si="21"/>
        <v>0</v>
      </c>
      <c r="V220" s="44">
        <f t="shared" si="22"/>
        <v>0</v>
      </c>
    </row>
    <row r="221" spans="1:22" s="44" customFormat="1" ht="12.75" customHeight="1">
      <c r="A221" s="44" t="s">
        <v>250</v>
      </c>
      <c r="B221" s="51"/>
      <c r="C221" s="44" t="s">
        <v>103</v>
      </c>
      <c r="D221" s="35"/>
      <c r="E221" s="45">
        <v>1936966</v>
      </c>
      <c r="F221" s="45"/>
      <c r="G221" s="45">
        <v>2863314</v>
      </c>
      <c r="H221" s="45"/>
      <c r="I221" s="45">
        <v>761796</v>
      </c>
      <c r="J221" s="45"/>
      <c r="K221" s="45">
        <v>839164</v>
      </c>
      <c r="L221" s="45"/>
      <c r="M221" s="45">
        <v>245323</v>
      </c>
      <c r="N221" s="45"/>
      <c r="O221" s="45">
        <v>0</v>
      </c>
      <c r="P221" s="45"/>
      <c r="Q221" s="45">
        <v>1778827</v>
      </c>
      <c r="R221" s="45"/>
      <c r="S221" s="45">
        <f t="shared" si="20"/>
        <v>2024150</v>
      </c>
      <c r="T221" s="45"/>
      <c r="U221" s="44">
        <f t="shared" si="21"/>
        <v>0</v>
      </c>
      <c r="V221" s="44">
        <f t="shared" si="22"/>
        <v>0</v>
      </c>
    </row>
    <row r="222" spans="1:22" s="121" customFormat="1" ht="12.75" hidden="1" customHeight="1">
      <c r="A222" s="121" t="s">
        <v>251</v>
      </c>
      <c r="B222" s="124"/>
      <c r="C222" s="121" t="s">
        <v>66</v>
      </c>
      <c r="D222" s="126"/>
      <c r="E222" s="127">
        <v>0</v>
      </c>
      <c r="F222" s="127"/>
      <c r="G222" s="127">
        <v>0</v>
      </c>
      <c r="H222" s="127"/>
      <c r="I222" s="127">
        <v>0</v>
      </c>
      <c r="J222" s="127"/>
      <c r="K222" s="127">
        <v>0</v>
      </c>
      <c r="L222" s="127"/>
      <c r="M222" s="127">
        <v>0</v>
      </c>
      <c r="N222" s="127"/>
      <c r="O222" s="127">
        <v>0</v>
      </c>
      <c r="P222" s="127"/>
      <c r="Q222" s="127">
        <v>0</v>
      </c>
      <c r="R222" s="127"/>
      <c r="S222" s="127">
        <f t="shared" si="20"/>
        <v>0</v>
      </c>
      <c r="T222" s="127"/>
      <c r="U222" s="121">
        <f t="shared" si="21"/>
        <v>0</v>
      </c>
      <c r="V222" s="121">
        <f t="shared" si="22"/>
        <v>0</v>
      </c>
    </row>
    <row r="223" spans="1:22" s="44" customFormat="1" ht="12.75" customHeight="1">
      <c r="A223" s="44" t="s">
        <v>252</v>
      </c>
      <c r="B223" s="51"/>
      <c r="C223" s="44" t="s">
        <v>209</v>
      </c>
      <c r="D223" s="35"/>
      <c r="E223" s="45">
        <v>43152362</v>
      </c>
      <c r="F223" s="45"/>
      <c r="G223" s="45">
        <v>47485317</v>
      </c>
      <c r="H223" s="45"/>
      <c r="I223" s="45">
        <v>2237278</v>
      </c>
      <c r="J223" s="45"/>
      <c r="K223" s="45">
        <v>3260400</v>
      </c>
      <c r="L223" s="45"/>
      <c r="M223" s="45">
        <f>260270+96535</f>
        <v>356805</v>
      </c>
      <c r="N223" s="45"/>
      <c r="O223" s="45">
        <v>0</v>
      </c>
      <c r="P223" s="45"/>
      <c r="Q223" s="45">
        <v>43868112</v>
      </c>
      <c r="R223" s="45"/>
      <c r="S223" s="45">
        <f t="shared" si="20"/>
        <v>44224917</v>
      </c>
      <c r="T223" s="45"/>
      <c r="U223" s="44">
        <f t="shared" si="21"/>
        <v>0</v>
      </c>
      <c r="V223" s="44">
        <f t="shared" si="22"/>
        <v>0</v>
      </c>
    </row>
    <row r="224" spans="1:22" s="44" customFormat="1" ht="12.75" customHeight="1">
      <c r="A224" s="44" t="s">
        <v>253</v>
      </c>
      <c r="B224" s="51"/>
      <c r="C224" s="44" t="s">
        <v>13</v>
      </c>
      <c r="D224" s="35"/>
      <c r="E224" s="45">
        <f>11239300+20144</f>
        <v>11259444</v>
      </c>
      <c r="F224" s="45"/>
      <c r="G224" s="45">
        <v>16269262</v>
      </c>
      <c r="H224" s="45"/>
      <c r="I224" s="45">
        <v>1516789</v>
      </c>
      <c r="J224" s="45"/>
      <c r="K224" s="45">
        <v>2326259</v>
      </c>
      <c r="L224" s="45"/>
      <c r="M224" s="45">
        <f>393120+341170+20143</f>
        <v>754433</v>
      </c>
      <c r="N224" s="45"/>
      <c r="O224" s="45">
        <v>0</v>
      </c>
      <c r="P224" s="45"/>
      <c r="Q224" s="45">
        <v>13188570</v>
      </c>
      <c r="R224" s="45"/>
      <c r="S224" s="45">
        <f>+Q224+O224+M224</f>
        <v>13943003</v>
      </c>
      <c r="T224" s="45"/>
      <c r="U224" s="44">
        <f t="shared" si="21"/>
        <v>0</v>
      </c>
      <c r="V224" s="44">
        <f t="shared" si="22"/>
        <v>0</v>
      </c>
    </row>
    <row r="225" spans="1:22" s="44" customFormat="1" ht="12.75" customHeight="1">
      <c r="A225" s="44" t="s">
        <v>254</v>
      </c>
      <c r="B225" s="51"/>
      <c r="C225" s="44" t="s">
        <v>89</v>
      </c>
      <c r="D225" s="35"/>
      <c r="E225" s="45">
        <v>499518</v>
      </c>
      <c r="F225" s="45"/>
      <c r="G225" s="45">
        <v>1214781</v>
      </c>
      <c r="H225" s="45"/>
      <c r="I225" s="45">
        <v>489564</v>
      </c>
      <c r="J225" s="45"/>
      <c r="K225" s="45">
        <v>530144</v>
      </c>
      <c r="L225" s="45"/>
      <c r="M225" s="45">
        <v>0</v>
      </c>
      <c r="N225" s="45"/>
      <c r="O225" s="45">
        <v>0</v>
      </c>
      <c r="P225" s="45"/>
      <c r="Q225" s="45">
        <v>684637</v>
      </c>
      <c r="R225" s="45"/>
      <c r="S225" s="45">
        <f t="shared" si="20"/>
        <v>684637</v>
      </c>
      <c r="T225" s="45"/>
      <c r="U225" s="44">
        <f t="shared" si="21"/>
        <v>0</v>
      </c>
      <c r="V225" s="44">
        <f t="shared" si="22"/>
        <v>0</v>
      </c>
    </row>
    <row r="226" spans="1:22" s="44" customFormat="1" ht="12.75" customHeight="1">
      <c r="A226" s="44" t="s">
        <v>159</v>
      </c>
      <c r="C226" s="44" t="s">
        <v>66</v>
      </c>
      <c r="D226" s="35"/>
      <c r="E226" s="45">
        <v>436679</v>
      </c>
      <c r="F226" s="45"/>
      <c r="G226" s="45">
        <v>995913</v>
      </c>
      <c r="H226" s="45"/>
      <c r="I226" s="45">
        <v>459969</v>
      </c>
      <c r="J226" s="45"/>
      <c r="K226" s="45">
        <v>469995</v>
      </c>
      <c r="L226" s="45"/>
      <c r="M226" s="45">
        <f>27746+2835</f>
        <v>30581</v>
      </c>
      <c r="N226" s="45"/>
      <c r="O226" s="45">
        <v>0</v>
      </c>
      <c r="P226" s="45"/>
      <c r="Q226" s="45">
        <v>495337</v>
      </c>
      <c r="R226" s="45"/>
      <c r="S226" s="45">
        <f>+Q226+O226+M226</f>
        <v>525918</v>
      </c>
      <c r="T226" s="45"/>
      <c r="U226" s="44">
        <f t="shared" si="21"/>
        <v>0</v>
      </c>
      <c r="V226" s="44">
        <f>+G226-K226-S226</f>
        <v>0</v>
      </c>
    </row>
    <row r="227" spans="1:22" s="44" customFormat="1" ht="12.75" customHeight="1">
      <c r="A227" s="44" t="s">
        <v>255</v>
      </c>
      <c r="B227" s="51"/>
      <c r="C227" s="44" t="s">
        <v>27</v>
      </c>
      <c r="D227" s="35"/>
      <c r="E227" s="45">
        <v>912053</v>
      </c>
      <c r="F227" s="45"/>
      <c r="G227" s="45">
        <v>7584097</v>
      </c>
      <c r="H227" s="45"/>
      <c r="I227" s="45">
        <v>4953200</v>
      </c>
      <c r="J227" s="45"/>
      <c r="K227" s="45">
        <v>5478467</v>
      </c>
      <c r="L227" s="45"/>
      <c r="M227" s="45">
        <f>109126+44575+44656</f>
        <v>198357</v>
      </c>
      <c r="N227" s="45"/>
      <c r="O227" s="45">
        <v>0</v>
      </c>
      <c r="P227" s="45"/>
      <c r="Q227" s="45">
        <v>1907273</v>
      </c>
      <c r="R227" s="45"/>
      <c r="S227" s="45">
        <f t="shared" si="20"/>
        <v>2105630</v>
      </c>
      <c r="T227" s="45"/>
      <c r="U227" s="44">
        <f t="shared" si="21"/>
        <v>0</v>
      </c>
      <c r="V227" s="44">
        <f t="shared" si="22"/>
        <v>0</v>
      </c>
    </row>
    <row r="228" spans="1:22" s="44" customFormat="1" ht="12.75" customHeight="1">
      <c r="A228" s="44" t="s">
        <v>256</v>
      </c>
      <c r="C228" s="44" t="s">
        <v>43</v>
      </c>
      <c r="D228" s="35"/>
      <c r="E228" s="45">
        <v>24756025</v>
      </c>
      <c r="F228" s="45"/>
      <c r="G228" s="45">
        <v>42582794</v>
      </c>
      <c r="H228" s="45"/>
      <c r="I228" s="45">
        <v>12891816</v>
      </c>
      <c r="J228" s="45"/>
      <c r="K228" s="45">
        <v>14507844</v>
      </c>
      <c r="L228" s="45"/>
      <c r="M228" s="45">
        <f>1048332+91414+677093</f>
        <v>1816839</v>
      </c>
      <c r="N228" s="45"/>
      <c r="O228" s="45">
        <f>8015260+322173</f>
        <v>8337433</v>
      </c>
      <c r="P228" s="45"/>
      <c r="Q228" s="45">
        <v>17920678</v>
      </c>
      <c r="R228" s="45"/>
      <c r="S228" s="45">
        <f>+Q228+O228+M228</f>
        <v>28074950</v>
      </c>
      <c r="T228" s="45"/>
      <c r="U228" s="44">
        <f t="shared" si="21"/>
        <v>0</v>
      </c>
      <c r="V228" s="44">
        <f>+G228-K228-S228</f>
        <v>0</v>
      </c>
    </row>
    <row r="229" spans="1:22" s="44" customFormat="1" ht="12.75" customHeight="1">
      <c r="A229" s="44" t="s">
        <v>257</v>
      </c>
      <c r="B229" s="51"/>
      <c r="C229" s="44" t="s">
        <v>258</v>
      </c>
      <c r="D229" s="35"/>
      <c r="E229" s="45">
        <v>55169</v>
      </c>
      <c r="F229" s="45"/>
      <c r="G229" s="45">
        <v>1541419</v>
      </c>
      <c r="H229" s="45"/>
      <c r="I229" s="45">
        <v>898706</v>
      </c>
      <c r="J229" s="45"/>
      <c r="K229" s="45">
        <v>1122755</v>
      </c>
      <c r="L229" s="45"/>
      <c r="M229" s="45">
        <v>2924</v>
      </c>
      <c r="N229" s="45"/>
      <c r="O229" s="45">
        <v>0</v>
      </c>
      <c r="P229" s="45"/>
      <c r="Q229" s="45">
        <v>415740</v>
      </c>
      <c r="R229" s="45"/>
      <c r="S229" s="45">
        <f>+Q229+O229+M229</f>
        <v>418664</v>
      </c>
      <c r="T229" s="45"/>
      <c r="U229" s="44">
        <f t="shared" si="21"/>
        <v>0</v>
      </c>
      <c r="V229" s="44">
        <f>+G229-K229-S229</f>
        <v>0</v>
      </c>
    </row>
    <row r="230" spans="1:22" s="44" customFormat="1" ht="12.75" customHeight="1">
      <c r="A230" s="44" t="s">
        <v>259</v>
      </c>
      <c r="B230" s="51"/>
      <c r="C230" s="44" t="s">
        <v>260</v>
      </c>
      <c r="D230" s="35"/>
      <c r="E230" s="45">
        <v>407993</v>
      </c>
      <c r="F230" s="45"/>
      <c r="G230" s="45">
        <v>2458358</v>
      </c>
      <c r="H230" s="45"/>
      <c r="I230" s="45">
        <v>1175026</v>
      </c>
      <c r="J230" s="45"/>
      <c r="K230" s="45">
        <v>1653321</v>
      </c>
      <c r="L230" s="45"/>
      <c r="M230" s="45">
        <f>26894+8225+141460+21144</f>
        <v>197723</v>
      </c>
      <c r="N230" s="45"/>
      <c r="O230" s="45">
        <v>0</v>
      </c>
      <c r="P230" s="45"/>
      <c r="Q230" s="45">
        <v>607314</v>
      </c>
      <c r="R230" s="45"/>
      <c r="S230" s="45">
        <f t="shared" si="20"/>
        <v>805037</v>
      </c>
      <c r="T230" s="45"/>
      <c r="U230" s="44">
        <f t="shared" si="21"/>
        <v>0</v>
      </c>
      <c r="V230" s="44">
        <f t="shared" si="22"/>
        <v>0</v>
      </c>
    </row>
    <row r="231" spans="1:22" s="44" customFormat="1" ht="12.75" customHeight="1">
      <c r="A231" s="44" t="s">
        <v>261</v>
      </c>
      <c r="B231" s="51"/>
      <c r="C231" s="44" t="s">
        <v>66</v>
      </c>
      <c r="D231" s="35"/>
      <c r="E231" s="45">
        <v>13476075</v>
      </c>
      <c r="F231" s="45"/>
      <c r="G231" s="45">
        <v>18116305</v>
      </c>
      <c r="H231" s="45"/>
      <c r="I231" s="45">
        <v>3193361</v>
      </c>
      <c r="J231" s="45"/>
      <c r="K231" s="45">
        <v>5974243</v>
      </c>
      <c r="L231" s="45"/>
      <c r="M231" s="45">
        <f>917419+5428+37293</f>
        <v>960140</v>
      </c>
      <c r="N231" s="45"/>
      <c r="O231" s="45">
        <v>915000</v>
      </c>
      <c r="P231" s="45"/>
      <c r="Q231" s="45">
        <v>10266922</v>
      </c>
      <c r="R231" s="45"/>
      <c r="S231" s="45">
        <f t="shared" si="20"/>
        <v>12142062</v>
      </c>
      <c r="T231" s="45"/>
      <c r="U231" s="44">
        <f t="shared" si="21"/>
        <v>0</v>
      </c>
      <c r="V231" s="44">
        <f t="shared" si="22"/>
        <v>0</v>
      </c>
    </row>
    <row r="232" spans="1:22" s="121" customFormat="1" ht="12.75" hidden="1" customHeight="1">
      <c r="A232" s="121" t="s">
        <v>262</v>
      </c>
      <c r="B232" s="124"/>
      <c r="C232" s="121" t="s">
        <v>132</v>
      </c>
      <c r="D232" s="126"/>
      <c r="E232" s="127">
        <v>0</v>
      </c>
      <c r="F232" s="127"/>
      <c r="G232" s="127">
        <v>0</v>
      </c>
      <c r="H232" s="127"/>
      <c r="I232" s="127">
        <v>0</v>
      </c>
      <c r="J232" s="127"/>
      <c r="K232" s="127">
        <v>0</v>
      </c>
      <c r="L232" s="127"/>
      <c r="M232" s="127">
        <v>0</v>
      </c>
      <c r="N232" s="127"/>
      <c r="O232" s="127">
        <v>0</v>
      </c>
      <c r="P232" s="127"/>
      <c r="Q232" s="127">
        <v>0</v>
      </c>
      <c r="R232" s="127"/>
      <c r="S232" s="127">
        <f t="shared" si="20"/>
        <v>0</v>
      </c>
      <c r="T232" s="127"/>
      <c r="U232" s="121">
        <f t="shared" si="21"/>
        <v>0</v>
      </c>
      <c r="V232" s="121">
        <f t="shared" si="22"/>
        <v>0</v>
      </c>
    </row>
    <row r="233" spans="1:22" s="44" customFormat="1" ht="12.75" customHeight="1">
      <c r="A233" s="44" t="s">
        <v>263</v>
      </c>
      <c r="B233" s="51"/>
      <c r="C233" s="44" t="s">
        <v>53</v>
      </c>
      <c r="D233" s="35"/>
      <c r="E233" s="45">
        <f>5011236+4967</f>
        <v>5016203</v>
      </c>
      <c r="F233" s="45"/>
      <c r="G233" s="45">
        <v>7093548</v>
      </c>
      <c r="H233" s="45"/>
      <c r="I233" s="45">
        <v>575226</v>
      </c>
      <c r="J233" s="45"/>
      <c r="K233" s="45">
        <v>2137742</v>
      </c>
      <c r="L233" s="45"/>
      <c r="M233" s="45">
        <f>465188+49290+96988</f>
        <v>611466</v>
      </c>
      <c r="N233" s="45"/>
      <c r="O233" s="45">
        <v>0</v>
      </c>
      <c r="P233" s="45"/>
      <c r="Q233" s="45">
        <v>4344340</v>
      </c>
      <c r="R233" s="45"/>
      <c r="S233" s="45">
        <f t="shared" si="20"/>
        <v>4955806</v>
      </c>
      <c r="T233" s="45"/>
      <c r="U233" s="44">
        <f t="shared" si="21"/>
        <v>0</v>
      </c>
      <c r="V233" s="44">
        <f t="shared" si="22"/>
        <v>0</v>
      </c>
    </row>
    <row r="234" spans="1:22" s="46" customFormat="1" ht="12.75" customHeight="1">
      <c r="A234" s="44" t="s">
        <v>264</v>
      </c>
      <c r="B234" s="51"/>
      <c r="C234" s="44" t="s">
        <v>239</v>
      </c>
      <c r="D234" s="35"/>
      <c r="E234" s="45">
        <v>2192888</v>
      </c>
      <c r="F234" s="45"/>
      <c r="G234" s="45">
        <v>3811234</v>
      </c>
      <c r="H234" s="45"/>
      <c r="I234" s="45">
        <v>1295539</v>
      </c>
      <c r="J234" s="45"/>
      <c r="K234" s="45">
        <v>1611455</v>
      </c>
      <c r="L234" s="45"/>
      <c r="M234" s="45">
        <f>5263+117368</f>
        <v>122631</v>
      </c>
      <c r="N234" s="45"/>
      <c r="O234" s="45">
        <v>0</v>
      </c>
      <c r="P234" s="45"/>
      <c r="Q234" s="45">
        <v>2077148</v>
      </c>
      <c r="R234" s="45"/>
      <c r="S234" s="45">
        <f t="shared" si="20"/>
        <v>2199779</v>
      </c>
      <c r="T234" s="45"/>
      <c r="U234" s="44">
        <f t="shared" si="21"/>
        <v>0</v>
      </c>
      <c r="V234" s="44">
        <f t="shared" si="22"/>
        <v>0</v>
      </c>
    </row>
    <row r="235" spans="1:22" s="44" customFormat="1" ht="12.75" customHeight="1">
      <c r="A235" s="44" t="s">
        <v>111</v>
      </c>
      <c r="B235" s="51"/>
      <c r="C235" s="44" t="s">
        <v>80</v>
      </c>
      <c r="D235" s="35"/>
      <c r="E235" s="45">
        <v>869956</v>
      </c>
      <c r="F235" s="45"/>
      <c r="G235" s="45">
        <v>7851409</v>
      </c>
      <c r="H235" s="45"/>
      <c r="I235" s="45">
        <v>2630229</v>
      </c>
      <c r="J235" s="45"/>
      <c r="K235" s="45">
        <v>3276397</v>
      </c>
      <c r="L235" s="45"/>
      <c r="M235" s="45">
        <f>313393+11497</f>
        <v>324890</v>
      </c>
      <c r="N235" s="45"/>
      <c r="O235" s="45">
        <v>0</v>
      </c>
      <c r="P235" s="45"/>
      <c r="Q235" s="45">
        <v>4250122</v>
      </c>
      <c r="R235" s="45"/>
      <c r="S235" s="45">
        <f t="shared" si="20"/>
        <v>4575012</v>
      </c>
      <c r="T235" s="45"/>
      <c r="U235" s="44">
        <f t="shared" si="21"/>
        <v>0</v>
      </c>
      <c r="V235" s="44">
        <f t="shared" si="22"/>
        <v>0</v>
      </c>
    </row>
    <row r="236" spans="1:22" s="44" customFormat="1" ht="12.75" customHeight="1">
      <c r="A236" s="44" t="s">
        <v>265</v>
      </c>
      <c r="B236" s="51"/>
      <c r="C236" s="44" t="s">
        <v>27</v>
      </c>
      <c r="D236" s="35"/>
      <c r="E236" s="45">
        <v>541153</v>
      </c>
      <c r="F236" s="45"/>
      <c r="G236" s="45">
        <v>5593268</v>
      </c>
      <c r="H236" s="45"/>
      <c r="I236" s="45">
        <v>2117038</v>
      </c>
      <c r="J236" s="45"/>
      <c r="K236" s="45">
        <v>2925359</v>
      </c>
      <c r="L236" s="45"/>
      <c r="M236" s="45">
        <v>49993</v>
      </c>
      <c r="N236" s="45"/>
      <c r="O236" s="45">
        <v>0</v>
      </c>
      <c r="P236" s="45"/>
      <c r="Q236" s="45">
        <v>2617916</v>
      </c>
      <c r="R236" s="45"/>
      <c r="S236" s="45">
        <f t="shared" si="20"/>
        <v>2667909</v>
      </c>
      <c r="T236" s="45"/>
      <c r="U236" s="44">
        <f t="shared" si="21"/>
        <v>0</v>
      </c>
      <c r="V236" s="44">
        <f t="shared" si="22"/>
        <v>0</v>
      </c>
    </row>
    <row r="237" spans="1:22" s="44" customFormat="1" ht="12.75" customHeight="1">
      <c r="A237" s="44" t="s">
        <v>40</v>
      </c>
      <c r="B237" s="51"/>
      <c r="C237" s="47" t="s">
        <v>451</v>
      </c>
      <c r="D237" s="35"/>
      <c r="E237" s="45">
        <f>774480+32682</f>
        <v>807162</v>
      </c>
      <c r="F237" s="45"/>
      <c r="G237" s="45">
        <v>2877648</v>
      </c>
      <c r="H237" s="45"/>
      <c r="I237" s="45">
        <v>1323430</v>
      </c>
      <c r="J237" s="45"/>
      <c r="K237" s="45">
        <v>1907920</v>
      </c>
      <c r="L237" s="45"/>
      <c r="M237" s="45">
        <f>28344+22826</f>
        <v>51170</v>
      </c>
      <c r="N237" s="45"/>
      <c r="O237" s="45">
        <v>0</v>
      </c>
      <c r="P237" s="45"/>
      <c r="Q237" s="45">
        <v>918558</v>
      </c>
      <c r="R237" s="45"/>
      <c r="S237" s="45">
        <f t="shared" si="20"/>
        <v>969728</v>
      </c>
      <c r="T237" s="45"/>
      <c r="U237" s="44">
        <f t="shared" si="21"/>
        <v>0</v>
      </c>
      <c r="V237" s="44">
        <f t="shared" si="22"/>
        <v>0</v>
      </c>
    </row>
    <row r="238" spans="1:22" s="46" customFormat="1" ht="12.75" customHeight="1">
      <c r="A238" s="44" t="s">
        <v>266</v>
      </c>
      <c r="B238" s="44"/>
      <c r="C238" s="44" t="s">
        <v>267</v>
      </c>
      <c r="D238" s="35"/>
      <c r="E238" s="45">
        <f>59919+41277</f>
        <v>101196</v>
      </c>
      <c r="F238" s="45"/>
      <c r="G238" s="45">
        <v>1065412</v>
      </c>
      <c r="H238" s="45"/>
      <c r="I238" s="45">
        <v>425211</v>
      </c>
      <c r="J238" s="45"/>
      <c r="K238" s="45">
        <v>642130</v>
      </c>
      <c r="L238" s="45"/>
      <c r="M238" s="45">
        <v>78301</v>
      </c>
      <c r="N238" s="45"/>
      <c r="O238" s="45">
        <v>0</v>
      </c>
      <c r="P238" s="45"/>
      <c r="Q238" s="45">
        <v>344981</v>
      </c>
      <c r="R238" s="45"/>
      <c r="S238" s="45">
        <f t="shared" si="20"/>
        <v>423282</v>
      </c>
      <c r="T238" s="45"/>
      <c r="U238" s="44">
        <f t="shared" si="21"/>
        <v>0</v>
      </c>
      <c r="V238" s="44">
        <f t="shared" si="22"/>
        <v>0</v>
      </c>
    </row>
    <row r="239" spans="1:22" s="44" customFormat="1" ht="12.75" customHeight="1">
      <c r="A239" s="44" t="s">
        <v>268</v>
      </c>
      <c r="B239" s="51"/>
      <c r="C239" s="44" t="s">
        <v>269</v>
      </c>
      <c r="D239" s="35"/>
      <c r="E239" s="45">
        <v>800330</v>
      </c>
      <c r="F239" s="45"/>
      <c r="G239" s="45">
        <v>1509472</v>
      </c>
      <c r="H239" s="45"/>
      <c r="I239" s="45">
        <v>360676</v>
      </c>
      <c r="J239" s="45"/>
      <c r="K239" s="45">
        <v>398721</v>
      </c>
      <c r="L239" s="45"/>
      <c r="M239" s="45">
        <v>43665</v>
      </c>
      <c r="N239" s="45"/>
      <c r="O239" s="45">
        <v>0</v>
      </c>
      <c r="P239" s="45"/>
      <c r="Q239" s="45">
        <v>1067086</v>
      </c>
      <c r="R239" s="45"/>
      <c r="S239" s="45">
        <f t="shared" si="20"/>
        <v>1110751</v>
      </c>
      <c r="T239" s="45"/>
      <c r="U239" s="44">
        <f t="shared" si="21"/>
        <v>0</v>
      </c>
      <c r="V239" s="44">
        <f t="shared" si="22"/>
        <v>0</v>
      </c>
    </row>
    <row r="240" spans="1:22" s="44" customFormat="1" ht="12.75" customHeight="1">
      <c r="A240" s="44" t="s">
        <v>270</v>
      </c>
      <c r="B240" s="51"/>
      <c r="C240" s="44" t="s">
        <v>136</v>
      </c>
      <c r="D240" s="35"/>
      <c r="E240" s="45">
        <v>0</v>
      </c>
      <c r="F240" s="45"/>
      <c r="G240" s="45">
        <v>1811123</v>
      </c>
      <c r="H240" s="45"/>
      <c r="I240" s="45">
        <v>281813</v>
      </c>
      <c r="J240" s="45"/>
      <c r="K240" s="45">
        <v>1988071</v>
      </c>
      <c r="L240" s="45"/>
      <c r="M240" s="45">
        <v>0</v>
      </c>
      <c r="N240" s="45"/>
      <c r="O240" s="45">
        <v>0</v>
      </c>
      <c r="P240" s="45"/>
      <c r="Q240" s="45">
        <v>-176948</v>
      </c>
      <c r="R240" s="45"/>
      <c r="S240" s="45">
        <f>+Q240+O240+M240</f>
        <v>-176948</v>
      </c>
      <c r="T240" s="45"/>
      <c r="U240" s="44">
        <f t="shared" si="21"/>
        <v>0</v>
      </c>
      <c r="V240" s="44">
        <f>+G240-K240-S240</f>
        <v>0</v>
      </c>
    </row>
    <row r="241" spans="1:22" s="44" customFormat="1" ht="12.75" customHeight="1">
      <c r="A241" s="44" t="s">
        <v>271</v>
      </c>
      <c r="B241" s="51"/>
      <c r="C241" s="44" t="s">
        <v>66</v>
      </c>
      <c r="D241" s="35"/>
      <c r="E241" s="45">
        <v>2071482</v>
      </c>
      <c r="F241" s="45"/>
      <c r="G241" s="45">
        <v>4559790</v>
      </c>
      <c r="H241" s="45"/>
      <c r="I241" s="45">
        <v>1026236</v>
      </c>
      <c r="J241" s="45"/>
      <c r="K241" s="45">
        <v>2926306</v>
      </c>
      <c r="L241" s="45"/>
      <c r="M241" s="45">
        <f>68339+3598</f>
        <v>71937</v>
      </c>
      <c r="N241" s="45"/>
      <c r="O241" s="45">
        <v>0</v>
      </c>
      <c r="P241" s="45"/>
      <c r="Q241" s="45">
        <v>1561547</v>
      </c>
      <c r="R241" s="45"/>
      <c r="S241" s="45">
        <f t="shared" si="20"/>
        <v>1633484</v>
      </c>
      <c r="T241" s="45"/>
      <c r="U241" s="44">
        <f t="shared" si="21"/>
        <v>0</v>
      </c>
      <c r="V241" s="44">
        <f t="shared" si="22"/>
        <v>0</v>
      </c>
    </row>
    <row r="242" spans="1:22" s="46" customFormat="1" ht="12.75" customHeight="1">
      <c r="A242" s="44" t="s">
        <v>272</v>
      </c>
      <c r="B242" s="51"/>
      <c r="C242" s="44" t="s">
        <v>43</v>
      </c>
      <c r="D242" s="35"/>
      <c r="E242" s="45">
        <v>17929989</v>
      </c>
      <c r="F242" s="45"/>
      <c r="G242" s="45">
        <v>39938362</v>
      </c>
      <c r="H242" s="45"/>
      <c r="I242" s="45">
        <v>6406482</v>
      </c>
      <c r="J242" s="45"/>
      <c r="K242" s="45">
        <v>7551560</v>
      </c>
      <c r="L242" s="45"/>
      <c r="M242" s="45">
        <f>1167849+8085819+111550</f>
        <v>9365218</v>
      </c>
      <c r="N242" s="45"/>
      <c r="O242" s="45">
        <v>0</v>
      </c>
      <c r="P242" s="45"/>
      <c r="Q242" s="45">
        <v>23021584</v>
      </c>
      <c r="R242" s="45"/>
      <c r="S242" s="45">
        <f t="shared" si="20"/>
        <v>32386802</v>
      </c>
      <c r="T242" s="45"/>
      <c r="U242" s="44">
        <f t="shared" si="21"/>
        <v>0</v>
      </c>
      <c r="V242" s="44">
        <f t="shared" si="22"/>
        <v>0</v>
      </c>
    </row>
    <row r="243" spans="1:22" s="44" customFormat="1" ht="12.75" customHeight="1">
      <c r="A243" s="44" t="s">
        <v>273</v>
      </c>
      <c r="B243" s="51"/>
      <c r="C243" s="44" t="s">
        <v>27</v>
      </c>
      <c r="D243" s="35"/>
      <c r="E243" s="45">
        <v>24276345</v>
      </c>
      <c r="F243" s="45"/>
      <c r="G243" s="45">
        <v>42148393</v>
      </c>
      <c r="H243" s="45"/>
      <c r="I243" s="45">
        <v>11953882</v>
      </c>
      <c r="J243" s="45"/>
      <c r="K243" s="45">
        <v>13142109</v>
      </c>
      <c r="L243" s="45"/>
      <c r="M243" s="45">
        <f>1818892+653893</f>
        <v>2472785</v>
      </c>
      <c r="N243" s="45"/>
      <c r="O243" s="45">
        <v>12135035</v>
      </c>
      <c r="P243" s="45"/>
      <c r="Q243" s="45">
        <v>14398464</v>
      </c>
      <c r="R243" s="45"/>
      <c r="S243" s="45">
        <f t="shared" si="20"/>
        <v>29006284</v>
      </c>
      <c r="T243" s="45"/>
      <c r="U243" s="44">
        <f t="shared" si="21"/>
        <v>0</v>
      </c>
      <c r="V243" s="44">
        <f t="shared" si="22"/>
        <v>0</v>
      </c>
    </row>
    <row r="244" spans="1:22" s="44" customFormat="1" ht="12.75" customHeight="1">
      <c r="A244" s="44" t="s">
        <v>274</v>
      </c>
      <c r="B244" s="51"/>
      <c r="C244" s="44" t="s">
        <v>43</v>
      </c>
      <c r="D244" s="35"/>
      <c r="E244" s="45">
        <v>4222961</v>
      </c>
      <c r="F244" s="45"/>
      <c r="G244" s="45">
        <v>8077479</v>
      </c>
      <c r="H244" s="45"/>
      <c r="I244" s="45">
        <v>1487511</v>
      </c>
      <c r="J244" s="45"/>
      <c r="K244" s="45">
        <v>3669839</v>
      </c>
      <c r="L244" s="45"/>
      <c r="M244" s="45">
        <f>339099+97636+28999</f>
        <v>465734</v>
      </c>
      <c r="N244" s="45"/>
      <c r="O244" s="45">
        <v>958518</v>
      </c>
      <c r="P244" s="45"/>
      <c r="Q244" s="45">
        <v>2983388</v>
      </c>
      <c r="R244" s="45"/>
      <c r="S244" s="45">
        <f t="shared" si="20"/>
        <v>4407640</v>
      </c>
      <c r="T244" s="45"/>
      <c r="U244" s="44">
        <f t="shared" si="21"/>
        <v>0</v>
      </c>
      <c r="V244" s="44">
        <f t="shared" si="22"/>
        <v>0</v>
      </c>
    </row>
    <row r="245" spans="1:22" s="44" customFormat="1" ht="12.75" customHeight="1">
      <c r="A245" s="44" t="s">
        <v>275</v>
      </c>
      <c r="B245" s="51"/>
      <c r="C245" s="44" t="s">
        <v>92</v>
      </c>
      <c r="D245" s="35"/>
      <c r="E245" s="45">
        <f>6527954+92833</f>
        <v>6620787</v>
      </c>
      <c r="F245" s="45"/>
      <c r="G245" s="45">
        <v>10340058</v>
      </c>
      <c r="H245" s="45"/>
      <c r="I245" s="45">
        <v>2334132</v>
      </c>
      <c r="J245" s="45"/>
      <c r="K245" s="45">
        <v>3128245</v>
      </c>
      <c r="L245" s="45"/>
      <c r="M245" s="45">
        <f>9398+16820+71716</f>
        <v>97934</v>
      </c>
      <c r="N245" s="45"/>
      <c r="O245" s="45">
        <v>0</v>
      </c>
      <c r="P245" s="45"/>
      <c r="Q245" s="45">
        <v>7113879</v>
      </c>
      <c r="R245" s="45"/>
      <c r="S245" s="45">
        <f t="shared" si="20"/>
        <v>7211813</v>
      </c>
      <c r="T245" s="45"/>
      <c r="U245" s="44">
        <f t="shared" si="21"/>
        <v>0</v>
      </c>
      <c r="V245" s="44">
        <f t="shared" si="22"/>
        <v>0</v>
      </c>
    </row>
    <row r="246" spans="1:22" s="44" customFormat="1" ht="12.75" customHeight="1">
      <c r="A246" s="44" t="s">
        <v>276</v>
      </c>
      <c r="C246" s="44" t="s">
        <v>38</v>
      </c>
      <c r="D246" s="35"/>
      <c r="E246" s="45">
        <v>1506120</v>
      </c>
      <c r="F246" s="45"/>
      <c r="G246" s="45">
        <v>2236908</v>
      </c>
      <c r="H246" s="45"/>
      <c r="I246" s="45">
        <v>126002</v>
      </c>
      <c r="J246" s="45"/>
      <c r="K246" s="45">
        <v>586346</v>
      </c>
      <c r="L246" s="45"/>
      <c r="M246" s="45">
        <f>29787+8712+22228+676</f>
        <v>61403</v>
      </c>
      <c r="N246" s="45"/>
      <c r="O246" s="45">
        <v>0</v>
      </c>
      <c r="P246" s="45"/>
      <c r="Q246" s="45">
        <v>1589159</v>
      </c>
      <c r="R246" s="45"/>
      <c r="S246" s="45">
        <f t="shared" si="20"/>
        <v>1650562</v>
      </c>
      <c r="T246" s="45"/>
      <c r="U246" s="44">
        <f t="shared" si="21"/>
        <v>0</v>
      </c>
      <c r="V246" s="44">
        <f>+G246-K246-S246</f>
        <v>0</v>
      </c>
    </row>
    <row r="247" spans="1:22" s="44" customFormat="1" ht="12.75" customHeight="1">
      <c r="A247" s="44" t="s">
        <v>277</v>
      </c>
      <c r="B247" s="51"/>
      <c r="C247" s="44" t="s">
        <v>92</v>
      </c>
      <c r="D247" s="35"/>
      <c r="E247" s="45">
        <v>6784669</v>
      </c>
      <c r="F247" s="45"/>
      <c r="G247" s="45">
        <v>15842579</v>
      </c>
      <c r="H247" s="45"/>
      <c r="I247" s="45">
        <v>4124535</v>
      </c>
      <c r="J247" s="45"/>
      <c r="K247" s="45">
        <v>5648539</v>
      </c>
      <c r="L247" s="45"/>
      <c r="M247" s="45">
        <v>1483214</v>
      </c>
      <c r="N247" s="45"/>
      <c r="O247" s="45">
        <v>1675905</v>
      </c>
      <c r="P247" s="45"/>
      <c r="Q247" s="45">
        <v>7034921</v>
      </c>
      <c r="R247" s="45"/>
      <c r="S247" s="45">
        <f t="shared" si="20"/>
        <v>10194040</v>
      </c>
      <c r="T247" s="45"/>
      <c r="U247" s="44">
        <f t="shared" si="21"/>
        <v>0</v>
      </c>
      <c r="V247" s="44">
        <f t="shared" si="22"/>
        <v>0</v>
      </c>
    </row>
    <row r="248" spans="1:22" s="44" customFormat="1" ht="12.75" customHeight="1">
      <c r="A248" s="44" t="s">
        <v>278</v>
      </c>
      <c r="B248" s="51"/>
      <c r="C248" s="44" t="s">
        <v>92</v>
      </c>
      <c r="D248" s="35"/>
      <c r="E248" s="45">
        <v>807884</v>
      </c>
      <c r="F248" s="45"/>
      <c r="G248" s="45">
        <v>2789407</v>
      </c>
      <c r="H248" s="45"/>
      <c r="I248" s="45">
        <v>1507376</v>
      </c>
      <c r="J248" s="45"/>
      <c r="K248" s="45">
        <v>1858644</v>
      </c>
      <c r="L248" s="45"/>
      <c r="M248" s="45">
        <f>80495+28043</f>
        <v>108538</v>
      </c>
      <c r="N248" s="45"/>
      <c r="O248" s="45">
        <v>0</v>
      </c>
      <c r="P248" s="45"/>
      <c r="Q248" s="45">
        <v>822225</v>
      </c>
      <c r="R248" s="45"/>
      <c r="S248" s="45">
        <f t="shared" si="20"/>
        <v>930763</v>
      </c>
      <c r="T248" s="45"/>
      <c r="U248" s="44">
        <f t="shared" si="21"/>
        <v>0</v>
      </c>
      <c r="V248" s="44">
        <f t="shared" si="22"/>
        <v>0</v>
      </c>
    </row>
    <row r="249" spans="1:22" s="44" customFormat="1" ht="12.75" customHeight="1">
      <c r="A249" s="44" t="s">
        <v>279</v>
      </c>
      <c r="C249" s="44" t="s">
        <v>92</v>
      </c>
      <c r="D249" s="35"/>
      <c r="E249" s="45">
        <v>1386643</v>
      </c>
      <c r="F249" s="45"/>
      <c r="G249" s="45">
        <v>6179431</v>
      </c>
      <c r="H249" s="45"/>
      <c r="I249" s="45">
        <v>4082839</v>
      </c>
      <c r="J249" s="45"/>
      <c r="K249" s="45">
        <v>4641843</v>
      </c>
      <c r="L249" s="45"/>
      <c r="M249" s="45">
        <f>53455+4632</f>
        <v>58087</v>
      </c>
      <c r="N249" s="45"/>
      <c r="O249" s="45">
        <v>0</v>
      </c>
      <c r="P249" s="45"/>
      <c r="Q249" s="45">
        <v>1479501</v>
      </c>
      <c r="R249" s="45"/>
      <c r="S249" s="45">
        <f t="shared" si="20"/>
        <v>1537588</v>
      </c>
      <c r="T249" s="45"/>
      <c r="U249" s="44">
        <f t="shared" si="21"/>
        <v>0</v>
      </c>
      <c r="V249" s="44">
        <f t="shared" si="22"/>
        <v>0</v>
      </c>
    </row>
    <row r="250" spans="1:22" s="44" customFormat="1" ht="12.75" customHeight="1">
      <c r="A250" s="44" t="s">
        <v>280</v>
      </c>
      <c r="B250" s="51"/>
      <c r="C250" s="44" t="s">
        <v>281</v>
      </c>
      <c r="D250" s="35"/>
      <c r="E250" s="45">
        <v>3865936</v>
      </c>
      <c r="F250" s="45"/>
      <c r="G250" s="45">
        <v>6349249</v>
      </c>
      <c r="H250" s="45"/>
      <c r="I250" s="45">
        <v>1199621</v>
      </c>
      <c r="J250" s="45"/>
      <c r="K250" s="45">
        <v>1749172</v>
      </c>
      <c r="L250" s="45"/>
      <c r="M250" s="45">
        <v>27310</v>
      </c>
      <c r="N250" s="45"/>
      <c r="O250" s="45">
        <v>0</v>
      </c>
      <c r="P250" s="45"/>
      <c r="Q250" s="45">
        <v>4572767</v>
      </c>
      <c r="R250" s="45"/>
      <c r="S250" s="45">
        <f t="shared" si="20"/>
        <v>4600077</v>
      </c>
      <c r="T250" s="45"/>
      <c r="U250" s="44">
        <f t="shared" si="21"/>
        <v>0</v>
      </c>
      <c r="V250" s="44">
        <f t="shared" si="22"/>
        <v>0</v>
      </c>
    </row>
    <row r="251" spans="1:22" s="44" customFormat="1" ht="12.75" customHeight="1">
      <c r="A251" s="44" t="s">
        <v>282</v>
      </c>
      <c r="B251" s="51"/>
      <c r="C251" s="44" t="s">
        <v>199</v>
      </c>
      <c r="D251" s="35"/>
      <c r="E251" s="45">
        <v>8368686</v>
      </c>
      <c r="F251" s="45"/>
      <c r="G251" s="45">
        <v>15190293</v>
      </c>
      <c r="H251" s="45"/>
      <c r="I251" s="45">
        <v>3911779</v>
      </c>
      <c r="J251" s="45"/>
      <c r="K251" s="45">
        <v>5658066</v>
      </c>
      <c r="L251" s="45"/>
      <c r="M251" s="45">
        <v>2347652</v>
      </c>
      <c r="N251" s="45"/>
      <c r="O251" s="45">
        <v>0</v>
      </c>
      <c r="P251" s="45"/>
      <c r="Q251" s="45">
        <v>7184575</v>
      </c>
      <c r="R251" s="45"/>
      <c r="S251" s="45">
        <f t="shared" si="20"/>
        <v>9532227</v>
      </c>
      <c r="T251" s="45"/>
      <c r="U251" s="44">
        <f t="shared" si="21"/>
        <v>0</v>
      </c>
      <c r="V251" s="44">
        <f t="shared" si="22"/>
        <v>0</v>
      </c>
    </row>
    <row r="252" spans="1:22" s="44" customFormat="1" ht="12.75" customHeight="1">
      <c r="A252" s="44" t="s">
        <v>283</v>
      </c>
      <c r="B252" s="51"/>
      <c r="C252" s="44" t="s">
        <v>43</v>
      </c>
      <c r="D252" s="35"/>
      <c r="E252" s="45">
        <f>251923+1441428</f>
        <v>1693351</v>
      </c>
      <c r="F252" s="45"/>
      <c r="G252" s="45">
        <v>7913637</v>
      </c>
      <c r="H252" s="45"/>
      <c r="I252" s="45">
        <v>3266204</v>
      </c>
      <c r="J252" s="45"/>
      <c r="K252" s="45">
        <v>4689439</v>
      </c>
      <c r="L252" s="45"/>
      <c r="M252" s="45">
        <f>115111+31242</f>
        <v>146353</v>
      </c>
      <c r="N252" s="45"/>
      <c r="O252" s="45">
        <v>0</v>
      </c>
      <c r="P252" s="45"/>
      <c r="Q252" s="45">
        <v>3077845</v>
      </c>
      <c r="R252" s="45"/>
      <c r="S252" s="45">
        <f t="shared" si="20"/>
        <v>3224198</v>
      </c>
      <c r="T252" s="45"/>
      <c r="U252" s="44">
        <f t="shared" si="21"/>
        <v>0</v>
      </c>
      <c r="V252" s="44">
        <f t="shared" si="22"/>
        <v>0</v>
      </c>
    </row>
    <row r="253" spans="1:22" s="44" customFormat="1" ht="12.75" customHeight="1">
      <c r="A253" s="44" t="s">
        <v>284</v>
      </c>
      <c r="B253" s="51"/>
      <c r="C253" s="44" t="s">
        <v>45</v>
      </c>
      <c r="D253" s="35"/>
      <c r="E253" s="45">
        <v>2022090</v>
      </c>
      <c r="F253" s="45"/>
      <c r="G253" s="45">
        <v>6586959</v>
      </c>
      <c r="H253" s="45"/>
      <c r="I253" s="45">
        <v>3848287</v>
      </c>
      <c r="J253" s="45"/>
      <c r="K253" s="45">
        <v>4365742</v>
      </c>
      <c r="L253" s="45"/>
      <c r="M253" s="45">
        <f>307280+11395</f>
        <v>318675</v>
      </c>
      <c r="N253" s="45"/>
      <c r="O253" s="45">
        <v>0</v>
      </c>
      <c r="P253" s="45"/>
      <c r="Q253" s="45">
        <v>1902542</v>
      </c>
      <c r="R253" s="45"/>
      <c r="S253" s="45">
        <f t="shared" si="20"/>
        <v>2221217</v>
      </c>
      <c r="T253" s="45"/>
      <c r="U253" s="44">
        <f t="shared" si="21"/>
        <v>0</v>
      </c>
      <c r="V253" s="44">
        <f t="shared" si="22"/>
        <v>0</v>
      </c>
    </row>
    <row r="254" spans="1:22" s="44" customFormat="1" ht="12.75" customHeight="1">
      <c r="A254" s="44" t="s">
        <v>285</v>
      </c>
      <c r="B254" s="51"/>
      <c r="C254" s="44" t="s">
        <v>30</v>
      </c>
      <c r="D254" s="35"/>
      <c r="E254" s="45">
        <f>312974+48192</f>
        <v>361166</v>
      </c>
      <c r="F254" s="45"/>
      <c r="G254" s="45">
        <v>4284361</v>
      </c>
      <c r="H254" s="45"/>
      <c r="I254" s="45">
        <v>2110758</v>
      </c>
      <c r="J254" s="45"/>
      <c r="K254" s="45">
        <v>2241529</v>
      </c>
      <c r="L254" s="45"/>
      <c r="M254" s="45">
        <f>103742+12303+51326</f>
        <v>167371</v>
      </c>
      <c r="N254" s="45"/>
      <c r="O254" s="45">
        <v>0</v>
      </c>
      <c r="P254" s="45"/>
      <c r="Q254" s="45">
        <v>1875461</v>
      </c>
      <c r="R254" s="45"/>
      <c r="S254" s="45">
        <f t="shared" si="20"/>
        <v>2042832</v>
      </c>
      <c r="T254" s="45"/>
      <c r="U254" s="44">
        <f t="shared" si="21"/>
        <v>0</v>
      </c>
      <c r="V254" s="44">
        <f t="shared" si="22"/>
        <v>0</v>
      </c>
    </row>
    <row r="255" spans="1:22" s="121" customFormat="1" ht="12.75" hidden="1" customHeight="1">
      <c r="A255" s="121" t="s">
        <v>286</v>
      </c>
      <c r="B255" s="124"/>
      <c r="C255" s="121" t="s">
        <v>61</v>
      </c>
      <c r="D255" s="126"/>
      <c r="E255" s="127">
        <v>0</v>
      </c>
      <c r="F255" s="127"/>
      <c r="G255" s="127">
        <v>0</v>
      </c>
      <c r="H255" s="127"/>
      <c r="I255" s="127">
        <v>0</v>
      </c>
      <c r="J255" s="127"/>
      <c r="K255" s="127">
        <v>0</v>
      </c>
      <c r="L255" s="127"/>
      <c r="M255" s="127">
        <v>0</v>
      </c>
      <c r="N255" s="127"/>
      <c r="O255" s="127">
        <v>0</v>
      </c>
      <c r="P255" s="127"/>
      <c r="Q255" s="127">
        <v>0</v>
      </c>
      <c r="R255" s="127"/>
      <c r="S255" s="127">
        <f t="shared" si="20"/>
        <v>0</v>
      </c>
      <c r="T255" s="127"/>
      <c r="U255" s="121">
        <f t="shared" si="21"/>
        <v>0</v>
      </c>
      <c r="V255" s="121">
        <f t="shared" si="22"/>
        <v>0</v>
      </c>
    </row>
    <row r="256" spans="1:22" s="44" customFormat="1" ht="12.75" customHeight="1">
      <c r="A256" s="44" t="s">
        <v>287</v>
      </c>
      <c r="C256" s="44" t="s">
        <v>288</v>
      </c>
      <c r="D256" s="35"/>
      <c r="E256" s="45">
        <f>2180836+7787</f>
        <v>2188623</v>
      </c>
      <c r="F256" s="45"/>
      <c r="G256" s="45">
        <v>7000886</v>
      </c>
      <c r="H256" s="45"/>
      <c r="I256" s="45">
        <v>3086168</v>
      </c>
      <c r="J256" s="45"/>
      <c r="K256" s="45">
        <v>3492334</v>
      </c>
      <c r="L256" s="45"/>
      <c r="M256" s="45">
        <f>33839+9651</f>
        <v>43490</v>
      </c>
      <c r="N256" s="45"/>
      <c r="O256" s="45">
        <v>0</v>
      </c>
      <c r="P256" s="45"/>
      <c r="Q256" s="45">
        <v>3465062</v>
      </c>
      <c r="R256" s="45"/>
      <c r="S256" s="45">
        <f t="shared" si="20"/>
        <v>3508552</v>
      </c>
      <c r="T256" s="45"/>
      <c r="U256" s="44">
        <f t="shared" si="21"/>
        <v>0</v>
      </c>
      <c r="V256" s="44">
        <f t="shared" si="22"/>
        <v>0</v>
      </c>
    </row>
    <row r="257" spans="2:2" s="44" customFormat="1" ht="12.75" customHeight="1">
      <c r="B257" s="51"/>
    </row>
    <row r="258" spans="2:2" s="44" customFormat="1" ht="12.75" customHeight="1">
      <c r="B258" s="51"/>
    </row>
    <row r="259" spans="2:2" s="44" customFormat="1" ht="12.75" customHeight="1">
      <c r="B259" s="51"/>
    </row>
    <row r="260" spans="2:2" s="44" customFormat="1" ht="12.75" customHeight="1">
      <c r="B260" s="51"/>
    </row>
    <row r="261" spans="2:2" s="44" customFormat="1" ht="12.75" customHeight="1">
      <c r="B261" s="51"/>
    </row>
    <row r="262" spans="2:2" s="44" customFormat="1" ht="12.75" customHeight="1">
      <c r="B262" s="51"/>
    </row>
    <row r="263" spans="2:2" s="44" customFormat="1" ht="12.75" customHeight="1">
      <c r="B263" s="51"/>
    </row>
    <row r="264" spans="2:2" s="44" customFormat="1" ht="12.75" customHeight="1">
      <c r="B264" s="51"/>
    </row>
    <row r="265" spans="2:2" s="44" customFormat="1" ht="12.75" customHeight="1">
      <c r="B265" s="51"/>
    </row>
    <row r="266" spans="2:2" s="44" customFormat="1" ht="12.75" customHeight="1">
      <c r="B266" s="51"/>
    </row>
    <row r="267" spans="2:2" s="44" customFormat="1" ht="12.75" customHeight="1">
      <c r="B267" s="51"/>
    </row>
    <row r="268" spans="2:2" s="44" customFormat="1" ht="12.75" customHeight="1">
      <c r="B268" s="51"/>
    </row>
    <row r="269" spans="2:2" s="44" customFormat="1" ht="12.75" customHeight="1">
      <c r="B269" s="51"/>
    </row>
    <row r="270" spans="2:2" s="44" customFormat="1" ht="12.75" customHeight="1">
      <c r="B270" s="51"/>
    </row>
    <row r="271" spans="2:2" s="44" customFormat="1" ht="12.75" customHeight="1">
      <c r="B271" s="51"/>
    </row>
    <row r="272" spans="2:2" s="44" customFormat="1" ht="12.75" customHeight="1">
      <c r="B272" s="51"/>
    </row>
    <row r="273" spans="2:2" s="44" customFormat="1" ht="12.75" customHeight="1">
      <c r="B273" s="51"/>
    </row>
    <row r="274" spans="2:2" s="44" customFormat="1" ht="12.75" customHeight="1">
      <c r="B274" s="51"/>
    </row>
    <row r="275" spans="2:2" s="44" customFormat="1" ht="12.75" customHeight="1">
      <c r="B275" s="51"/>
    </row>
    <row r="276" spans="2:2" s="44" customFormat="1" ht="12.75" customHeight="1">
      <c r="B276" s="51"/>
    </row>
    <row r="277" spans="2:2" s="44" customFormat="1" ht="12.75" customHeight="1">
      <c r="B277" s="51"/>
    </row>
    <row r="278" spans="2:2" s="44" customFormat="1" ht="12.75" customHeight="1">
      <c r="B278" s="51"/>
    </row>
    <row r="279" spans="2:2" s="44" customFormat="1" ht="12.75" customHeight="1">
      <c r="B279" s="51"/>
    </row>
    <row r="280" spans="2:2" s="44" customFormat="1" ht="12.75" customHeight="1">
      <c r="B280" s="51"/>
    </row>
    <row r="281" spans="2:2" s="44" customFormat="1" ht="12.75" customHeight="1">
      <c r="B281" s="51"/>
    </row>
    <row r="282" spans="2:2" s="44" customFormat="1" ht="12.75" customHeight="1">
      <c r="B282" s="51"/>
    </row>
    <row r="283" spans="2:2" s="44" customFormat="1" ht="12.75" customHeight="1">
      <c r="B283" s="51"/>
    </row>
    <row r="284" spans="2:2" s="44" customFormat="1" ht="12.75" customHeight="1">
      <c r="B284" s="51"/>
    </row>
    <row r="285" spans="2:2" s="44" customFormat="1" ht="12.75" customHeight="1">
      <c r="B285" s="51"/>
    </row>
    <row r="286" spans="2:2" s="44" customFormat="1" ht="12.75" customHeight="1">
      <c r="B286" s="51"/>
    </row>
    <row r="287" spans="2:2" s="44" customFormat="1" ht="12.75" customHeight="1">
      <c r="B287" s="51"/>
    </row>
    <row r="288" spans="2:2" s="44" customFormat="1" ht="12.75" customHeight="1">
      <c r="B288" s="51"/>
    </row>
    <row r="289" spans="2:2" s="44" customFormat="1" ht="12.75" customHeight="1">
      <c r="B289" s="51"/>
    </row>
    <row r="290" spans="2:2" s="44" customFormat="1" ht="12.75" customHeight="1">
      <c r="B290" s="51"/>
    </row>
    <row r="291" spans="2:2" s="44" customFormat="1" ht="12.75" customHeight="1">
      <c r="B291" s="51"/>
    </row>
    <row r="292" spans="2:2" s="44" customFormat="1" ht="12.75" customHeight="1">
      <c r="B292" s="51"/>
    </row>
    <row r="293" spans="2:2" s="44" customFormat="1" ht="12.75" customHeight="1">
      <c r="B293" s="51"/>
    </row>
    <row r="294" spans="2:2" s="44" customFormat="1" ht="12.75" customHeight="1">
      <c r="B294" s="51"/>
    </row>
    <row r="295" spans="2:2" s="44" customFormat="1" ht="12.75" customHeight="1">
      <c r="B295" s="51"/>
    </row>
    <row r="296" spans="2:2" s="44" customFormat="1" ht="12.75" customHeight="1">
      <c r="B296" s="51"/>
    </row>
    <row r="297" spans="2:2" s="44" customFormat="1" ht="12.75" customHeight="1">
      <c r="B297" s="51"/>
    </row>
    <row r="298" spans="2:2" s="44" customFormat="1" ht="12.75" customHeight="1">
      <c r="B298" s="51"/>
    </row>
    <row r="299" spans="2:2" s="44" customFormat="1" ht="12.75" customHeight="1">
      <c r="B299" s="51"/>
    </row>
    <row r="300" spans="2:2" s="44" customFormat="1" ht="12.75" customHeight="1">
      <c r="B300" s="51"/>
    </row>
    <row r="301" spans="2:2" s="44" customFormat="1" ht="12.75" customHeight="1">
      <c r="B301" s="51"/>
    </row>
    <row r="302" spans="2:2" s="44" customFormat="1" ht="12.75" customHeight="1">
      <c r="B302" s="51"/>
    </row>
    <row r="303" spans="2:2" s="44" customFormat="1" ht="12.75" customHeight="1">
      <c r="B303" s="51"/>
    </row>
    <row r="304" spans="2:2" s="44" customFormat="1" ht="12.75" customHeight="1">
      <c r="B304" s="51"/>
    </row>
    <row r="305" spans="2:2" s="44" customFormat="1" ht="12.75" customHeight="1">
      <c r="B305" s="51"/>
    </row>
    <row r="306" spans="2:2" s="44" customFormat="1" ht="12.75" customHeight="1">
      <c r="B306" s="51"/>
    </row>
    <row r="307" spans="2:2" s="44" customFormat="1" ht="12.75" customHeight="1">
      <c r="B307" s="51"/>
    </row>
    <row r="308" spans="2:2" s="44" customFormat="1" ht="12.75" customHeight="1">
      <c r="B308" s="51"/>
    </row>
    <row r="309" spans="2:2" s="44" customFormat="1" ht="12.75" customHeight="1">
      <c r="B309" s="51"/>
    </row>
    <row r="310" spans="2:2" s="44" customFormat="1" ht="12.75" customHeight="1">
      <c r="B310" s="51"/>
    </row>
    <row r="311" spans="2:2" s="44" customFormat="1" ht="12.75" customHeight="1">
      <c r="B311" s="51"/>
    </row>
    <row r="312" spans="2:2" s="44" customFormat="1" ht="12.75" customHeight="1">
      <c r="B312" s="51"/>
    </row>
    <row r="313" spans="2:2" s="44" customFormat="1" ht="12.75" customHeight="1">
      <c r="B313" s="51"/>
    </row>
    <row r="314" spans="2:2" s="44" customFormat="1" ht="12.75" customHeight="1">
      <c r="B314" s="51"/>
    </row>
    <row r="315" spans="2:2" s="44" customFormat="1" ht="12.75" customHeight="1">
      <c r="B315" s="51"/>
    </row>
    <row r="316" spans="2:2" s="44" customFormat="1" ht="12.75" customHeight="1">
      <c r="B316" s="51"/>
    </row>
    <row r="317" spans="2:2" s="44" customFormat="1" ht="12.75" customHeight="1">
      <c r="B317" s="51"/>
    </row>
    <row r="318" spans="2:2" s="44" customFormat="1" ht="12.75" customHeight="1">
      <c r="B318" s="51"/>
    </row>
    <row r="319" spans="2:2" s="44" customFormat="1" ht="12.75" customHeight="1">
      <c r="B319" s="51"/>
    </row>
    <row r="320" spans="2:2" s="44" customFormat="1" ht="12.75" customHeight="1">
      <c r="B320" s="51"/>
    </row>
    <row r="321" spans="2:2" s="44" customFormat="1" ht="12.75" customHeight="1">
      <c r="B321" s="51"/>
    </row>
    <row r="322" spans="2:2" s="44" customFormat="1" ht="12.75" customHeight="1">
      <c r="B322" s="51"/>
    </row>
    <row r="323" spans="2:2" s="44" customFormat="1" ht="12.75" customHeight="1">
      <c r="B323" s="51"/>
    </row>
    <row r="324" spans="2:2" s="44" customFormat="1" ht="12.75" customHeight="1">
      <c r="B324" s="51"/>
    </row>
    <row r="325" spans="2:2" s="44" customFormat="1" ht="12.75" customHeight="1">
      <c r="B325" s="51"/>
    </row>
  </sheetData>
  <phoneticPr fontId="4" type="noConversion"/>
  <pageMargins left="0.75" right="0.75" top="0.5" bottom="0.5" header="0" footer="0.25"/>
  <pageSetup firstPageNumber="32" pageOrder="overThenDown" orientation="portrait" useFirstPageNumber="1" r:id="rId1"/>
  <headerFooter alignWithMargins="0">
    <oddFooter>&amp;C&amp;"Times New Roman,Regular"&amp;11&amp;P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A311"/>
  <sheetViews>
    <sheetView view="pageBreakPreview" zoomScale="75" zoomScaleNormal="100" zoomScaleSheetLayoutView="7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"/>
    </sheetView>
  </sheetViews>
  <sheetFormatPr defaultColWidth="0" defaultRowHeight="12.75" customHeight="1"/>
  <cols>
    <col min="1" max="1" width="15.140625" style="2" customWidth="1"/>
    <col min="2" max="2" width="1.7109375" customWidth="1"/>
    <col min="3" max="3" width="11.5703125" style="2" customWidth="1"/>
    <col min="4" max="4" width="1.7109375" style="2" customWidth="1"/>
    <col min="5" max="5" width="11.7109375" style="2" customWidth="1"/>
    <col min="6" max="6" width="1.7109375" style="2" customWidth="1"/>
    <col min="7" max="7" width="11.7109375" style="2" customWidth="1"/>
    <col min="8" max="8" width="1.7109375" style="2" customWidth="1"/>
    <col min="9" max="9" width="11.7109375" style="2" customWidth="1"/>
    <col min="10" max="10" width="1.7109375" style="2" customWidth="1"/>
    <col min="11" max="11" width="11.7109375" style="2" customWidth="1"/>
    <col min="12" max="12" width="1.7109375" style="2" customWidth="1"/>
    <col min="13" max="13" width="11.7109375" style="2" customWidth="1"/>
    <col min="14" max="14" width="1.7109375" style="2" customWidth="1"/>
    <col min="15" max="15" width="11.7109375" style="2" customWidth="1"/>
    <col min="16" max="16" width="1.7109375" style="2" customWidth="1"/>
    <col min="17" max="17" width="11.7109375" style="2" customWidth="1"/>
    <col min="18" max="18" width="1.7109375" style="2" customWidth="1"/>
    <col min="19" max="19" width="11.7109375" style="2" customWidth="1"/>
    <col min="20" max="20" width="1.7109375" style="2" customWidth="1"/>
    <col min="21" max="22" width="11.7109375" style="2" customWidth="1"/>
    <col min="23" max="27" width="11.7109375" style="2" hidden="1" customWidth="1"/>
    <col min="28" max="16384" width="0" style="2" hidden="1"/>
  </cols>
  <sheetData>
    <row r="1" spans="1:21" ht="12.75" customHeight="1">
      <c r="A1" s="1" t="s">
        <v>390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1" ht="12.75" customHeight="1">
      <c r="A2" s="29" t="s">
        <v>499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1" ht="12.75" customHeight="1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1" ht="12.75" customHeight="1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1" ht="12.75" customHeight="1">
      <c r="O5" s="6" t="s">
        <v>318</v>
      </c>
      <c r="P5" s="6"/>
      <c r="Q5" s="6" t="s">
        <v>318</v>
      </c>
    </row>
    <row r="6" spans="1:21" s="3" customFormat="1" ht="12.75" customHeight="1">
      <c r="A6" s="6"/>
      <c r="C6" s="6"/>
      <c r="D6" s="6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8" t="s">
        <v>437</v>
      </c>
      <c r="P6" s="6"/>
      <c r="Q6" s="6" t="s">
        <v>321</v>
      </c>
      <c r="R6" s="6"/>
      <c r="S6" s="6" t="s">
        <v>6</v>
      </c>
      <c r="T6" s="6"/>
    </row>
    <row r="7" spans="1:21" s="3" customFormat="1" ht="12.75" customHeight="1">
      <c r="A7" s="6"/>
      <c r="C7" s="6"/>
      <c r="D7" s="6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3" t="s">
        <v>497</v>
      </c>
      <c r="Q7" s="3" t="s">
        <v>498</v>
      </c>
      <c r="R7" s="6"/>
      <c r="S7" s="6" t="s">
        <v>320</v>
      </c>
      <c r="T7" s="6"/>
      <c r="U7" s="3" t="s">
        <v>428</v>
      </c>
    </row>
    <row r="8" spans="1:21" s="81" customFormat="1" ht="12.75" customHeight="1">
      <c r="A8" s="78" t="s">
        <v>8</v>
      </c>
      <c r="C8" s="78" t="s">
        <v>9</v>
      </c>
      <c r="D8" s="8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8"/>
      <c r="U8" s="104" t="s">
        <v>429</v>
      </c>
    </row>
    <row r="9" spans="1:21" s="81" customFormat="1" ht="12.75" customHeight="1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1" s="46" customFormat="1" ht="12.75" hidden="1" customHeight="1">
      <c r="A10" s="46" t="s">
        <v>12</v>
      </c>
      <c r="C10" s="46" t="s">
        <v>13</v>
      </c>
      <c r="E10" s="94">
        <v>0</v>
      </c>
      <c r="F10" s="94"/>
      <c r="G10" s="94">
        <v>0</v>
      </c>
      <c r="H10" s="94"/>
      <c r="I10" s="94">
        <v>0</v>
      </c>
      <c r="J10" s="94"/>
      <c r="K10" s="94">
        <v>0</v>
      </c>
      <c r="L10" s="94"/>
      <c r="M10" s="94">
        <v>0</v>
      </c>
      <c r="N10" s="94"/>
      <c r="O10" s="94">
        <v>0</v>
      </c>
      <c r="P10" s="94"/>
      <c r="Q10" s="94">
        <v>0</v>
      </c>
      <c r="R10" s="94"/>
      <c r="S10" s="94">
        <f t="shared" ref="S10:S69" si="0">+Q10+O10+M10</f>
        <v>0</v>
      </c>
      <c r="T10" s="94"/>
      <c r="U10" s="46">
        <f t="shared" ref="U10:U72" si="1">+G10-K10-S10</f>
        <v>0</v>
      </c>
    </row>
    <row r="11" spans="1:21" s="44" customFormat="1" ht="12.75" customHeight="1">
      <c r="A11" s="44" t="s">
        <v>14</v>
      </c>
      <c r="C11" s="44" t="s">
        <v>15</v>
      </c>
      <c r="D11" s="46"/>
      <c r="E11" s="94">
        <v>8691718</v>
      </c>
      <c r="F11" s="94"/>
      <c r="G11" s="94">
        <v>16674590</v>
      </c>
      <c r="H11" s="94"/>
      <c r="I11" s="94">
        <v>2711960</v>
      </c>
      <c r="J11" s="94"/>
      <c r="K11" s="94">
        <v>4656570</v>
      </c>
      <c r="L11" s="94"/>
      <c r="M11" s="94">
        <f>191653+21271+1692652+51201</f>
        <v>1956777</v>
      </c>
      <c r="N11" s="94"/>
      <c r="O11" s="94">
        <v>0</v>
      </c>
      <c r="P11" s="94"/>
      <c r="Q11" s="94">
        <f>5207831+3857406+126581+869425</f>
        <v>10061243</v>
      </c>
      <c r="R11" s="94"/>
      <c r="S11" s="94">
        <f t="shared" si="0"/>
        <v>12018020</v>
      </c>
      <c r="T11" s="45"/>
      <c r="U11" s="44">
        <f t="shared" si="1"/>
        <v>0</v>
      </c>
    </row>
    <row r="12" spans="1:21" s="44" customFormat="1" ht="12.75" customHeight="1">
      <c r="A12" s="44" t="s">
        <v>16</v>
      </c>
      <c r="C12" s="44" t="s">
        <v>17</v>
      </c>
      <c r="E12" s="45">
        <v>9497917</v>
      </c>
      <c r="F12" s="45"/>
      <c r="G12" s="45">
        <v>13515360</v>
      </c>
      <c r="H12" s="45"/>
      <c r="I12" s="45">
        <v>2532018</v>
      </c>
      <c r="J12" s="45"/>
      <c r="K12" s="45">
        <v>2788701</v>
      </c>
      <c r="L12" s="45"/>
      <c r="M12" s="45">
        <f>726164+55937</f>
        <v>782101</v>
      </c>
      <c r="N12" s="45"/>
      <c r="O12" s="45">
        <v>0</v>
      </c>
      <c r="P12" s="45"/>
      <c r="Q12" s="45">
        <f>2188112+2238470+408420+5109556</f>
        <v>9944558</v>
      </c>
      <c r="R12" s="45"/>
      <c r="S12" s="45">
        <f t="shared" si="0"/>
        <v>10726659</v>
      </c>
      <c r="T12" s="45"/>
      <c r="U12" s="44">
        <f t="shared" si="1"/>
        <v>0</v>
      </c>
    </row>
    <row r="13" spans="1:21" s="44" customFormat="1" ht="12.75" customHeight="1">
      <c r="A13" s="44" t="s">
        <v>18</v>
      </c>
      <c r="C13" s="44" t="s">
        <v>18</v>
      </c>
      <c r="E13" s="45">
        <v>5013226</v>
      </c>
      <c r="F13" s="45"/>
      <c r="G13" s="45">
        <v>10088532</v>
      </c>
      <c r="H13" s="45"/>
      <c r="I13" s="45">
        <v>3252234</v>
      </c>
      <c r="J13" s="45"/>
      <c r="K13" s="45">
        <v>3993508</v>
      </c>
      <c r="L13" s="45"/>
      <c r="M13" s="45">
        <f>280429+129239</f>
        <v>409668</v>
      </c>
      <c r="N13" s="45"/>
      <c r="O13" s="45">
        <v>0</v>
      </c>
      <c r="P13" s="45"/>
      <c r="Q13" s="45">
        <f>2014052+2531803+214217+925284</f>
        <v>5685356</v>
      </c>
      <c r="R13" s="45"/>
      <c r="S13" s="45">
        <f t="shared" si="0"/>
        <v>6095024</v>
      </c>
      <c r="T13" s="45"/>
      <c r="U13" s="44">
        <f t="shared" si="1"/>
        <v>0</v>
      </c>
    </row>
    <row r="14" spans="1:21" s="44" customFormat="1" ht="12.75" customHeight="1">
      <c r="A14" s="44" t="s">
        <v>19</v>
      </c>
      <c r="C14" s="44" t="s">
        <v>19</v>
      </c>
      <c r="E14" s="45">
        <f>1817376+139780</f>
        <v>1957156</v>
      </c>
      <c r="F14" s="45"/>
      <c r="G14" s="45">
        <v>10192628</v>
      </c>
      <c r="H14" s="45"/>
      <c r="I14" s="45">
        <v>7013903</v>
      </c>
      <c r="J14" s="45"/>
      <c r="K14" s="45">
        <v>7925854</v>
      </c>
      <c r="L14" s="45"/>
      <c r="M14" s="45">
        <f>364998+35569+50776+124892</f>
        <v>576235</v>
      </c>
      <c r="N14" s="45"/>
      <c r="O14" s="45">
        <v>412000</v>
      </c>
      <c r="P14" s="45"/>
      <c r="Q14" s="45">
        <f>477726+916247+45861-161295</f>
        <v>1278539</v>
      </c>
      <c r="R14" s="45"/>
      <c r="S14" s="45">
        <f t="shared" si="0"/>
        <v>2266774</v>
      </c>
      <c r="T14" s="45"/>
      <c r="U14" s="44">
        <f t="shared" si="1"/>
        <v>0</v>
      </c>
    </row>
    <row r="15" spans="1:21" s="44" customFormat="1" ht="12.75" customHeight="1">
      <c r="A15" s="44" t="s">
        <v>20</v>
      </c>
      <c r="C15" s="44" t="s">
        <v>20</v>
      </c>
      <c r="E15" s="45">
        <f>8320474+80018</f>
        <v>8400492</v>
      </c>
      <c r="F15" s="45"/>
      <c r="G15" s="45">
        <v>11510594</v>
      </c>
      <c r="H15" s="45"/>
      <c r="I15" s="45">
        <v>1151229</v>
      </c>
      <c r="J15" s="45"/>
      <c r="K15" s="45">
        <v>5122910</v>
      </c>
      <c r="L15" s="45"/>
      <c r="M15" s="45">
        <f>2418439+37503+249920</f>
        <v>2705862</v>
      </c>
      <c r="N15" s="45"/>
      <c r="O15" s="45">
        <v>0</v>
      </c>
      <c r="P15" s="45"/>
      <c r="Q15" s="45">
        <f>1673558+1192601+304194+511469</f>
        <v>3681822</v>
      </c>
      <c r="R15" s="45"/>
      <c r="S15" s="45">
        <f t="shared" si="0"/>
        <v>6387684</v>
      </c>
      <c r="T15" s="45"/>
      <c r="U15" s="44">
        <f t="shared" si="1"/>
        <v>0</v>
      </c>
    </row>
    <row r="16" spans="1:21" s="44" customFormat="1" ht="12.75" customHeight="1">
      <c r="A16" s="44" t="s">
        <v>21</v>
      </c>
      <c r="C16" s="44" t="s">
        <v>22</v>
      </c>
      <c r="E16" s="45">
        <v>13502898</v>
      </c>
      <c r="F16" s="45"/>
      <c r="G16" s="45">
        <v>21432074</v>
      </c>
      <c r="H16" s="45"/>
      <c r="I16" s="45">
        <v>2557683</v>
      </c>
      <c r="J16" s="45"/>
      <c r="K16" s="45">
        <v>7361397</v>
      </c>
      <c r="L16" s="45"/>
      <c r="M16" s="45">
        <f>1104648+23313+40528+2756778+263187+247026</f>
        <v>4435480</v>
      </c>
      <c r="N16" s="45"/>
      <c r="O16" s="45">
        <v>0</v>
      </c>
      <c r="P16" s="45"/>
      <c r="Q16" s="45">
        <f>6557261+2319940+757996</f>
        <v>9635197</v>
      </c>
      <c r="R16" s="45"/>
      <c r="S16" s="45">
        <f t="shared" si="0"/>
        <v>14070677</v>
      </c>
      <c r="T16" s="45"/>
      <c r="U16" s="44">
        <f t="shared" si="1"/>
        <v>0</v>
      </c>
    </row>
    <row r="17" spans="1:21" s="44" customFormat="1" ht="12.75" customHeight="1">
      <c r="A17" s="44" t="s">
        <v>23</v>
      </c>
      <c r="C17" s="44" t="s">
        <v>17</v>
      </c>
      <c r="E17" s="45">
        <f>16409093+974616</f>
        <v>17383709</v>
      </c>
      <c r="F17" s="45"/>
      <c r="G17" s="45">
        <v>32081753</v>
      </c>
      <c r="H17" s="45"/>
      <c r="I17" s="45">
        <v>10278632</v>
      </c>
      <c r="J17" s="45"/>
      <c r="K17" s="45">
        <v>24537775</v>
      </c>
      <c r="L17" s="45"/>
      <c r="M17" s="45">
        <f>191955+9146169+186029</f>
        <v>9524153</v>
      </c>
      <c r="N17" s="45"/>
      <c r="O17" s="45">
        <v>170553</v>
      </c>
      <c r="P17" s="45"/>
      <c r="Q17" s="45">
        <v>-2150728</v>
      </c>
      <c r="R17" s="45"/>
      <c r="S17" s="45">
        <f t="shared" si="0"/>
        <v>7543978</v>
      </c>
      <c r="T17" s="45"/>
      <c r="U17" s="44">
        <f t="shared" si="1"/>
        <v>0</v>
      </c>
    </row>
    <row r="18" spans="1:21" s="44" customFormat="1" ht="12.75" hidden="1" customHeight="1">
      <c r="A18" s="44" t="s">
        <v>24</v>
      </c>
      <c r="C18" s="44" t="s">
        <v>17</v>
      </c>
      <c r="E18" s="45">
        <v>0</v>
      </c>
      <c r="F18" s="45"/>
      <c r="G18" s="45">
        <v>0</v>
      </c>
      <c r="H18" s="45"/>
      <c r="I18" s="45">
        <v>0</v>
      </c>
      <c r="J18" s="45"/>
      <c r="K18" s="45">
        <v>0</v>
      </c>
      <c r="L18" s="45"/>
      <c r="M18" s="45">
        <v>0</v>
      </c>
      <c r="N18" s="45"/>
      <c r="O18" s="45">
        <v>0</v>
      </c>
      <c r="P18" s="45"/>
      <c r="Q18" s="45">
        <v>0</v>
      </c>
      <c r="R18" s="45"/>
      <c r="S18" s="45">
        <f t="shared" si="0"/>
        <v>0</v>
      </c>
      <c r="T18" s="45"/>
      <c r="U18" s="44">
        <f t="shared" si="1"/>
        <v>0</v>
      </c>
    </row>
    <row r="19" spans="1:21" s="44" customFormat="1" ht="12.75" customHeight="1">
      <c r="A19" s="44" t="s">
        <v>25</v>
      </c>
      <c r="C19" s="44" t="s">
        <v>13</v>
      </c>
      <c r="E19" s="45">
        <f>5850961+221899</f>
        <v>6072860</v>
      </c>
      <c r="F19" s="45"/>
      <c r="G19" s="45">
        <v>12583823</v>
      </c>
      <c r="H19" s="45"/>
      <c r="I19" s="45">
        <v>1440242</v>
      </c>
      <c r="J19" s="45"/>
      <c r="K19" s="45">
        <v>5152605</v>
      </c>
      <c r="L19" s="45"/>
      <c r="M19" s="45">
        <f>2798363+61846+100513+326863</f>
        <v>3287585</v>
      </c>
      <c r="N19" s="45"/>
      <c r="O19" s="45">
        <v>0</v>
      </c>
      <c r="P19" s="45"/>
      <c r="Q19" s="45">
        <f>3510635+160161+472837</f>
        <v>4143633</v>
      </c>
      <c r="R19" s="45"/>
      <c r="S19" s="45">
        <f t="shared" si="0"/>
        <v>7431218</v>
      </c>
      <c r="T19" s="45"/>
      <c r="U19" s="44">
        <f t="shared" si="1"/>
        <v>0</v>
      </c>
    </row>
    <row r="20" spans="1:21" s="44" customFormat="1" ht="12.75" customHeight="1">
      <c r="A20" s="44" t="s">
        <v>26</v>
      </c>
      <c r="C20" s="44" t="s">
        <v>27</v>
      </c>
      <c r="E20" s="45">
        <v>10894992</v>
      </c>
      <c r="F20" s="45"/>
      <c r="G20" s="45">
        <v>23701107</v>
      </c>
      <c r="H20" s="45"/>
      <c r="I20" s="45">
        <v>2489268</v>
      </c>
      <c r="J20" s="45"/>
      <c r="K20" s="45">
        <v>12366479</v>
      </c>
      <c r="L20" s="45"/>
      <c r="M20" s="45">
        <f>203738+1800000</f>
        <v>2003738</v>
      </c>
      <c r="N20" s="45"/>
      <c r="O20" s="45">
        <v>578947</v>
      </c>
      <c r="P20" s="45"/>
      <c r="Q20" s="45">
        <f>1998340+727401+725578+5300624</f>
        <v>8751943</v>
      </c>
      <c r="R20" s="45"/>
      <c r="S20" s="45">
        <f t="shared" si="0"/>
        <v>11334628</v>
      </c>
      <c r="T20" s="45"/>
      <c r="U20" s="44">
        <f t="shared" si="1"/>
        <v>0</v>
      </c>
    </row>
    <row r="21" spans="1:21" s="44" customFormat="1" ht="12.75" customHeight="1">
      <c r="A21" s="44" t="s">
        <v>28</v>
      </c>
      <c r="C21" s="44" t="s">
        <v>27</v>
      </c>
      <c r="E21" s="45">
        <f>31621528+6401+4493</f>
        <v>31632422</v>
      </c>
      <c r="F21" s="45"/>
      <c r="G21" s="45">
        <v>45547433</v>
      </c>
      <c r="H21" s="45"/>
      <c r="I21" s="45">
        <v>8738114</v>
      </c>
      <c r="J21" s="45"/>
      <c r="K21" s="45">
        <v>17912277</v>
      </c>
      <c r="L21" s="45"/>
      <c r="M21" s="45">
        <f>806724+1475956+3807181</f>
        <v>6089861</v>
      </c>
      <c r="N21" s="45"/>
      <c r="O21" s="45">
        <v>6068150</v>
      </c>
      <c r="P21" s="45"/>
      <c r="Q21" s="45">
        <v>15477145</v>
      </c>
      <c r="R21" s="45"/>
      <c r="S21" s="45">
        <f t="shared" si="0"/>
        <v>27635156</v>
      </c>
      <c r="T21" s="45"/>
      <c r="U21" s="44">
        <f t="shared" si="1"/>
        <v>0</v>
      </c>
    </row>
    <row r="22" spans="1:21" s="44" customFormat="1" ht="12.75" customHeight="1">
      <c r="A22" s="44" t="s">
        <v>29</v>
      </c>
      <c r="C22" s="44" t="s">
        <v>30</v>
      </c>
      <c r="E22" s="45">
        <v>9023668</v>
      </c>
      <c r="F22" s="45"/>
      <c r="G22" s="45">
        <v>30480425</v>
      </c>
      <c r="H22" s="45"/>
      <c r="I22" s="45">
        <v>19762806</v>
      </c>
      <c r="J22" s="45"/>
      <c r="K22" s="45">
        <v>21172289</v>
      </c>
      <c r="L22" s="45"/>
      <c r="M22" s="45">
        <f>929420+573564+15201</f>
        <v>1518185</v>
      </c>
      <c r="N22" s="45"/>
      <c r="O22" s="45">
        <v>0</v>
      </c>
      <c r="P22" s="45"/>
      <c r="Q22" s="45">
        <f>2699942+4903836+303474-134613+17312</f>
        <v>7789951</v>
      </c>
      <c r="R22" s="45"/>
      <c r="S22" s="45">
        <f t="shared" si="0"/>
        <v>9308136</v>
      </c>
      <c r="T22" s="45"/>
      <c r="U22" s="44">
        <f t="shared" si="1"/>
        <v>0</v>
      </c>
    </row>
    <row r="23" spans="1:21" s="44" customFormat="1" ht="12.75" customHeight="1">
      <c r="A23" s="44" t="s">
        <v>31</v>
      </c>
      <c r="C23" s="44" t="s">
        <v>27</v>
      </c>
      <c r="E23" s="45">
        <v>12500456</v>
      </c>
      <c r="F23" s="45"/>
      <c r="G23" s="45">
        <v>25725192</v>
      </c>
      <c r="H23" s="45"/>
      <c r="I23" s="45">
        <v>9529331</v>
      </c>
      <c r="J23" s="45"/>
      <c r="K23" s="45">
        <v>11952208</v>
      </c>
      <c r="L23" s="45"/>
      <c r="M23" s="45">
        <f>239797+3729801+92756</f>
        <v>4062354</v>
      </c>
      <c r="N23" s="45"/>
      <c r="O23" s="45">
        <v>735639</v>
      </c>
      <c r="P23" s="45"/>
      <c r="Q23" s="45">
        <v>8974991</v>
      </c>
      <c r="R23" s="45"/>
      <c r="S23" s="45">
        <f t="shared" si="0"/>
        <v>13772984</v>
      </c>
      <c r="T23" s="45"/>
      <c r="U23" s="44">
        <f t="shared" si="1"/>
        <v>0</v>
      </c>
    </row>
    <row r="24" spans="1:21" s="44" customFormat="1" ht="12.75" customHeight="1">
      <c r="A24" s="44" t="s">
        <v>32</v>
      </c>
      <c r="C24" s="44" t="s">
        <v>27</v>
      </c>
      <c r="E24" s="45">
        <v>2983889</v>
      </c>
      <c r="F24" s="45"/>
      <c r="G24" s="45">
        <v>11394127</v>
      </c>
      <c r="H24" s="45"/>
      <c r="I24" s="45">
        <v>6271346</v>
      </c>
      <c r="J24" s="45"/>
      <c r="K24" s="45">
        <v>7405962</v>
      </c>
      <c r="L24" s="45"/>
      <c r="M24" s="45">
        <f>192933+115253+50456</f>
        <v>358642</v>
      </c>
      <c r="N24" s="45"/>
      <c r="O24" s="45">
        <v>0</v>
      </c>
      <c r="P24" s="45"/>
      <c r="Q24" s="45">
        <f>3324143-29132+37919+296593</f>
        <v>3629523</v>
      </c>
      <c r="R24" s="45"/>
      <c r="S24" s="45">
        <f t="shared" si="0"/>
        <v>3988165</v>
      </c>
      <c r="T24" s="45"/>
      <c r="U24" s="44">
        <f t="shared" si="1"/>
        <v>0</v>
      </c>
    </row>
    <row r="25" spans="1:21" s="44" customFormat="1" ht="12.75" customHeight="1">
      <c r="A25" s="44" t="s">
        <v>34</v>
      </c>
      <c r="B25" s="51"/>
      <c r="C25" s="44" t="s">
        <v>30</v>
      </c>
      <c r="E25" s="45">
        <f>3155636+43022</f>
        <v>3198658</v>
      </c>
      <c r="F25" s="45"/>
      <c r="G25" s="45">
        <v>6643787</v>
      </c>
      <c r="H25" s="45"/>
      <c r="I25" s="45">
        <v>3254355</v>
      </c>
      <c r="J25" s="45"/>
      <c r="K25" s="45">
        <v>3564431</v>
      </c>
      <c r="L25" s="45"/>
      <c r="M25" s="45">
        <f>43022+32867+18482+76841</f>
        <v>171212</v>
      </c>
      <c r="N25" s="45"/>
      <c r="O25" s="45">
        <v>0</v>
      </c>
      <c r="P25" s="45"/>
      <c r="Q25" s="45">
        <f>869365+342723+1696056</f>
        <v>2908144</v>
      </c>
      <c r="R25" s="45"/>
      <c r="S25" s="45">
        <f t="shared" si="0"/>
        <v>3079356</v>
      </c>
      <c r="T25" s="45"/>
      <c r="U25" s="44">
        <f t="shared" si="1"/>
        <v>0</v>
      </c>
    </row>
    <row r="26" spans="1:21" s="44" customFormat="1" ht="12.75" customHeight="1">
      <c r="A26" s="44" t="s">
        <v>35</v>
      </c>
      <c r="C26" s="44" t="s">
        <v>36</v>
      </c>
      <c r="E26" s="45">
        <f>6246651+1084000</f>
        <v>7330651</v>
      </c>
      <c r="F26" s="45"/>
      <c r="G26" s="45">
        <v>9794290</v>
      </c>
      <c r="H26" s="45"/>
      <c r="I26" s="45">
        <v>842632</v>
      </c>
      <c r="J26" s="45"/>
      <c r="K26" s="45">
        <v>3114661</v>
      </c>
      <c r="L26" s="45"/>
      <c r="M26" s="45">
        <f>350211+134778+23707+37008+11000+76000</f>
        <v>632704</v>
      </c>
      <c r="N26" s="45"/>
      <c r="O26" s="45">
        <v>0</v>
      </c>
      <c r="P26" s="45"/>
      <c r="Q26" s="45">
        <f>2298449+978433+2760141+9902</f>
        <v>6046925</v>
      </c>
      <c r="R26" s="45"/>
      <c r="S26" s="45">
        <f t="shared" si="0"/>
        <v>6679629</v>
      </c>
      <c r="T26" s="45"/>
      <c r="U26" s="44">
        <f t="shared" si="1"/>
        <v>0</v>
      </c>
    </row>
    <row r="27" spans="1:21" s="44" customFormat="1" ht="12.75" customHeight="1">
      <c r="A27" s="44" t="s">
        <v>37</v>
      </c>
      <c r="C27" s="44" t="s">
        <v>38</v>
      </c>
      <c r="E27" s="45">
        <f>3960895+495</f>
        <v>3961390</v>
      </c>
      <c r="F27" s="45"/>
      <c r="G27" s="45">
        <v>6794766</v>
      </c>
      <c r="H27" s="45"/>
      <c r="I27" s="45">
        <v>2082565</v>
      </c>
      <c r="J27" s="45"/>
      <c r="K27" s="45">
        <v>2425323</v>
      </c>
      <c r="L27" s="45"/>
      <c r="M27" s="45">
        <f>353646+22946+57198</f>
        <v>433790</v>
      </c>
      <c r="N27" s="45"/>
      <c r="O27" s="45">
        <v>0</v>
      </c>
      <c r="P27" s="45"/>
      <c r="Q27" s="45">
        <f>1158481+1980505+23376+773291</f>
        <v>3935653</v>
      </c>
      <c r="R27" s="45"/>
      <c r="S27" s="45">
        <f t="shared" si="0"/>
        <v>4369443</v>
      </c>
      <c r="T27" s="45"/>
      <c r="U27" s="44">
        <f t="shared" si="1"/>
        <v>0</v>
      </c>
    </row>
    <row r="28" spans="1:21" s="44" customFormat="1" ht="12.75" customHeight="1">
      <c r="A28" s="44" t="s">
        <v>39</v>
      </c>
      <c r="C28" s="44" t="s">
        <v>40</v>
      </c>
      <c r="E28" s="45">
        <f>1638246+8281+1919</f>
        <v>1648446</v>
      </c>
      <c r="F28" s="45"/>
      <c r="G28" s="45">
        <v>2729562</v>
      </c>
      <c r="H28" s="45"/>
      <c r="I28" s="45">
        <v>683685</v>
      </c>
      <c r="J28" s="45"/>
      <c r="K28" s="45">
        <v>810851</v>
      </c>
      <c r="L28" s="45"/>
      <c r="M28" s="45">
        <f>42900+498020+75411</f>
        <v>616331</v>
      </c>
      <c r="N28" s="45"/>
      <c r="O28" s="45">
        <v>1478</v>
      </c>
      <c r="P28" s="45"/>
      <c r="Q28" s="45">
        <v>1300902</v>
      </c>
      <c r="R28" s="45"/>
      <c r="S28" s="45">
        <f t="shared" si="0"/>
        <v>1918711</v>
      </c>
      <c r="T28" s="45"/>
      <c r="U28" s="44">
        <f t="shared" si="1"/>
        <v>0</v>
      </c>
    </row>
    <row r="29" spans="1:21" s="44" customFormat="1" ht="12.75" customHeight="1">
      <c r="A29" s="44" t="s">
        <v>41</v>
      </c>
      <c r="C29" s="44" t="s">
        <v>27</v>
      </c>
      <c r="E29" s="45">
        <v>7035707</v>
      </c>
      <c r="F29" s="45"/>
      <c r="G29" s="45">
        <v>17477389</v>
      </c>
      <c r="H29" s="45"/>
      <c r="I29" s="45">
        <v>6208384</v>
      </c>
      <c r="J29" s="45"/>
      <c r="K29" s="45">
        <v>7589047</v>
      </c>
      <c r="L29" s="45"/>
      <c r="M29" s="45">
        <f>56499+1088175+150000</f>
        <v>1294674</v>
      </c>
      <c r="N29" s="45"/>
      <c r="O29" s="45">
        <v>0</v>
      </c>
      <c r="P29" s="45"/>
      <c r="Q29" s="45">
        <f>4080947+1172590+1036136+2303995</f>
        <v>8593668</v>
      </c>
      <c r="R29" s="45"/>
      <c r="S29" s="45">
        <f t="shared" si="0"/>
        <v>9888342</v>
      </c>
      <c r="T29" s="45"/>
      <c r="U29" s="44">
        <f t="shared" si="1"/>
        <v>0</v>
      </c>
    </row>
    <row r="30" spans="1:21" s="44" customFormat="1" ht="12.75" customHeight="1">
      <c r="A30" s="44" t="s">
        <v>42</v>
      </c>
      <c r="C30" s="44" t="s">
        <v>43</v>
      </c>
      <c r="E30" s="45">
        <f>9785535+2077+45536</f>
        <v>9833148</v>
      </c>
      <c r="F30" s="45"/>
      <c r="G30" s="45">
        <v>15361394</v>
      </c>
      <c r="H30" s="45"/>
      <c r="I30" s="45">
        <v>3750279</v>
      </c>
      <c r="J30" s="45"/>
      <c r="K30" s="45">
        <v>4928983</v>
      </c>
      <c r="L30" s="45"/>
      <c r="M30" s="45">
        <v>3716282</v>
      </c>
      <c r="N30" s="45"/>
      <c r="O30" s="45">
        <v>1000000</v>
      </c>
      <c r="P30" s="45"/>
      <c r="Q30" s="45">
        <f>4453957+894518+395250-27596</f>
        <v>5716129</v>
      </c>
      <c r="R30" s="45"/>
      <c r="S30" s="45">
        <f t="shared" si="0"/>
        <v>10432411</v>
      </c>
      <c r="T30" s="45"/>
      <c r="U30" s="44">
        <f t="shared" si="1"/>
        <v>0</v>
      </c>
    </row>
    <row r="31" spans="1:21" s="44" customFormat="1" ht="12.75" customHeight="1">
      <c r="A31" s="44" t="s">
        <v>44</v>
      </c>
      <c r="C31" s="44" t="s">
        <v>45</v>
      </c>
      <c r="E31" s="45">
        <v>32869196</v>
      </c>
      <c r="F31" s="45"/>
      <c r="G31" s="45">
        <v>44424918</v>
      </c>
      <c r="H31" s="45"/>
      <c r="I31" s="45">
        <v>6547938</v>
      </c>
      <c r="J31" s="45"/>
      <c r="K31" s="45">
        <v>9448476</v>
      </c>
      <c r="L31" s="45"/>
      <c r="M31" s="45">
        <f>8405831+83980+199207+2024106</f>
        <v>10713124</v>
      </c>
      <c r="N31" s="45"/>
      <c r="O31" s="45">
        <v>0</v>
      </c>
      <c r="P31" s="45"/>
      <c r="Q31" s="45">
        <f>20394371+502130+3366817</f>
        <v>24263318</v>
      </c>
      <c r="R31" s="45"/>
      <c r="S31" s="45">
        <f t="shared" si="0"/>
        <v>34976442</v>
      </c>
      <c r="T31" s="45"/>
      <c r="U31" s="44">
        <f t="shared" si="1"/>
        <v>0</v>
      </c>
    </row>
    <row r="32" spans="1:21" s="44" customFormat="1" ht="12.75" customHeight="1">
      <c r="A32" s="44" t="s">
        <v>46</v>
      </c>
      <c r="C32" s="44" t="s">
        <v>47</v>
      </c>
      <c r="E32" s="45">
        <f>13294974+1540</f>
        <v>13296514</v>
      </c>
      <c r="F32" s="45"/>
      <c r="G32" s="45">
        <v>23932677</v>
      </c>
      <c r="H32" s="45"/>
      <c r="I32" s="45">
        <v>67320059</v>
      </c>
      <c r="J32" s="45"/>
      <c r="K32" s="45">
        <v>11884638</v>
      </c>
      <c r="L32" s="45"/>
      <c r="M32" s="45">
        <f>7829324+1515124</f>
        <v>9344448</v>
      </c>
      <c r="N32" s="45"/>
      <c r="O32" s="45">
        <v>242558</v>
      </c>
      <c r="P32" s="45"/>
      <c r="Q32" s="45">
        <v>2461033</v>
      </c>
      <c r="R32" s="45"/>
      <c r="S32" s="45">
        <f t="shared" si="0"/>
        <v>12048039</v>
      </c>
      <c r="T32" s="45"/>
      <c r="U32" s="44">
        <f t="shared" si="1"/>
        <v>0</v>
      </c>
    </row>
    <row r="33" spans="1:21" s="44" customFormat="1" ht="12.75" customHeight="1">
      <c r="A33" s="44" t="s">
        <v>48</v>
      </c>
      <c r="C33" s="44" t="s">
        <v>27</v>
      </c>
      <c r="E33" s="45">
        <v>13377000</v>
      </c>
      <c r="F33" s="45"/>
      <c r="G33" s="45">
        <v>25572573</v>
      </c>
      <c r="H33" s="45"/>
      <c r="I33" s="45">
        <v>10076766</v>
      </c>
      <c r="J33" s="45"/>
      <c r="K33" s="45">
        <v>13372482</v>
      </c>
      <c r="L33" s="45"/>
      <c r="M33" s="45">
        <v>6183055</v>
      </c>
      <c r="N33" s="45"/>
      <c r="O33" s="45">
        <v>1077144</v>
      </c>
      <c r="P33" s="45"/>
      <c r="Q33" s="45">
        <v>4939892</v>
      </c>
      <c r="R33" s="45"/>
      <c r="S33" s="45">
        <f t="shared" si="0"/>
        <v>12200091</v>
      </c>
      <c r="T33" s="45"/>
      <c r="U33" s="44">
        <f t="shared" si="1"/>
        <v>0</v>
      </c>
    </row>
    <row r="34" spans="1:21" s="44" customFormat="1" ht="12.75" customHeight="1">
      <c r="A34" s="44" t="s">
        <v>49</v>
      </c>
      <c r="C34" s="44" t="s">
        <v>27</v>
      </c>
      <c r="E34" s="45">
        <v>5957588</v>
      </c>
      <c r="F34" s="45"/>
      <c r="G34" s="45">
        <v>17844975</v>
      </c>
      <c r="H34" s="45"/>
      <c r="I34" s="45">
        <v>8876659</v>
      </c>
      <c r="J34" s="45"/>
      <c r="K34" s="45">
        <v>9759319</v>
      </c>
      <c r="L34" s="45"/>
      <c r="M34" s="45">
        <f>348705+112000</f>
        <v>460705</v>
      </c>
      <c r="N34" s="45"/>
      <c r="O34" s="45">
        <v>0</v>
      </c>
      <c r="P34" s="45"/>
      <c r="Q34" s="45">
        <f>3279359+477126+825788+3042678</f>
        <v>7624951</v>
      </c>
      <c r="R34" s="45"/>
      <c r="S34" s="45">
        <f t="shared" si="0"/>
        <v>8085656</v>
      </c>
      <c r="T34" s="45"/>
      <c r="U34" s="44">
        <f t="shared" si="1"/>
        <v>0</v>
      </c>
    </row>
    <row r="35" spans="1:21" s="44" customFormat="1" ht="12.75" customHeight="1">
      <c r="A35" s="44" t="s">
        <v>50</v>
      </c>
      <c r="C35" s="44" t="s">
        <v>27</v>
      </c>
      <c r="E35" s="45">
        <v>13909425</v>
      </c>
      <c r="F35" s="45"/>
      <c r="G35" s="45">
        <v>22876462</v>
      </c>
      <c r="H35" s="45"/>
      <c r="I35" s="45">
        <v>4016457</v>
      </c>
      <c r="J35" s="45"/>
      <c r="K35" s="45">
        <v>6570543</v>
      </c>
      <c r="L35" s="45"/>
      <c r="M35" s="45">
        <f>1004504+266175+104043+1235389</f>
        <v>2610111</v>
      </c>
      <c r="N35" s="45"/>
      <c r="O35" s="45">
        <v>1649998</v>
      </c>
      <c r="P35" s="45"/>
      <c r="Q35" s="45">
        <f>3563619+1972640+566779+5942772</f>
        <v>12045810</v>
      </c>
      <c r="R35" s="45"/>
      <c r="S35" s="45">
        <f t="shared" si="0"/>
        <v>16305919</v>
      </c>
      <c r="T35" s="45"/>
      <c r="U35" s="44">
        <f t="shared" si="1"/>
        <v>0</v>
      </c>
    </row>
    <row r="36" spans="1:21" s="44" customFormat="1" ht="12.75" customHeight="1">
      <c r="A36" s="44" t="s">
        <v>51</v>
      </c>
      <c r="C36" s="44" t="s">
        <v>27</v>
      </c>
      <c r="E36" s="45">
        <f>8105612+83439</f>
        <v>8189051</v>
      </c>
      <c r="F36" s="45"/>
      <c r="G36" s="45">
        <v>19033931</v>
      </c>
      <c r="H36" s="45"/>
      <c r="I36" s="45">
        <v>3537671</v>
      </c>
      <c r="J36" s="45"/>
      <c r="K36" s="45">
        <v>4992652</v>
      </c>
      <c r="L36" s="45"/>
      <c r="M36" s="45">
        <f>220771+78200+3954812</f>
        <v>4253783</v>
      </c>
      <c r="N36" s="45"/>
      <c r="O36" s="45">
        <v>0</v>
      </c>
      <c r="P36" s="45"/>
      <c r="Q36" s="45">
        <f>6530275+838517-14567+2433271</f>
        <v>9787496</v>
      </c>
      <c r="R36" s="45"/>
      <c r="S36" s="45">
        <f t="shared" si="0"/>
        <v>14041279</v>
      </c>
      <c r="T36" s="45"/>
      <c r="U36" s="44">
        <f t="shared" si="1"/>
        <v>0</v>
      </c>
    </row>
    <row r="37" spans="1:21" s="44" customFormat="1" ht="12.75" customHeight="1">
      <c r="A37" s="44" t="s">
        <v>462</v>
      </c>
      <c r="C37" s="44" t="s">
        <v>66</v>
      </c>
      <c r="E37" s="45">
        <v>1572733</v>
      </c>
      <c r="F37" s="45"/>
      <c r="G37" s="45">
        <v>2886584</v>
      </c>
      <c r="H37" s="45"/>
      <c r="I37" s="45">
        <v>572991</v>
      </c>
      <c r="J37" s="45"/>
      <c r="K37" s="45">
        <v>828096</v>
      </c>
      <c r="L37" s="45"/>
      <c r="M37" s="45">
        <f>5724+44412+22061+66164</f>
        <v>138361</v>
      </c>
      <c r="N37" s="45"/>
      <c r="O37" s="45">
        <v>0</v>
      </c>
      <c r="P37" s="45"/>
      <c r="Q37" s="45">
        <f>1097378+176445+646304</f>
        <v>1920127</v>
      </c>
      <c r="R37" s="45"/>
      <c r="S37" s="45">
        <f t="shared" si="0"/>
        <v>2058488</v>
      </c>
      <c r="T37" s="45"/>
      <c r="U37" s="44">
        <f t="shared" si="1"/>
        <v>0</v>
      </c>
    </row>
    <row r="38" spans="1:21" s="44" customFormat="1" ht="12.75" customHeight="1">
      <c r="A38" s="44" t="s">
        <v>52</v>
      </c>
      <c r="C38" s="44" t="s">
        <v>53</v>
      </c>
      <c r="E38" s="45">
        <f>10722307+7482+657+20815+16587</f>
        <v>10767848</v>
      </c>
      <c r="F38" s="45"/>
      <c r="G38" s="45">
        <v>25920729</v>
      </c>
      <c r="H38" s="45"/>
      <c r="I38" s="45">
        <v>10112026</v>
      </c>
      <c r="J38" s="45"/>
      <c r="K38" s="45">
        <v>16529858</v>
      </c>
      <c r="L38" s="45"/>
      <c r="M38" s="45">
        <f>1589566+16587+1411286+394090+837210</f>
        <v>4248739</v>
      </c>
      <c r="N38" s="45"/>
      <c r="O38" s="45">
        <v>0</v>
      </c>
      <c r="P38" s="45"/>
      <c r="Q38" s="45">
        <f>2288049+2816739+408189-370845</f>
        <v>5142132</v>
      </c>
      <c r="R38" s="45"/>
      <c r="S38" s="45">
        <f t="shared" si="0"/>
        <v>9390871</v>
      </c>
      <c r="T38" s="45"/>
      <c r="U38" s="44">
        <f t="shared" si="1"/>
        <v>0</v>
      </c>
    </row>
    <row r="39" spans="1:21" s="44" customFormat="1" ht="12.75" customHeight="1">
      <c r="A39" s="44" t="s">
        <v>54</v>
      </c>
      <c r="C39" s="44" t="s">
        <v>55</v>
      </c>
      <c r="E39" s="45">
        <v>14376349</v>
      </c>
      <c r="F39" s="45"/>
      <c r="G39" s="45">
        <v>19268644</v>
      </c>
      <c r="H39" s="45"/>
      <c r="I39" s="45">
        <v>1758584</v>
      </c>
      <c r="J39" s="45"/>
      <c r="K39" s="45">
        <v>2698419</v>
      </c>
      <c r="L39" s="45"/>
      <c r="M39" s="45">
        <f>1924103+7430254</f>
        <v>9354357</v>
      </c>
      <c r="N39" s="45"/>
      <c r="O39" s="45">
        <v>0</v>
      </c>
      <c r="P39" s="45"/>
      <c r="Q39" s="45">
        <v>7215868</v>
      </c>
      <c r="R39" s="45"/>
      <c r="S39" s="45">
        <f t="shared" si="0"/>
        <v>16570225</v>
      </c>
      <c r="T39" s="45"/>
      <c r="U39" s="44">
        <f t="shared" si="1"/>
        <v>0</v>
      </c>
    </row>
    <row r="40" spans="1:21" s="44" customFormat="1" ht="12.75" customHeight="1">
      <c r="A40" s="44" t="s">
        <v>56</v>
      </c>
      <c r="C40" s="44" t="s">
        <v>57</v>
      </c>
      <c r="E40" s="45">
        <v>4581598</v>
      </c>
      <c r="F40" s="45"/>
      <c r="G40" s="45">
        <v>7575582</v>
      </c>
      <c r="H40" s="45"/>
      <c r="I40" s="45">
        <v>2065290</v>
      </c>
      <c r="J40" s="45"/>
      <c r="K40" s="45">
        <v>2880319</v>
      </c>
      <c r="L40" s="45"/>
      <c r="M40" s="45">
        <f>115345+3737520+68900</f>
        <v>3921765</v>
      </c>
      <c r="N40" s="45"/>
      <c r="O40" s="45">
        <v>22561</v>
      </c>
      <c r="P40" s="45"/>
      <c r="Q40" s="45">
        <v>750937</v>
      </c>
      <c r="R40" s="45"/>
      <c r="S40" s="45">
        <f t="shared" si="0"/>
        <v>4695263</v>
      </c>
      <c r="T40" s="45"/>
      <c r="U40" s="44">
        <f t="shared" si="1"/>
        <v>0</v>
      </c>
    </row>
    <row r="41" spans="1:21" s="44" customFormat="1" ht="12.75" customHeight="1">
      <c r="A41" s="44" t="s">
        <v>58</v>
      </c>
      <c r="C41" s="44" t="s">
        <v>59</v>
      </c>
      <c r="E41" s="45">
        <f>3368411+331943</f>
        <v>3700354</v>
      </c>
      <c r="F41" s="45"/>
      <c r="G41" s="45">
        <v>8917711</v>
      </c>
      <c r="H41" s="45"/>
      <c r="I41" s="45">
        <v>3571853</v>
      </c>
      <c r="J41" s="45"/>
      <c r="K41" s="45">
        <v>4175769</v>
      </c>
      <c r="L41" s="45"/>
      <c r="M41" s="45">
        <f>213984+72643</f>
        <v>286627</v>
      </c>
      <c r="N41" s="45"/>
      <c r="O41" s="45">
        <v>0</v>
      </c>
      <c r="P41" s="45"/>
      <c r="Q41" s="45">
        <f>1226816+2960351-33592+301740</f>
        <v>4455315</v>
      </c>
      <c r="R41" s="45"/>
      <c r="S41" s="45">
        <f t="shared" si="0"/>
        <v>4741942</v>
      </c>
      <c r="T41" s="45"/>
      <c r="U41" s="44">
        <f t="shared" si="1"/>
        <v>0</v>
      </c>
    </row>
    <row r="42" spans="1:21" s="44" customFormat="1" ht="12.75" customHeight="1">
      <c r="A42" s="44" t="s">
        <v>476</v>
      </c>
      <c r="C42" s="44" t="s">
        <v>15</v>
      </c>
      <c r="E42" s="45">
        <v>1008273</v>
      </c>
      <c r="F42" s="45"/>
      <c r="G42" s="45">
        <v>2145218</v>
      </c>
      <c r="H42" s="45"/>
      <c r="I42" s="45">
        <v>816496</v>
      </c>
      <c r="J42" s="45"/>
      <c r="K42" s="45">
        <v>974249</v>
      </c>
      <c r="L42" s="45"/>
      <c r="M42" s="45">
        <v>99341</v>
      </c>
      <c r="N42" s="45"/>
      <c r="O42" s="45">
        <v>0</v>
      </c>
      <c r="P42" s="45"/>
      <c r="Q42" s="45">
        <f>1170969-99341</f>
        <v>1071628</v>
      </c>
      <c r="R42" s="45"/>
      <c r="S42" s="45">
        <f t="shared" si="0"/>
        <v>1170969</v>
      </c>
      <c r="T42" s="45"/>
      <c r="U42" s="44">
        <f>+G42-K42-S42</f>
        <v>0</v>
      </c>
    </row>
    <row r="43" spans="1:21" s="44" customFormat="1" ht="12.75" customHeight="1">
      <c r="A43" s="44" t="s">
        <v>60</v>
      </c>
      <c r="C43" s="44" t="s">
        <v>61</v>
      </c>
      <c r="E43" s="45">
        <f>2974441+288508</f>
        <v>3262949</v>
      </c>
      <c r="F43" s="45"/>
      <c r="G43" s="45">
        <v>5626202</v>
      </c>
      <c r="H43" s="45"/>
      <c r="I43" s="45">
        <v>1267304</v>
      </c>
      <c r="J43" s="45"/>
      <c r="K43" s="45">
        <v>1620348</v>
      </c>
      <c r="L43" s="45"/>
      <c r="M43" s="45">
        <f>109002+106955+2259+100000</f>
        <v>318216</v>
      </c>
      <c r="N43" s="45"/>
      <c r="O43" s="45">
        <v>87400</v>
      </c>
      <c r="P43" s="45"/>
      <c r="Q43" s="45">
        <f>1873714+1336547+227629+21643+140705</f>
        <v>3600238</v>
      </c>
      <c r="R43" s="45"/>
      <c r="S43" s="45">
        <f t="shared" si="0"/>
        <v>4005854</v>
      </c>
      <c r="T43" s="45"/>
      <c r="U43" s="44">
        <f t="shared" si="1"/>
        <v>0</v>
      </c>
    </row>
    <row r="44" spans="1:21" s="44" customFormat="1" ht="12.75" customHeight="1">
      <c r="A44" s="44" t="s">
        <v>62</v>
      </c>
      <c r="C44" s="44" t="s">
        <v>15</v>
      </c>
      <c r="E44" s="45">
        <f>20627306+3019</f>
        <v>20630325</v>
      </c>
      <c r="F44" s="45"/>
      <c r="G44" s="45">
        <v>53368807</v>
      </c>
      <c r="H44" s="45"/>
      <c r="I44" s="45">
        <v>195377463</v>
      </c>
      <c r="J44" s="45"/>
      <c r="K44" s="45">
        <v>25581044</v>
      </c>
      <c r="L44" s="45"/>
      <c r="M44" s="45">
        <f>288379+18536979+3364969</f>
        <v>22190327</v>
      </c>
      <c r="N44" s="45"/>
      <c r="O44" s="45">
        <v>0</v>
      </c>
      <c r="P44" s="45"/>
      <c r="Q44" s="45">
        <v>5597436</v>
      </c>
      <c r="R44" s="45"/>
      <c r="S44" s="45">
        <f t="shared" si="0"/>
        <v>27787763</v>
      </c>
      <c r="T44" s="45"/>
      <c r="U44" s="44">
        <f t="shared" si="1"/>
        <v>0</v>
      </c>
    </row>
    <row r="45" spans="1:21" s="44" customFormat="1" ht="12.75" customHeight="1">
      <c r="A45" s="44" t="s">
        <v>485</v>
      </c>
      <c r="C45" s="44" t="s">
        <v>111</v>
      </c>
      <c r="E45" s="45">
        <v>1209791</v>
      </c>
      <c r="F45" s="45"/>
      <c r="G45" s="45">
        <v>2250571</v>
      </c>
      <c r="H45" s="45"/>
      <c r="I45" s="45">
        <v>452183</v>
      </c>
      <c r="J45" s="45"/>
      <c r="K45" s="45">
        <v>1671961</v>
      </c>
      <c r="L45" s="45"/>
      <c r="M45" s="45">
        <f>115743+16813+17806+6077</f>
        <v>156439</v>
      </c>
      <c r="N45" s="45"/>
      <c r="O45" s="45">
        <v>0</v>
      </c>
      <c r="P45" s="45"/>
      <c r="Q45" s="45">
        <f>588020+509643-675492</f>
        <v>422171</v>
      </c>
      <c r="R45" s="45"/>
      <c r="S45" s="45">
        <f t="shared" si="0"/>
        <v>578610</v>
      </c>
      <c r="T45" s="45"/>
      <c r="U45" s="44">
        <f>+G45-K45-S45</f>
        <v>0</v>
      </c>
    </row>
    <row r="46" spans="1:21" s="44" customFormat="1" ht="12.75" customHeight="1">
      <c r="A46" s="44" t="s">
        <v>63</v>
      </c>
      <c r="C46" s="44" t="s">
        <v>64</v>
      </c>
      <c r="E46" s="45">
        <f>2366223+1137227</f>
        <v>3503450</v>
      </c>
      <c r="F46" s="45"/>
      <c r="G46" s="45">
        <v>6713681</v>
      </c>
      <c r="H46" s="45"/>
      <c r="I46" s="45">
        <v>2370630</v>
      </c>
      <c r="J46" s="45"/>
      <c r="K46" s="45">
        <v>3352200</v>
      </c>
      <c r="L46" s="45"/>
      <c r="M46" s="45">
        <f>87942+2257501</f>
        <v>2345443</v>
      </c>
      <c r="N46" s="45"/>
      <c r="O46" s="45">
        <v>29846</v>
      </c>
      <c r="P46" s="45"/>
      <c r="Q46" s="45">
        <v>986192</v>
      </c>
      <c r="R46" s="45"/>
      <c r="S46" s="45">
        <f t="shared" si="0"/>
        <v>3361481</v>
      </c>
      <c r="T46" s="45"/>
      <c r="U46" s="44">
        <f t="shared" si="1"/>
        <v>0</v>
      </c>
    </row>
    <row r="47" spans="1:21" s="44" customFormat="1" ht="12.75" customHeight="1">
      <c r="A47" s="44" t="s">
        <v>65</v>
      </c>
      <c r="C47" s="44" t="s">
        <v>66</v>
      </c>
      <c r="E47" s="45">
        <v>14840914</v>
      </c>
      <c r="F47" s="45"/>
      <c r="G47" s="45">
        <v>31993489</v>
      </c>
      <c r="H47" s="45"/>
      <c r="I47" s="45">
        <v>13851021</v>
      </c>
      <c r="J47" s="45"/>
      <c r="K47" s="45">
        <v>15104736</v>
      </c>
      <c r="L47" s="45"/>
      <c r="M47" s="45">
        <f>564779+27903+359907+100931</f>
        <v>1053520</v>
      </c>
      <c r="N47" s="45"/>
      <c r="O47" s="45">
        <v>0</v>
      </c>
      <c r="P47" s="45"/>
      <c r="Q47" s="45">
        <f>12161229+1146445+588674+1938885</f>
        <v>15835233</v>
      </c>
      <c r="R47" s="45"/>
      <c r="S47" s="45">
        <f t="shared" si="0"/>
        <v>16888753</v>
      </c>
      <c r="T47" s="45"/>
      <c r="U47" s="44">
        <f>+G47-K47-S47</f>
        <v>0</v>
      </c>
    </row>
    <row r="48" spans="1:21" s="44" customFormat="1" ht="12.75" customHeight="1">
      <c r="A48" s="44" t="s">
        <v>67</v>
      </c>
      <c r="C48" s="44" t="s">
        <v>375</v>
      </c>
      <c r="E48" s="45">
        <v>4243172</v>
      </c>
      <c r="F48" s="45"/>
      <c r="G48" s="45">
        <v>7319291</v>
      </c>
      <c r="H48" s="45"/>
      <c r="I48" s="45">
        <v>2062502</v>
      </c>
      <c r="J48" s="45"/>
      <c r="K48" s="45">
        <v>2546860</v>
      </c>
      <c r="L48" s="45"/>
      <c r="M48" s="45">
        <f>303158+293589</f>
        <v>596747</v>
      </c>
      <c r="N48" s="45"/>
      <c r="O48" s="45">
        <v>0</v>
      </c>
      <c r="P48" s="45"/>
      <c r="Q48" s="45">
        <f>1960118+1120939+439+1094188</f>
        <v>4175684</v>
      </c>
      <c r="R48" s="45"/>
      <c r="S48" s="45">
        <f t="shared" si="0"/>
        <v>4772431</v>
      </c>
      <c r="T48" s="45"/>
      <c r="U48" s="44">
        <f t="shared" ref="U48:U62" si="2">+G48-K48-S48</f>
        <v>0</v>
      </c>
    </row>
    <row r="49" spans="1:21" s="44" customFormat="1" ht="12.75" customHeight="1">
      <c r="A49" s="44" t="s">
        <v>68</v>
      </c>
      <c r="C49" s="44" t="s">
        <v>45</v>
      </c>
      <c r="E49" s="45">
        <v>1122391</v>
      </c>
      <c r="F49" s="45"/>
      <c r="G49" s="45">
        <v>4392998</v>
      </c>
      <c r="H49" s="45"/>
      <c r="I49" s="45">
        <v>2690284</v>
      </c>
      <c r="J49" s="45"/>
      <c r="K49" s="45">
        <v>3027332</v>
      </c>
      <c r="L49" s="45"/>
      <c r="M49" s="45">
        <f>57001+15537+59402</f>
        <v>131940</v>
      </c>
      <c r="N49" s="45"/>
      <c r="O49" s="45">
        <v>0</v>
      </c>
      <c r="P49" s="45"/>
      <c r="Q49" s="45">
        <f>759062+325893+26+148745</f>
        <v>1233726</v>
      </c>
      <c r="R49" s="45"/>
      <c r="S49" s="45">
        <f t="shared" si="0"/>
        <v>1365666</v>
      </c>
      <c r="T49" s="45"/>
      <c r="U49" s="44">
        <f t="shared" si="2"/>
        <v>0</v>
      </c>
    </row>
    <row r="50" spans="1:21" s="44" customFormat="1" ht="12.75" customHeight="1">
      <c r="A50" s="44" t="s">
        <v>69</v>
      </c>
      <c r="C50" s="44" t="s">
        <v>70</v>
      </c>
      <c r="E50" s="45">
        <v>4371875</v>
      </c>
      <c r="F50" s="45"/>
      <c r="G50" s="45">
        <v>10003711</v>
      </c>
      <c r="H50" s="45"/>
      <c r="I50" s="45">
        <v>2991318</v>
      </c>
      <c r="J50" s="45"/>
      <c r="K50" s="45">
        <v>9261623</v>
      </c>
      <c r="L50" s="45"/>
      <c r="M50" s="45">
        <f>183983+150330+1000</f>
        <v>335313</v>
      </c>
      <c r="N50" s="45"/>
      <c r="O50" s="45">
        <v>0</v>
      </c>
      <c r="P50" s="45"/>
      <c r="Q50" s="45">
        <f>1194568-1229271+16646+422625+2207</f>
        <v>406775</v>
      </c>
      <c r="R50" s="45"/>
      <c r="S50" s="45">
        <f t="shared" si="0"/>
        <v>742088</v>
      </c>
      <c r="T50" s="45"/>
      <c r="U50" s="44">
        <f t="shared" si="2"/>
        <v>0</v>
      </c>
    </row>
    <row r="51" spans="1:21" s="44" customFormat="1" ht="12.75" customHeight="1">
      <c r="A51" s="44" t="s">
        <v>71</v>
      </c>
      <c r="C51" s="44" t="s">
        <v>45</v>
      </c>
      <c r="E51" s="45">
        <f>12181000+341187000</f>
        <v>353368000</v>
      </c>
      <c r="F51" s="45"/>
      <c r="G51" s="45">
        <v>626407000</v>
      </c>
      <c r="H51" s="45"/>
      <c r="I51" s="45">
        <v>139713000</v>
      </c>
      <c r="J51" s="45"/>
      <c r="K51" s="45">
        <v>234251000</v>
      </c>
      <c r="L51" s="45"/>
      <c r="M51" s="45">
        <f>22962000+268176000+8798000</f>
        <v>299936000</v>
      </c>
      <c r="N51" s="45"/>
      <c r="O51" s="45">
        <v>45756000</v>
      </c>
      <c r="P51" s="45"/>
      <c r="Q51" s="45">
        <v>46464000</v>
      </c>
      <c r="R51" s="45"/>
      <c r="S51" s="45">
        <f t="shared" si="0"/>
        <v>392156000</v>
      </c>
      <c r="T51" s="45"/>
      <c r="U51" s="44">
        <f t="shared" si="2"/>
        <v>0</v>
      </c>
    </row>
    <row r="52" spans="1:21" s="44" customFormat="1" ht="12.75" customHeight="1">
      <c r="A52" s="44" t="s">
        <v>463</v>
      </c>
      <c r="C52" s="44" t="s">
        <v>464</v>
      </c>
      <c r="E52" s="45">
        <f>3393851+34839</f>
        <v>3428690</v>
      </c>
      <c r="F52" s="45"/>
      <c r="G52" s="45">
        <v>9057061</v>
      </c>
      <c r="H52" s="45"/>
      <c r="I52" s="45">
        <v>3391486</v>
      </c>
      <c r="J52" s="45"/>
      <c r="K52" s="45">
        <v>4225800</v>
      </c>
      <c r="L52" s="45"/>
      <c r="M52" s="45">
        <f>330836+835577</f>
        <v>1166413</v>
      </c>
      <c r="N52" s="45"/>
      <c r="O52" s="45">
        <v>0</v>
      </c>
      <c r="P52" s="45"/>
      <c r="Q52" s="45">
        <f>1393840+1631660+164175+475173</f>
        <v>3664848</v>
      </c>
      <c r="R52" s="45"/>
      <c r="S52" s="45">
        <f t="shared" si="0"/>
        <v>4831261</v>
      </c>
      <c r="T52" s="45"/>
      <c r="U52" s="44">
        <f t="shared" si="2"/>
        <v>0</v>
      </c>
    </row>
    <row r="53" spans="1:21" s="44" customFormat="1" ht="12.75" customHeight="1">
      <c r="A53" s="44" t="s">
        <v>72</v>
      </c>
      <c r="C53" s="44" t="s">
        <v>66</v>
      </c>
      <c r="E53" s="45">
        <v>6024027</v>
      </c>
      <c r="F53" s="45"/>
      <c r="G53" s="45">
        <v>11386510</v>
      </c>
      <c r="H53" s="45"/>
      <c r="I53" s="45">
        <v>4679191</v>
      </c>
      <c r="J53" s="45"/>
      <c r="K53" s="45">
        <v>7023196</v>
      </c>
      <c r="L53" s="45"/>
      <c r="M53" s="45">
        <f>5901+1912706</f>
        <v>1918607</v>
      </c>
      <c r="N53" s="45"/>
      <c r="O53" s="45">
        <v>175556</v>
      </c>
      <c r="P53" s="45"/>
      <c r="Q53" s="45">
        <v>2269151</v>
      </c>
      <c r="R53" s="45"/>
      <c r="S53" s="45">
        <f t="shared" si="0"/>
        <v>4363314</v>
      </c>
      <c r="T53" s="45"/>
      <c r="U53" s="44">
        <f t="shared" si="2"/>
        <v>0</v>
      </c>
    </row>
    <row r="54" spans="1:21" s="44" customFormat="1" ht="12.75" customHeight="1">
      <c r="A54" s="44" t="s">
        <v>342</v>
      </c>
      <c r="C54" s="44" t="s">
        <v>27</v>
      </c>
      <c r="E54" s="45">
        <v>296227000</v>
      </c>
      <c r="F54" s="45"/>
      <c r="G54" s="45">
        <v>723049000</v>
      </c>
      <c r="H54" s="45"/>
      <c r="I54" s="45">
        <v>159924000</v>
      </c>
      <c r="J54" s="45"/>
      <c r="K54" s="45">
        <v>350627000</v>
      </c>
      <c r="L54" s="45"/>
      <c r="M54" s="45">
        <v>272766000</v>
      </c>
      <c r="N54" s="45"/>
      <c r="O54" s="45">
        <f>42000+3020000+25381000</f>
        <v>28443000</v>
      </c>
      <c r="P54" s="45"/>
      <c r="Q54" s="45">
        <f>-2571000+61412000+12372000</f>
        <v>71213000</v>
      </c>
      <c r="R54" s="45"/>
      <c r="S54" s="45">
        <f t="shared" si="0"/>
        <v>372422000</v>
      </c>
      <c r="T54" s="45"/>
      <c r="U54" s="44">
        <f t="shared" si="2"/>
        <v>0</v>
      </c>
    </row>
    <row r="55" spans="1:21" s="44" customFormat="1" ht="12.75" customHeight="1">
      <c r="A55" s="44" t="s">
        <v>74</v>
      </c>
      <c r="C55" s="44" t="s">
        <v>27</v>
      </c>
      <c r="E55" s="45">
        <f>13466023+1985158</f>
        <v>15451181</v>
      </c>
      <c r="F55" s="45"/>
      <c r="G55" s="45">
        <v>42842302</v>
      </c>
      <c r="H55" s="45"/>
      <c r="I55" s="45">
        <v>19684944</v>
      </c>
      <c r="J55" s="45"/>
      <c r="K55" s="45">
        <v>26735304</v>
      </c>
      <c r="L55" s="45"/>
      <c r="M55" s="45">
        <f>1072521+1684954+329078+422791</f>
        <v>3509344</v>
      </c>
      <c r="N55" s="45"/>
      <c r="O55" s="45">
        <v>0</v>
      </c>
      <c r="P55" s="45"/>
      <c r="Q55" s="45">
        <f>5598140+1850250+3790860+1358404</f>
        <v>12597654</v>
      </c>
      <c r="R55" s="45"/>
      <c r="S55" s="45">
        <f t="shared" si="0"/>
        <v>16106998</v>
      </c>
      <c r="T55" s="45"/>
      <c r="U55" s="44">
        <f t="shared" si="2"/>
        <v>0</v>
      </c>
    </row>
    <row r="56" spans="1:21" s="44" customFormat="1" ht="12.75" customHeight="1">
      <c r="A56" s="44" t="s">
        <v>75</v>
      </c>
      <c r="C56" s="44" t="s">
        <v>76</v>
      </c>
      <c r="E56" s="45">
        <v>1891169</v>
      </c>
      <c r="F56" s="45"/>
      <c r="G56" s="45">
        <v>3501851</v>
      </c>
      <c r="H56" s="45"/>
      <c r="I56" s="45">
        <v>596532</v>
      </c>
      <c r="J56" s="45"/>
      <c r="K56" s="45">
        <v>1185739</v>
      </c>
      <c r="L56" s="45"/>
      <c r="M56" s="45">
        <f>81954+22390+6552</f>
        <v>110896</v>
      </c>
      <c r="N56" s="45"/>
      <c r="O56" s="45">
        <v>0</v>
      </c>
      <c r="P56" s="45"/>
      <c r="Q56" s="45">
        <f>1145397+569290+5424+485105</f>
        <v>2205216</v>
      </c>
      <c r="R56" s="45"/>
      <c r="S56" s="45">
        <f t="shared" si="0"/>
        <v>2316112</v>
      </c>
      <c r="T56" s="45"/>
      <c r="U56" s="44">
        <f t="shared" si="2"/>
        <v>0</v>
      </c>
    </row>
    <row r="57" spans="1:21" s="44" customFormat="1" ht="12.75" customHeight="1">
      <c r="A57" s="44" t="s">
        <v>77</v>
      </c>
      <c r="C57" s="44" t="s">
        <v>43</v>
      </c>
      <c r="E57" s="45">
        <f>469016000+580000+8645000+1952000</f>
        <v>480193000</v>
      </c>
      <c r="F57" s="45"/>
      <c r="G57" s="45">
        <v>721400000</v>
      </c>
      <c r="H57" s="45"/>
      <c r="I57" s="45">
        <v>147383000</v>
      </c>
      <c r="J57" s="45"/>
      <c r="K57" s="45">
        <v>220082000</v>
      </c>
      <c r="L57" s="45"/>
      <c r="M57" s="45">
        <f>232395000+197739000</f>
        <v>430134000</v>
      </c>
      <c r="N57" s="45"/>
      <c r="O57" s="45">
        <v>4951000</v>
      </c>
      <c r="P57" s="45"/>
      <c r="Q57" s="45">
        <v>66233000</v>
      </c>
      <c r="R57" s="45"/>
      <c r="S57" s="45">
        <f t="shared" si="0"/>
        <v>501318000</v>
      </c>
      <c r="T57" s="45"/>
      <c r="U57" s="44">
        <f t="shared" si="2"/>
        <v>0</v>
      </c>
    </row>
    <row r="58" spans="1:21" s="44" customFormat="1" ht="12.75" customHeight="1">
      <c r="A58" s="44" t="s">
        <v>94</v>
      </c>
      <c r="C58" s="44" t="s">
        <v>94</v>
      </c>
      <c r="E58" s="45">
        <f>1442475+205438</f>
        <v>1647913</v>
      </c>
      <c r="F58" s="45"/>
      <c r="G58" s="45">
        <v>3049096</v>
      </c>
      <c r="H58" s="45"/>
      <c r="I58" s="45">
        <v>803940</v>
      </c>
      <c r="J58" s="45"/>
      <c r="K58" s="45">
        <v>963755</v>
      </c>
      <c r="L58" s="45"/>
      <c r="M58" s="45">
        <f>122538+42172+19872+154055</f>
        <v>338637</v>
      </c>
      <c r="N58" s="45"/>
      <c r="O58" s="45">
        <v>0</v>
      </c>
      <c r="P58" s="45"/>
      <c r="Q58" s="45">
        <f>117814+1046521+80046+502323</f>
        <v>1746704</v>
      </c>
      <c r="R58" s="45"/>
      <c r="S58" s="45">
        <f t="shared" si="0"/>
        <v>2085341</v>
      </c>
      <c r="T58" s="45"/>
      <c r="U58" s="44">
        <f>+G58-K58-S58</f>
        <v>0</v>
      </c>
    </row>
    <row r="59" spans="1:21" s="44" customFormat="1" ht="12.75" customHeight="1">
      <c r="A59" s="44" t="s">
        <v>78</v>
      </c>
      <c r="C59" s="44" t="s">
        <v>19</v>
      </c>
      <c r="E59" s="45">
        <v>2349210</v>
      </c>
      <c r="F59" s="45"/>
      <c r="G59" s="45">
        <v>7203910</v>
      </c>
      <c r="H59" s="45"/>
      <c r="I59" s="45">
        <v>3846295</v>
      </c>
      <c r="J59" s="45"/>
      <c r="K59" s="45">
        <v>4617341</v>
      </c>
      <c r="L59" s="45"/>
      <c r="M59" s="45">
        <f>53911+17772+2267</f>
        <v>73950</v>
      </c>
      <c r="N59" s="45"/>
      <c r="O59" s="45">
        <v>0</v>
      </c>
      <c r="P59" s="45"/>
      <c r="Q59" s="45">
        <f>554616+532264+466043+959696</f>
        <v>2512619</v>
      </c>
      <c r="R59" s="45"/>
      <c r="S59" s="45">
        <f t="shared" si="0"/>
        <v>2586569</v>
      </c>
      <c r="T59" s="45"/>
      <c r="U59" s="44">
        <f t="shared" si="2"/>
        <v>0</v>
      </c>
    </row>
    <row r="60" spans="1:21" s="44" customFormat="1" ht="12.75" customHeight="1">
      <c r="D60" s="3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8" t="s">
        <v>484</v>
      </c>
      <c r="T60" s="45"/>
    </row>
    <row r="61" spans="1:21" s="44" customFormat="1" ht="12.75" customHeight="1">
      <c r="A61" s="44" t="s">
        <v>79</v>
      </c>
      <c r="C61" s="44" t="s">
        <v>80</v>
      </c>
      <c r="E61" s="94">
        <v>1866005</v>
      </c>
      <c r="F61" s="94"/>
      <c r="G61" s="94">
        <v>4800182</v>
      </c>
      <c r="H61" s="94"/>
      <c r="I61" s="94">
        <v>2796402</v>
      </c>
      <c r="J61" s="94"/>
      <c r="K61" s="94">
        <v>3010296</v>
      </c>
      <c r="L61" s="94"/>
      <c r="M61" s="94">
        <v>2151</v>
      </c>
      <c r="N61" s="94"/>
      <c r="O61" s="94">
        <v>0</v>
      </c>
      <c r="P61" s="94"/>
      <c r="Q61" s="94">
        <f>753709+856120+177906</f>
        <v>1787735</v>
      </c>
      <c r="R61" s="94"/>
      <c r="S61" s="94">
        <f t="shared" si="0"/>
        <v>1789886</v>
      </c>
      <c r="T61" s="45"/>
      <c r="U61" s="44">
        <f t="shared" si="2"/>
        <v>0</v>
      </c>
    </row>
    <row r="62" spans="1:21" s="44" customFormat="1" ht="12.75" customHeight="1">
      <c r="A62" s="44" t="s">
        <v>81</v>
      </c>
      <c r="C62" s="44" t="s">
        <v>81</v>
      </c>
      <c r="E62" s="45">
        <v>2210543</v>
      </c>
      <c r="F62" s="45"/>
      <c r="G62" s="45">
        <v>4438400</v>
      </c>
      <c r="H62" s="45"/>
      <c r="I62" s="45">
        <v>1010331</v>
      </c>
      <c r="J62" s="45"/>
      <c r="K62" s="45">
        <v>2018002</v>
      </c>
      <c r="L62" s="45"/>
      <c r="M62" s="45">
        <f>5100+73166+2306+250000</f>
        <v>330572</v>
      </c>
      <c r="N62" s="45"/>
      <c r="O62" s="45">
        <v>0</v>
      </c>
      <c r="P62" s="45"/>
      <c r="Q62" s="45">
        <f>263243+1395520+274061+157002</f>
        <v>2089826</v>
      </c>
      <c r="R62" s="45"/>
      <c r="S62" s="45">
        <f t="shared" si="0"/>
        <v>2420398</v>
      </c>
      <c r="T62" s="45"/>
      <c r="U62" s="44">
        <f t="shared" si="2"/>
        <v>0</v>
      </c>
    </row>
    <row r="63" spans="1:21" s="121" customFormat="1" ht="12.75" hidden="1" customHeight="1">
      <c r="A63" s="122" t="s">
        <v>465</v>
      </c>
      <c r="B63" s="122"/>
      <c r="C63" s="122" t="s">
        <v>57</v>
      </c>
      <c r="E63" s="127">
        <v>0</v>
      </c>
      <c r="F63" s="127"/>
      <c r="G63" s="127">
        <v>0</v>
      </c>
      <c r="H63" s="127"/>
      <c r="I63" s="127">
        <v>0</v>
      </c>
      <c r="J63" s="127"/>
      <c r="K63" s="127">
        <v>0</v>
      </c>
      <c r="L63" s="127"/>
      <c r="M63" s="127">
        <v>0</v>
      </c>
      <c r="N63" s="127"/>
      <c r="O63" s="127">
        <v>0</v>
      </c>
      <c r="P63" s="127"/>
      <c r="Q63" s="127">
        <v>0</v>
      </c>
      <c r="R63" s="127"/>
      <c r="S63" s="127">
        <f t="shared" si="0"/>
        <v>0</v>
      </c>
      <c r="T63" s="127"/>
      <c r="U63" s="121">
        <f>+G63-K63-S63</f>
        <v>0</v>
      </c>
    </row>
    <row r="64" spans="1:21" s="44" customFormat="1" ht="12.75" customHeight="1">
      <c r="A64" s="44" t="s">
        <v>82</v>
      </c>
      <c r="C64" s="44" t="s">
        <v>13</v>
      </c>
      <c r="E64" s="45">
        <f>12818453+160880+212537+17623</f>
        <v>13209493</v>
      </c>
      <c r="F64" s="45"/>
      <c r="G64" s="45">
        <v>51357226</v>
      </c>
      <c r="H64" s="45"/>
      <c r="I64" s="45">
        <v>15248648</v>
      </c>
      <c r="J64" s="45"/>
      <c r="K64" s="45">
        <v>32457622</v>
      </c>
      <c r="L64" s="45"/>
      <c r="M64" s="45">
        <f>900545+123657+214316+395926+1959295+5327+224849+12200116</f>
        <v>16024031</v>
      </c>
      <c r="N64" s="45"/>
      <c r="O64" s="45">
        <v>0</v>
      </c>
      <c r="P64" s="45"/>
      <c r="Q64" s="45">
        <f>7829712+1999771-6953910</f>
        <v>2875573</v>
      </c>
      <c r="R64" s="45"/>
      <c r="S64" s="45">
        <f t="shared" si="0"/>
        <v>18899604</v>
      </c>
      <c r="T64" s="45"/>
      <c r="U64" s="44">
        <f t="shared" si="1"/>
        <v>0</v>
      </c>
    </row>
    <row r="65" spans="1:21" s="44" customFormat="1" ht="12.75" customHeight="1">
      <c r="A65" s="44" t="s">
        <v>83</v>
      </c>
      <c r="C65" s="44" t="s">
        <v>66</v>
      </c>
      <c r="E65" s="45">
        <f>59695379+250+86771</f>
        <v>59782400</v>
      </c>
      <c r="F65" s="45"/>
      <c r="G65" s="45">
        <v>185507043</v>
      </c>
      <c r="H65" s="45"/>
      <c r="I65" s="45">
        <v>34346468</v>
      </c>
      <c r="J65" s="45"/>
      <c r="K65" s="45">
        <v>70793041</v>
      </c>
      <c r="L65" s="45"/>
      <c r="M65" s="45">
        <f>59088729+522060+142262+933540+9101532+17092706+37921524+102228</f>
        <v>124904581</v>
      </c>
      <c r="N65" s="45"/>
      <c r="O65" s="45">
        <v>5322656</v>
      </c>
      <c r="P65" s="45"/>
      <c r="Q65" s="45">
        <f>26153904-22938155+70250-18799234</f>
        <v>-15513235</v>
      </c>
      <c r="R65" s="45"/>
      <c r="S65" s="45">
        <f t="shared" si="0"/>
        <v>114714002</v>
      </c>
      <c r="T65" s="45"/>
      <c r="U65" s="44">
        <f>+G65-K65-S65</f>
        <v>0</v>
      </c>
    </row>
    <row r="66" spans="1:21" s="44" customFormat="1" ht="12.75" customHeight="1">
      <c r="A66" s="44" t="s">
        <v>84</v>
      </c>
      <c r="C66" s="44" t="s">
        <v>45</v>
      </c>
      <c r="E66" s="45">
        <v>1674563</v>
      </c>
      <c r="F66" s="45"/>
      <c r="G66" s="45">
        <v>3709759</v>
      </c>
      <c r="H66" s="45"/>
      <c r="I66" s="45">
        <v>1568803</v>
      </c>
      <c r="J66" s="45"/>
      <c r="K66" s="45">
        <v>1941200</v>
      </c>
      <c r="L66" s="45"/>
      <c r="M66" s="45">
        <v>0</v>
      </c>
      <c r="N66" s="45"/>
      <c r="O66" s="45">
        <v>0</v>
      </c>
      <c r="P66" s="45"/>
      <c r="Q66" s="45">
        <v>1768559</v>
      </c>
      <c r="R66" s="45"/>
      <c r="S66" s="45">
        <f t="shared" si="0"/>
        <v>1768559</v>
      </c>
      <c r="T66" s="45"/>
      <c r="U66" s="44">
        <f t="shared" si="1"/>
        <v>0</v>
      </c>
    </row>
    <row r="67" spans="1:21" s="44" customFormat="1" ht="12.75" customHeight="1">
      <c r="A67" s="44" t="s">
        <v>85</v>
      </c>
      <c r="C67" s="44" t="s">
        <v>85</v>
      </c>
      <c r="E67" s="45">
        <f>6170445+67238+361+150846</f>
        <v>6388890</v>
      </c>
      <c r="F67" s="45"/>
      <c r="G67" s="45">
        <v>11049307</v>
      </c>
      <c r="H67" s="45"/>
      <c r="I67" s="45">
        <v>958833</v>
      </c>
      <c r="J67" s="45"/>
      <c r="K67" s="45">
        <v>7536876</v>
      </c>
      <c r="L67" s="45"/>
      <c r="M67" s="45">
        <f>518253+39839+1437825+1003362+150846</f>
        <v>3150125</v>
      </c>
      <c r="N67" s="45"/>
      <c r="O67" s="45">
        <v>0</v>
      </c>
      <c r="P67" s="45"/>
      <c r="Q67" s="45">
        <f>1573664+1917162-3128520</f>
        <v>362306</v>
      </c>
      <c r="R67" s="45"/>
      <c r="S67" s="45">
        <f t="shared" si="0"/>
        <v>3512431</v>
      </c>
      <c r="T67" s="45"/>
      <c r="U67" s="44">
        <f t="shared" si="1"/>
        <v>0</v>
      </c>
    </row>
    <row r="68" spans="1:21" s="44" customFormat="1" ht="12.75" customHeight="1">
      <c r="A68" s="44" t="s">
        <v>86</v>
      </c>
      <c r="C68" s="44" t="s">
        <v>86</v>
      </c>
      <c r="E68" s="45">
        <v>28557094</v>
      </c>
      <c r="F68" s="45"/>
      <c r="G68" s="45">
        <v>45297251</v>
      </c>
      <c r="H68" s="45"/>
      <c r="I68" s="45">
        <v>5828916</v>
      </c>
      <c r="J68" s="45"/>
      <c r="K68" s="45">
        <v>30222114</v>
      </c>
      <c r="L68" s="45"/>
      <c r="M68" s="45">
        <f>10692389+1279240+82021+46758+90975+718352</f>
        <v>12909735</v>
      </c>
      <c r="N68" s="45"/>
      <c r="O68" s="45">
        <v>0</v>
      </c>
      <c r="P68" s="45"/>
      <c r="Q68" s="45">
        <f>4269038+9167317+65486-11336439</f>
        <v>2165402</v>
      </c>
      <c r="R68" s="45"/>
      <c r="S68" s="45">
        <f t="shared" si="0"/>
        <v>15075137</v>
      </c>
      <c r="T68" s="45"/>
      <c r="U68" s="44">
        <f t="shared" si="1"/>
        <v>0</v>
      </c>
    </row>
    <row r="69" spans="1:21" s="44" customFormat="1" ht="12.75" customHeight="1">
      <c r="A69" s="44" t="s">
        <v>87</v>
      </c>
      <c r="C69" s="44" t="s">
        <v>88</v>
      </c>
      <c r="D69" s="35"/>
      <c r="E69" s="45">
        <v>981761</v>
      </c>
      <c r="F69" s="45"/>
      <c r="G69" s="45">
        <v>2732706</v>
      </c>
      <c r="H69" s="45"/>
      <c r="I69" s="45">
        <v>1129371</v>
      </c>
      <c r="J69" s="45"/>
      <c r="K69" s="45">
        <v>1241621</v>
      </c>
      <c r="L69" s="45"/>
      <c r="M69" s="45">
        <v>578</v>
      </c>
      <c r="N69" s="45"/>
      <c r="O69" s="45">
        <v>0</v>
      </c>
      <c r="P69" s="45"/>
      <c r="Q69" s="45">
        <f>753509+1004256-267258</f>
        <v>1490507</v>
      </c>
      <c r="R69" s="45"/>
      <c r="S69" s="45">
        <f t="shared" si="0"/>
        <v>1491085</v>
      </c>
      <c r="T69" s="45"/>
      <c r="U69" s="44">
        <f>+G69-K69-S69</f>
        <v>0</v>
      </c>
    </row>
    <row r="70" spans="1:21" s="44" customFormat="1" ht="12.75" customHeight="1">
      <c r="A70" s="44" t="s">
        <v>394</v>
      </c>
      <c r="C70" s="44" t="s">
        <v>89</v>
      </c>
      <c r="E70" s="45">
        <f>3621042+4374</f>
        <v>3625416</v>
      </c>
      <c r="F70" s="45"/>
      <c r="G70" s="45">
        <v>7811269</v>
      </c>
      <c r="H70" s="45"/>
      <c r="I70" s="45">
        <v>2714633</v>
      </c>
      <c r="J70" s="45"/>
      <c r="K70" s="45">
        <v>3995304</v>
      </c>
      <c r="L70" s="45"/>
      <c r="M70" s="45">
        <f>1212286+215880</f>
        <v>1428166</v>
      </c>
      <c r="N70" s="45"/>
      <c r="O70" s="45">
        <v>0</v>
      </c>
      <c r="P70" s="45"/>
      <c r="Q70" s="45">
        <f>1266658+1122277-1136</f>
        <v>2387799</v>
      </c>
      <c r="R70" s="45"/>
      <c r="S70" s="45">
        <f t="shared" ref="S70:S130" si="3">+Q70+O70+M70</f>
        <v>3815965</v>
      </c>
      <c r="T70" s="94"/>
      <c r="U70" s="46">
        <f t="shared" si="1"/>
        <v>0</v>
      </c>
    </row>
    <row r="71" spans="1:21" s="44" customFormat="1" ht="12.75" customHeight="1">
      <c r="A71" s="44" t="s">
        <v>90</v>
      </c>
      <c r="C71" s="44" t="s">
        <v>43</v>
      </c>
      <c r="E71" s="45">
        <f>85313108+918035</f>
        <v>86231143</v>
      </c>
      <c r="F71" s="45"/>
      <c r="G71" s="45">
        <v>146606569</v>
      </c>
      <c r="H71" s="45"/>
      <c r="I71" s="45">
        <v>21786276</v>
      </c>
      <c r="J71" s="45"/>
      <c r="K71" s="45">
        <v>64138826</v>
      </c>
      <c r="L71" s="45"/>
      <c r="M71" s="45">
        <f>4770320+605821+870681+28919008+989961</f>
        <v>36155791</v>
      </c>
      <c r="N71" s="45"/>
      <c r="O71" s="45">
        <v>1060139</v>
      </c>
      <c r="P71" s="45"/>
      <c r="Q71" s="45">
        <f>34342757+7736446+3172610</f>
        <v>45251813</v>
      </c>
      <c r="R71" s="45"/>
      <c r="S71" s="45">
        <f t="shared" si="3"/>
        <v>82467743</v>
      </c>
      <c r="T71" s="45"/>
      <c r="U71" s="44">
        <f t="shared" si="1"/>
        <v>0</v>
      </c>
    </row>
    <row r="72" spans="1:21" s="121" customFormat="1" ht="12.75" hidden="1" customHeight="1">
      <c r="A72" s="122" t="s">
        <v>488</v>
      </c>
      <c r="B72" s="122"/>
      <c r="C72" s="122" t="s">
        <v>27</v>
      </c>
      <c r="E72" s="127">
        <v>0</v>
      </c>
      <c r="F72" s="127"/>
      <c r="G72" s="127">
        <v>0</v>
      </c>
      <c r="H72" s="127"/>
      <c r="I72" s="127">
        <v>0</v>
      </c>
      <c r="J72" s="127"/>
      <c r="K72" s="127">
        <v>0</v>
      </c>
      <c r="L72" s="127"/>
      <c r="M72" s="127">
        <v>0</v>
      </c>
      <c r="N72" s="127"/>
      <c r="O72" s="127">
        <v>0</v>
      </c>
      <c r="P72" s="127"/>
      <c r="Q72" s="127">
        <v>0</v>
      </c>
      <c r="R72" s="127"/>
      <c r="S72" s="127">
        <f t="shared" si="3"/>
        <v>0</v>
      </c>
      <c r="T72" s="127"/>
      <c r="U72" s="121">
        <f t="shared" si="1"/>
        <v>0</v>
      </c>
    </row>
    <row r="73" spans="1:21" s="44" customFormat="1" ht="12.75" customHeight="1">
      <c r="A73" s="44" t="s">
        <v>93</v>
      </c>
      <c r="B73" s="47"/>
      <c r="C73" s="44" t="s">
        <v>94</v>
      </c>
      <c r="E73" s="45">
        <v>647919</v>
      </c>
      <c r="F73" s="45"/>
      <c r="G73" s="45">
        <v>3947582</v>
      </c>
      <c r="H73" s="45"/>
      <c r="I73" s="45">
        <v>2284604</v>
      </c>
      <c r="J73" s="45"/>
      <c r="K73" s="45">
        <v>2778438</v>
      </c>
      <c r="L73" s="45"/>
      <c r="M73" s="45">
        <f>108343+72926</f>
        <v>181269</v>
      </c>
      <c r="N73" s="45"/>
      <c r="O73" s="45">
        <v>0</v>
      </c>
      <c r="P73" s="45"/>
      <c r="Q73" s="45">
        <f>260413+482698+58313+186451</f>
        <v>987875</v>
      </c>
      <c r="R73" s="45"/>
      <c r="S73" s="45">
        <f t="shared" si="3"/>
        <v>1169144</v>
      </c>
      <c r="T73" s="45"/>
      <c r="U73" s="44">
        <f>+G73-K73-S73</f>
        <v>0</v>
      </c>
    </row>
    <row r="74" spans="1:21" s="46" customFormat="1" ht="12.75" customHeight="1">
      <c r="A74" s="46" t="s">
        <v>95</v>
      </c>
      <c r="C74" s="46" t="s">
        <v>94</v>
      </c>
      <c r="E74" s="45">
        <f>464305+132584</f>
        <v>596889</v>
      </c>
      <c r="F74" s="45"/>
      <c r="G74" s="45">
        <v>5263810</v>
      </c>
      <c r="H74" s="45"/>
      <c r="I74" s="45">
        <v>1304107</v>
      </c>
      <c r="J74" s="45"/>
      <c r="K74" s="45">
        <v>4416090</v>
      </c>
      <c r="L74" s="45"/>
      <c r="M74" s="45">
        <f>1500+22149+7223+32371</f>
        <v>63243</v>
      </c>
      <c r="N74" s="45"/>
      <c r="O74" s="45">
        <v>0</v>
      </c>
      <c r="P74" s="45"/>
      <c r="Q74" s="45">
        <f>-442476+3199376-1972423</f>
        <v>784477</v>
      </c>
      <c r="R74" s="45"/>
      <c r="S74" s="45">
        <f t="shared" si="3"/>
        <v>847720</v>
      </c>
      <c r="T74" s="45"/>
      <c r="U74" s="44">
        <f t="shared" ref="U74:U80" si="4">+G74-K74-S74</f>
        <v>0</v>
      </c>
    </row>
    <row r="75" spans="1:21" s="44" customFormat="1" ht="12.75" hidden="1" customHeight="1">
      <c r="A75" s="44" t="s">
        <v>91</v>
      </c>
      <c r="C75" s="44" t="s">
        <v>92</v>
      </c>
      <c r="E75" s="45">
        <v>0</v>
      </c>
      <c r="F75" s="45"/>
      <c r="G75" s="45">
        <v>0</v>
      </c>
      <c r="H75" s="45"/>
      <c r="I75" s="45">
        <v>0</v>
      </c>
      <c r="J75" s="45"/>
      <c r="K75" s="45">
        <v>0</v>
      </c>
      <c r="L75" s="45"/>
      <c r="M75" s="45">
        <v>0</v>
      </c>
      <c r="N75" s="45"/>
      <c r="O75" s="45">
        <v>0</v>
      </c>
      <c r="P75" s="45"/>
      <c r="Q75" s="45">
        <v>0</v>
      </c>
      <c r="R75" s="45"/>
      <c r="S75" s="45">
        <f t="shared" si="3"/>
        <v>0</v>
      </c>
      <c r="T75" s="45"/>
      <c r="U75" s="44">
        <f t="shared" si="4"/>
        <v>0</v>
      </c>
    </row>
    <row r="76" spans="1:21" s="44" customFormat="1" ht="12.75" customHeight="1">
      <c r="A76" s="44" t="s">
        <v>96</v>
      </c>
      <c r="C76" s="44" t="s">
        <v>97</v>
      </c>
      <c r="E76" s="45">
        <f>5793086+20000</f>
        <v>5813086</v>
      </c>
      <c r="F76" s="45"/>
      <c r="G76" s="45">
        <v>7560035</v>
      </c>
      <c r="H76" s="45"/>
      <c r="I76" s="45">
        <v>1108342</v>
      </c>
      <c r="J76" s="45"/>
      <c r="K76" s="45">
        <v>1482115</v>
      </c>
      <c r="L76" s="45"/>
      <c r="M76" s="45">
        <f>254655+3000+10000</f>
        <v>267655</v>
      </c>
      <c r="N76" s="45"/>
      <c r="O76" s="45">
        <v>0</v>
      </c>
      <c r="P76" s="45"/>
      <c r="Q76" s="45">
        <f>1990269+1435409+2374587+10000</f>
        <v>5810265</v>
      </c>
      <c r="R76" s="45"/>
      <c r="S76" s="45">
        <f t="shared" si="3"/>
        <v>6077920</v>
      </c>
      <c r="T76" s="45"/>
      <c r="U76" s="44">
        <f t="shared" si="4"/>
        <v>0</v>
      </c>
    </row>
    <row r="77" spans="1:21" s="44" customFormat="1" ht="12.75" customHeight="1">
      <c r="A77" s="44" t="s">
        <v>98</v>
      </c>
      <c r="C77" s="44" t="s">
        <v>17</v>
      </c>
      <c r="E77" s="45">
        <v>7983555</v>
      </c>
      <c r="F77" s="45"/>
      <c r="G77" s="45">
        <v>25679058</v>
      </c>
      <c r="H77" s="45"/>
      <c r="I77" s="45">
        <v>7309035</v>
      </c>
      <c r="J77" s="45"/>
      <c r="K77" s="45">
        <v>16186710</v>
      </c>
      <c r="L77" s="45"/>
      <c r="M77" s="45">
        <f>4117268+4567331+469307+905383</f>
        <v>10059289</v>
      </c>
      <c r="N77" s="45"/>
      <c r="O77" s="45">
        <v>0</v>
      </c>
      <c r="P77" s="45"/>
      <c r="Q77" s="45">
        <f>2068602+1634774-4270317</f>
        <v>-566941</v>
      </c>
      <c r="R77" s="45"/>
      <c r="S77" s="45">
        <f t="shared" si="3"/>
        <v>9492348</v>
      </c>
      <c r="T77" s="45"/>
      <c r="U77" s="44">
        <f t="shared" si="4"/>
        <v>0</v>
      </c>
    </row>
    <row r="78" spans="1:21" s="44" customFormat="1" ht="12.75" customHeight="1">
      <c r="A78" s="44" t="s">
        <v>99</v>
      </c>
      <c r="C78" s="44" t="s">
        <v>66</v>
      </c>
      <c r="E78" s="45">
        <v>12528860</v>
      </c>
      <c r="F78" s="45"/>
      <c r="G78" s="45">
        <v>17109863</v>
      </c>
      <c r="H78" s="45"/>
      <c r="I78" s="45">
        <v>1809230</v>
      </c>
      <c r="J78" s="45"/>
      <c r="K78" s="45">
        <v>4184512</v>
      </c>
      <c r="L78" s="45"/>
      <c r="M78" s="45">
        <f>563280+36047+6069+2878</f>
        <v>608274</v>
      </c>
      <c r="N78" s="45"/>
      <c r="O78" s="45">
        <v>0</v>
      </c>
      <c r="P78" s="45"/>
      <c r="Q78" s="45">
        <f>4037684+2841414+5437979</f>
        <v>12317077</v>
      </c>
      <c r="R78" s="45"/>
      <c r="S78" s="45">
        <f t="shared" si="3"/>
        <v>12925351</v>
      </c>
      <c r="T78" s="45"/>
      <c r="U78" s="44">
        <f t="shared" si="4"/>
        <v>0</v>
      </c>
    </row>
    <row r="79" spans="1:21" s="44" customFormat="1" ht="12.75" customHeight="1">
      <c r="A79" s="44" t="s">
        <v>100</v>
      </c>
      <c r="C79" s="44" t="s">
        <v>27</v>
      </c>
      <c r="E79" s="45">
        <f>8354803+5106+50132</f>
        <v>8410041</v>
      </c>
      <c r="F79" s="45"/>
      <c r="G79" s="45">
        <v>38512587</v>
      </c>
      <c r="H79" s="45"/>
      <c r="I79" s="45">
        <v>17745714</v>
      </c>
      <c r="J79" s="45"/>
      <c r="K79" s="45">
        <v>23094559</v>
      </c>
      <c r="L79" s="45"/>
      <c r="M79" s="45">
        <f>898013+1240789+1103292+43607</f>
        <v>3285701</v>
      </c>
      <c r="N79" s="45"/>
      <c r="O79" s="45">
        <v>0</v>
      </c>
      <c r="P79" s="45"/>
      <c r="Q79" s="45">
        <f>6114271+1226050+3245536+1546470</f>
        <v>12132327</v>
      </c>
      <c r="R79" s="45"/>
      <c r="S79" s="45">
        <f t="shared" si="3"/>
        <v>15418028</v>
      </c>
      <c r="T79" s="45"/>
      <c r="U79" s="44">
        <f t="shared" si="4"/>
        <v>0</v>
      </c>
    </row>
    <row r="80" spans="1:21" s="44" customFormat="1" ht="12.75" customHeight="1">
      <c r="A80" s="44" t="s">
        <v>101</v>
      </c>
      <c r="C80" s="44" t="s">
        <v>30</v>
      </c>
      <c r="E80" s="45">
        <v>11710880</v>
      </c>
      <c r="F80" s="45"/>
      <c r="G80" s="45">
        <v>24390079</v>
      </c>
      <c r="H80" s="45"/>
      <c r="I80" s="45">
        <v>9199396</v>
      </c>
      <c r="J80" s="45"/>
      <c r="K80" s="45">
        <v>14621203</v>
      </c>
      <c r="L80" s="45"/>
      <c r="M80" s="45">
        <f>2288053+1284429</f>
        <v>3572482</v>
      </c>
      <c r="N80" s="45"/>
      <c r="O80" s="45">
        <v>0</v>
      </c>
      <c r="P80" s="45"/>
      <c r="Q80" s="45">
        <f>3314728+2475184+295174+111308</f>
        <v>6196394</v>
      </c>
      <c r="R80" s="45"/>
      <c r="S80" s="45">
        <f t="shared" si="3"/>
        <v>9768876</v>
      </c>
      <c r="T80" s="45"/>
      <c r="U80" s="44">
        <f t="shared" si="4"/>
        <v>0</v>
      </c>
    </row>
    <row r="81" spans="1:21" s="44" customFormat="1" ht="12.75" customHeight="1">
      <c r="A81" s="44" t="s">
        <v>102</v>
      </c>
      <c r="C81" s="44" t="s">
        <v>103</v>
      </c>
      <c r="E81" s="45">
        <v>28670241</v>
      </c>
      <c r="F81" s="45"/>
      <c r="G81" s="45">
        <v>40101776</v>
      </c>
      <c r="H81" s="45"/>
      <c r="I81" s="45">
        <v>8824962</v>
      </c>
      <c r="J81" s="45"/>
      <c r="K81" s="45">
        <v>11626783</v>
      </c>
      <c r="L81" s="45"/>
      <c r="M81" s="45">
        <v>9154094</v>
      </c>
      <c r="N81" s="45"/>
      <c r="O81" s="45">
        <v>0</v>
      </c>
      <c r="P81" s="45"/>
      <c r="Q81" s="45">
        <f>8748151+4546166+1485833+4540749</f>
        <v>19320899</v>
      </c>
      <c r="R81" s="45"/>
      <c r="S81" s="45">
        <f t="shared" si="3"/>
        <v>28474993</v>
      </c>
      <c r="T81" s="45"/>
      <c r="U81" s="44">
        <f t="shared" ref="U81:U146" si="5">+G81-K81-S81</f>
        <v>0</v>
      </c>
    </row>
    <row r="82" spans="1:21" s="44" customFormat="1" ht="12.75" customHeight="1">
      <c r="A82" s="44" t="s">
        <v>104</v>
      </c>
      <c r="C82" s="44" t="s">
        <v>13</v>
      </c>
      <c r="E82" s="45">
        <f>12684242+14318</f>
        <v>12698560</v>
      </c>
      <c r="F82" s="45"/>
      <c r="G82" s="45">
        <v>17783625</v>
      </c>
      <c r="H82" s="45"/>
      <c r="I82" s="45">
        <v>2272854</v>
      </c>
      <c r="J82" s="45"/>
      <c r="K82" s="45">
        <v>4138161</v>
      </c>
      <c r="L82" s="45"/>
      <c r="M82" s="45">
        <f>492460+86521+396494+19400+13561</f>
        <v>1008436</v>
      </c>
      <c r="N82" s="45"/>
      <c r="O82" s="45">
        <v>0</v>
      </c>
      <c r="P82" s="45"/>
      <c r="Q82" s="45">
        <f>8994723+1070041+2572264</f>
        <v>12637028</v>
      </c>
      <c r="R82" s="45"/>
      <c r="S82" s="45">
        <f t="shared" si="3"/>
        <v>13645464</v>
      </c>
      <c r="T82" s="45"/>
      <c r="U82" s="44">
        <f t="shared" si="5"/>
        <v>0</v>
      </c>
    </row>
    <row r="83" spans="1:21" s="44" customFormat="1" ht="12.75" customHeight="1">
      <c r="A83" s="44" t="s">
        <v>105</v>
      </c>
      <c r="C83" s="44" t="s">
        <v>27</v>
      </c>
      <c r="E83" s="45">
        <v>4731382</v>
      </c>
      <c r="F83" s="45"/>
      <c r="G83" s="45">
        <v>13711723</v>
      </c>
      <c r="H83" s="45"/>
      <c r="I83" s="45">
        <v>6399743</v>
      </c>
      <c r="J83" s="45"/>
      <c r="K83" s="45">
        <v>7606647</v>
      </c>
      <c r="L83" s="45"/>
      <c r="M83" s="45">
        <f>61019+320000+433612</f>
        <v>814631</v>
      </c>
      <c r="N83" s="45"/>
      <c r="O83" s="45">
        <v>0</v>
      </c>
      <c r="P83" s="45"/>
      <c r="Q83" s="45">
        <f>2045925+1863047+176+1381297</f>
        <v>5290445</v>
      </c>
      <c r="R83" s="45"/>
      <c r="S83" s="45">
        <f t="shared" si="3"/>
        <v>6105076</v>
      </c>
      <c r="T83" s="45"/>
      <c r="U83" s="44">
        <f t="shared" si="5"/>
        <v>0</v>
      </c>
    </row>
    <row r="84" spans="1:21" s="44" customFormat="1" ht="12.75" customHeight="1">
      <c r="A84" s="44" t="s">
        <v>106</v>
      </c>
      <c r="C84" s="44" t="s">
        <v>107</v>
      </c>
      <c r="E84" s="45">
        <f>12539506+161434+96435+54604</f>
        <v>12851979</v>
      </c>
      <c r="F84" s="45"/>
      <c r="G84" s="45">
        <v>24836359</v>
      </c>
      <c r="H84" s="45"/>
      <c r="I84" s="45">
        <v>3272692</v>
      </c>
      <c r="J84" s="45"/>
      <c r="K84" s="45">
        <v>8321929</v>
      </c>
      <c r="L84" s="45"/>
      <c r="M84" s="45">
        <f>1201911+59877+436145+797670+118776+1176477+1738584</f>
        <v>5529440</v>
      </c>
      <c r="N84" s="45"/>
      <c r="O84" s="45">
        <f>1309907+1000000</f>
        <v>2309907</v>
      </c>
      <c r="P84" s="45"/>
      <c r="Q84" s="45">
        <f>4925963+3120155+121+628844</f>
        <v>8675083</v>
      </c>
      <c r="R84" s="45"/>
      <c r="S84" s="45">
        <f t="shared" si="3"/>
        <v>16514430</v>
      </c>
      <c r="T84" s="45"/>
      <c r="U84" s="44">
        <f t="shared" si="5"/>
        <v>0</v>
      </c>
    </row>
    <row r="85" spans="1:21" s="44" customFormat="1" ht="12.75" customHeight="1">
      <c r="A85" s="44" t="s">
        <v>108</v>
      </c>
      <c r="C85" s="44" t="s">
        <v>45</v>
      </c>
      <c r="E85" s="45">
        <v>11395351</v>
      </c>
      <c r="F85" s="45"/>
      <c r="G85" s="45">
        <v>23502528</v>
      </c>
      <c r="H85" s="45"/>
      <c r="I85" s="45">
        <v>10365552</v>
      </c>
      <c r="J85" s="45"/>
      <c r="K85" s="45">
        <v>14647898</v>
      </c>
      <c r="L85" s="45"/>
      <c r="M85" s="45">
        <f>674121+33940</f>
        <v>708061</v>
      </c>
      <c r="N85" s="45"/>
      <c r="O85" s="45">
        <v>0</v>
      </c>
      <c r="P85" s="45"/>
      <c r="Q85" s="45">
        <f>3238013+6030380+36429-1158253</f>
        <v>8146569</v>
      </c>
      <c r="R85" s="45"/>
      <c r="S85" s="45">
        <f t="shared" si="3"/>
        <v>8854630</v>
      </c>
      <c r="T85" s="45"/>
      <c r="U85" s="44">
        <f t="shared" si="5"/>
        <v>0</v>
      </c>
    </row>
    <row r="86" spans="1:21" s="44" customFormat="1" ht="12.75" customHeight="1">
      <c r="A86" s="44" t="s">
        <v>109</v>
      </c>
      <c r="C86" s="44" t="s">
        <v>110</v>
      </c>
      <c r="E86" s="45">
        <f>2449722+49625</f>
        <v>2499347</v>
      </c>
      <c r="F86" s="45"/>
      <c r="G86" s="45">
        <v>7390914</v>
      </c>
      <c r="H86" s="45"/>
      <c r="I86" s="45">
        <v>1318480</v>
      </c>
      <c r="J86" s="45"/>
      <c r="K86" s="45">
        <v>2786546</v>
      </c>
      <c r="L86" s="45"/>
      <c r="M86" s="45">
        <f>209914+133287+1621599+20000+22886</f>
        <v>2007686</v>
      </c>
      <c r="N86" s="45"/>
      <c r="O86" s="45">
        <v>0</v>
      </c>
      <c r="P86" s="45"/>
      <c r="Q86" s="45">
        <f>154426+1889505+550078+2673</f>
        <v>2596682</v>
      </c>
      <c r="R86" s="45"/>
      <c r="S86" s="45">
        <f t="shared" si="3"/>
        <v>4604368</v>
      </c>
      <c r="T86" s="45"/>
      <c r="U86" s="44">
        <f t="shared" si="5"/>
        <v>0</v>
      </c>
    </row>
    <row r="87" spans="1:21" s="44" customFormat="1" ht="12.75" customHeight="1">
      <c r="A87" s="44" t="s">
        <v>43</v>
      </c>
      <c r="C87" s="44" t="s">
        <v>111</v>
      </c>
      <c r="E87" s="45">
        <v>8770899</v>
      </c>
      <c r="F87" s="45"/>
      <c r="G87" s="45">
        <v>14784780</v>
      </c>
      <c r="H87" s="45"/>
      <c r="I87" s="45">
        <v>4695074</v>
      </c>
      <c r="J87" s="45"/>
      <c r="K87" s="45">
        <v>6895353</v>
      </c>
      <c r="L87" s="45"/>
      <c r="M87" s="45">
        <v>1138512</v>
      </c>
      <c r="N87" s="45"/>
      <c r="O87" s="45">
        <v>0</v>
      </c>
      <c r="P87" s="45"/>
      <c r="Q87" s="45">
        <v>6750915</v>
      </c>
      <c r="R87" s="45"/>
      <c r="S87" s="45">
        <f t="shared" si="3"/>
        <v>7889427</v>
      </c>
      <c r="T87" s="45"/>
      <c r="U87" s="44">
        <f t="shared" si="5"/>
        <v>0</v>
      </c>
    </row>
    <row r="88" spans="1:21" s="44" customFormat="1" ht="12.75" customHeight="1">
      <c r="A88" s="44" t="s">
        <v>112</v>
      </c>
      <c r="C88" s="44" t="s">
        <v>76</v>
      </c>
      <c r="E88" s="45">
        <v>10358032</v>
      </c>
      <c r="F88" s="45"/>
      <c r="G88" s="45">
        <v>16505054</v>
      </c>
      <c r="H88" s="45"/>
      <c r="I88" s="45">
        <v>3043905</v>
      </c>
      <c r="J88" s="45"/>
      <c r="K88" s="45">
        <v>4718283</v>
      </c>
      <c r="L88" s="45"/>
      <c r="M88" s="45">
        <f>1588497+58761+298125+306434+10119</f>
        <v>2261936</v>
      </c>
      <c r="N88" s="45"/>
      <c r="O88" s="45">
        <v>235181</v>
      </c>
      <c r="P88" s="45"/>
      <c r="Q88" s="45">
        <f>1389337+7055655+844662</f>
        <v>9289654</v>
      </c>
      <c r="R88" s="45"/>
      <c r="S88" s="45">
        <f t="shared" si="3"/>
        <v>11786771</v>
      </c>
      <c r="T88" s="45"/>
      <c r="U88" s="44">
        <f t="shared" si="5"/>
        <v>0</v>
      </c>
    </row>
    <row r="89" spans="1:21" s="44" customFormat="1" ht="12.75" customHeight="1">
      <c r="A89" s="44" t="s">
        <v>113</v>
      </c>
      <c r="C89" s="44" t="s">
        <v>43</v>
      </c>
      <c r="E89" s="45">
        <f>31032590+144768</f>
        <v>31177358</v>
      </c>
      <c r="F89" s="45"/>
      <c r="G89" s="45">
        <v>42553251</v>
      </c>
      <c r="H89" s="45"/>
      <c r="I89" s="45">
        <v>5248257</v>
      </c>
      <c r="J89" s="45"/>
      <c r="K89" s="45">
        <v>10025747</v>
      </c>
      <c r="L89" s="45"/>
      <c r="M89" s="45">
        <f>7054222+1104011</f>
        <v>8158233</v>
      </c>
      <c r="N89" s="45"/>
      <c r="O89" s="45">
        <f>1605229+5604786</f>
        <v>7210015</v>
      </c>
      <c r="P89" s="45"/>
      <c r="Q89" s="45">
        <f>7639386+7093726+2426144</f>
        <v>17159256</v>
      </c>
      <c r="R89" s="45"/>
      <c r="S89" s="45">
        <f t="shared" si="3"/>
        <v>32527504</v>
      </c>
      <c r="T89" s="45"/>
      <c r="U89" s="44">
        <f t="shared" si="5"/>
        <v>0</v>
      </c>
    </row>
    <row r="90" spans="1:21" s="44" customFormat="1" ht="12.75" customHeight="1">
      <c r="A90" s="44" t="s">
        <v>490</v>
      </c>
      <c r="C90" s="44" t="s">
        <v>57</v>
      </c>
      <c r="E90" s="45">
        <v>5190863</v>
      </c>
      <c r="F90" s="45"/>
      <c r="G90" s="45">
        <v>9930093</v>
      </c>
      <c r="H90" s="45"/>
      <c r="I90" s="45">
        <v>1807526</v>
      </c>
      <c r="J90" s="45"/>
      <c r="K90" s="45">
        <v>4324510</v>
      </c>
      <c r="L90" s="45"/>
      <c r="M90" s="45">
        <f>82189+510948+51643</f>
        <v>644780</v>
      </c>
      <c r="N90" s="45"/>
      <c r="O90" s="45">
        <v>0</v>
      </c>
      <c r="P90" s="45"/>
      <c r="Q90" s="45">
        <f>5096313+23800-68466-90844</f>
        <v>4960803</v>
      </c>
      <c r="R90" s="45"/>
      <c r="S90" s="45">
        <f t="shared" si="3"/>
        <v>5605583</v>
      </c>
      <c r="T90" s="45"/>
      <c r="U90" s="44">
        <f>+G90-K90-S90</f>
        <v>0</v>
      </c>
    </row>
    <row r="91" spans="1:21" s="44" customFormat="1" ht="12.75" customHeight="1">
      <c r="A91" s="44" t="s">
        <v>114</v>
      </c>
      <c r="C91" s="44" t="s">
        <v>27</v>
      </c>
      <c r="E91" s="45">
        <f>388343+183</f>
        <v>388526</v>
      </c>
      <c r="F91" s="45"/>
      <c r="G91" s="45">
        <v>23055101</v>
      </c>
      <c r="H91" s="45"/>
      <c r="I91" s="45">
        <v>20046304</v>
      </c>
      <c r="J91" s="45"/>
      <c r="K91" s="45">
        <v>26453732</v>
      </c>
      <c r="L91" s="45"/>
      <c r="M91" s="45">
        <v>51101</v>
      </c>
      <c r="N91" s="45"/>
      <c r="O91" s="45">
        <v>0</v>
      </c>
      <c r="P91" s="45"/>
      <c r="Q91" s="45">
        <f>-4277264+97544+266343+463645</f>
        <v>-3449732</v>
      </c>
      <c r="R91" s="45"/>
      <c r="S91" s="45">
        <f t="shared" si="3"/>
        <v>-3398631</v>
      </c>
      <c r="T91" s="45"/>
      <c r="U91" s="44">
        <f>+G91-K91-S91</f>
        <v>0</v>
      </c>
    </row>
    <row r="92" spans="1:21" s="44" customFormat="1" ht="12.75" customHeight="1">
      <c r="A92" s="44" t="s">
        <v>115</v>
      </c>
      <c r="C92" s="44" t="s">
        <v>19</v>
      </c>
      <c r="E92" s="45">
        <v>2268976</v>
      </c>
      <c r="F92" s="45"/>
      <c r="G92" s="45">
        <v>5194470</v>
      </c>
      <c r="H92" s="45"/>
      <c r="I92" s="45">
        <v>2179052</v>
      </c>
      <c r="J92" s="45"/>
      <c r="K92" s="45">
        <v>2676625</v>
      </c>
      <c r="L92" s="45"/>
      <c r="M92" s="45">
        <f>25845+13449+26000+64897</f>
        <v>130191</v>
      </c>
      <c r="N92" s="45"/>
      <c r="O92" s="45">
        <v>0</v>
      </c>
      <c r="P92" s="45"/>
      <c r="Q92" s="45">
        <f>1712004+157+322020+353473</f>
        <v>2387654</v>
      </c>
      <c r="R92" s="45"/>
      <c r="S92" s="45">
        <f t="shared" si="3"/>
        <v>2517845</v>
      </c>
      <c r="T92" s="45"/>
      <c r="U92" s="44">
        <f t="shared" si="5"/>
        <v>0</v>
      </c>
    </row>
    <row r="93" spans="1:21" s="44" customFormat="1" ht="12.75" customHeight="1">
      <c r="A93" s="44" t="s">
        <v>116</v>
      </c>
      <c r="C93" s="44" t="s">
        <v>80</v>
      </c>
      <c r="E93" s="45">
        <v>747120</v>
      </c>
      <c r="F93" s="45"/>
      <c r="G93" s="45">
        <v>5045606</v>
      </c>
      <c r="H93" s="45"/>
      <c r="I93" s="45">
        <v>3756920</v>
      </c>
      <c r="J93" s="45"/>
      <c r="K93" s="45">
        <v>8476765</v>
      </c>
      <c r="L93" s="45"/>
      <c r="M93" s="45">
        <f>5499+24602+69110</f>
        <v>99211</v>
      </c>
      <c r="N93" s="45"/>
      <c r="O93" s="45">
        <v>0</v>
      </c>
      <c r="P93" s="45"/>
      <c r="Q93" s="45">
        <f>112321+486517-4221968+92760</f>
        <v>-3530370</v>
      </c>
      <c r="R93" s="45"/>
      <c r="S93" s="45">
        <f t="shared" si="3"/>
        <v>-3431159</v>
      </c>
      <c r="T93" s="45"/>
      <c r="U93" s="44">
        <f t="shared" si="5"/>
        <v>0</v>
      </c>
    </row>
    <row r="94" spans="1:21" s="44" customFormat="1" ht="12.75" customHeight="1">
      <c r="A94" s="44" t="s">
        <v>117</v>
      </c>
      <c r="C94" s="44" t="s">
        <v>43</v>
      </c>
      <c r="E94" s="45">
        <v>4847608</v>
      </c>
      <c r="F94" s="45"/>
      <c r="G94" s="45">
        <v>10141376</v>
      </c>
      <c r="H94" s="45"/>
      <c r="I94" s="45">
        <v>2966101</v>
      </c>
      <c r="J94" s="45"/>
      <c r="K94" s="45">
        <v>5691437</v>
      </c>
      <c r="L94" s="45"/>
      <c r="M94" s="45">
        <f>299514+57576+32217+215000</f>
        <v>604307</v>
      </c>
      <c r="N94" s="45"/>
      <c r="O94" s="45">
        <v>0</v>
      </c>
      <c r="P94" s="45"/>
      <c r="Q94" s="45">
        <v>3845632</v>
      </c>
      <c r="R94" s="45"/>
      <c r="S94" s="45">
        <f t="shared" si="3"/>
        <v>4449939</v>
      </c>
      <c r="T94" s="45"/>
      <c r="U94" s="44">
        <f t="shared" si="5"/>
        <v>0</v>
      </c>
    </row>
    <row r="95" spans="1:21" s="44" customFormat="1" ht="12.75" customHeight="1">
      <c r="A95" s="44" t="s">
        <v>118</v>
      </c>
      <c r="C95" s="44" t="s">
        <v>13</v>
      </c>
      <c r="E95" s="45">
        <v>42511939</v>
      </c>
      <c r="F95" s="45"/>
      <c r="G95" s="45">
        <v>61991744</v>
      </c>
      <c r="H95" s="45"/>
      <c r="I95" s="45">
        <v>4727762</v>
      </c>
      <c r="J95" s="45"/>
      <c r="K95" s="45">
        <v>24058683</v>
      </c>
      <c r="L95" s="45"/>
      <c r="M95" s="45">
        <f>4329342+8034673</f>
        <v>12364015</v>
      </c>
      <c r="N95" s="45"/>
      <c r="O95" s="45">
        <v>0</v>
      </c>
      <c r="P95" s="45"/>
      <c r="Q95" s="45">
        <v>25569046</v>
      </c>
      <c r="R95" s="45"/>
      <c r="S95" s="45">
        <f t="shared" si="3"/>
        <v>37933061</v>
      </c>
      <c r="T95" s="45"/>
      <c r="U95" s="44">
        <f t="shared" si="5"/>
        <v>0</v>
      </c>
    </row>
    <row r="96" spans="1:21" s="44" customFormat="1" ht="12.75" customHeight="1">
      <c r="A96" s="44" t="s">
        <v>120</v>
      </c>
      <c r="C96" s="44" t="s">
        <v>121</v>
      </c>
      <c r="E96" s="45">
        <v>4248023</v>
      </c>
      <c r="F96" s="45"/>
      <c r="G96" s="45">
        <v>8037854</v>
      </c>
      <c r="H96" s="45"/>
      <c r="I96" s="45">
        <v>960703</v>
      </c>
      <c r="J96" s="45"/>
      <c r="K96" s="45">
        <v>3254967</v>
      </c>
      <c r="L96" s="45"/>
      <c r="M96" s="45">
        <f>496262+133788+62100+484962</f>
        <v>1177112</v>
      </c>
      <c r="N96" s="45"/>
      <c r="O96" s="45">
        <v>0</v>
      </c>
      <c r="P96" s="45"/>
      <c r="Q96" s="45">
        <f>2352113+771211+482451</f>
        <v>3605775</v>
      </c>
      <c r="R96" s="45"/>
      <c r="S96" s="45">
        <f t="shared" si="3"/>
        <v>4782887</v>
      </c>
      <c r="T96" s="45"/>
      <c r="U96" s="44">
        <f t="shared" si="5"/>
        <v>0</v>
      </c>
    </row>
    <row r="97" spans="1:21" s="44" customFormat="1" ht="12.75" customHeight="1">
      <c r="A97" s="44" t="s">
        <v>122</v>
      </c>
      <c r="C97" s="44" t="s">
        <v>43</v>
      </c>
      <c r="E97" s="45">
        <f>36496526+792434+1250375</f>
        <v>38539335</v>
      </c>
      <c r="F97" s="45"/>
      <c r="G97" s="45">
        <v>50355290</v>
      </c>
      <c r="H97" s="45"/>
      <c r="I97" s="45">
        <v>9068961</v>
      </c>
      <c r="J97" s="45"/>
      <c r="K97" s="45">
        <v>11234812</v>
      </c>
      <c r="L97" s="45"/>
      <c r="M97" s="45">
        <f>7548158+1250375+145667</f>
        <v>8944200</v>
      </c>
      <c r="N97" s="45"/>
      <c r="O97" s="45">
        <v>0</v>
      </c>
      <c r="P97" s="45"/>
      <c r="Q97" s="45">
        <f>16223474+5811903+5427616+2713285</f>
        <v>30176278</v>
      </c>
      <c r="R97" s="45"/>
      <c r="S97" s="45">
        <f t="shared" si="3"/>
        <v>39120478</v>
      </c>
      <c r="T97" s="45"/>
      <c r="U97" s="44">
        <f t="shared" si="5"/>
        <v>0</v>
      </c>
    </row>
    <row r="98" spans="1:21" s="44" customFormat="1" ht="12.75" customHeight="1">
      <c r="A98" s="44" t="s">
        <v>45</v>
      </c>
      <c r="C98" s="44" t="s">
        <v>103</v>
      </c>
      <c r="E98" s="45">
        <v>22641077</v>
      </c>
      <c r="F98" s="45"/>
      <c r="G98" s="45">
        <v>38716747</v>
      </c>
      <c r="H98" s="45"/>
      <c r="I98" s="45">
        <v>11454100</v>
      </c>
      <c r="J98" s="45"/>
      <c r="K98" s="45">
        <v>18436174</v>
      </c>
      <c r="L98" s="45"/>
      <c r="M98" s="45">
        <f>2887627+236911+36008+75195</f>
        <v>3235741</v>
      </c>
      <c r="N98" s="45"/>
      <c r="O98" s="45">
        <v>0</v>
      </c>
      <c r="P98" s="45"/>
      <c r="Q98" s="45">
        <f>4037300+7631820+639917+4735795</f>
        <v>17044832</v>
      </c>
      <c r="R98" s="45"/>
      <c r="S98" s="45">
        <f t="shared" si="3"/>
        <v>20280573</v>
      </c>
      <c r="T98" s="45"/>
      <c r="U98" s="44">
        <f t="shared" si="5"/>
        <v>0</v>
      </c>
    </row>
    <row r="99" spans="1:21" s="44" customFormat="1" ht="12.75" customHeight="1">
      <c r="A99" s="44" t="s">
        <v>123</v>
      </c>
      <c r="C99" s="44" t="s">
        <v>45</v>
      </c>
      <c r="E99" s="45">
        <f>3335457+10408</f>
        <v>3345865</v>
      </c>
      <c r="F99" s="45"/>
      <c r="G99" s="45">
        <v>7778120</v>
      </c>
      <c r="H99" s="45"/>
      <c r="I99" s="45">
        <v>3426226</v>
      </c>
      <c r="J99" s="45"/>
      <c r="K99" s="45">
        <v>4299575</v>
      </c>
      <c r="L99" s="45"/>
      <c r="M99" s="45">
        <f>225248+57347+22573+78270</f>
        <v>383438</v>
      </c>
      <c r="N99" s="45"/>
      <c r="O99" s="45">
        <v>0</v>
      </c>
      <c r="P99" s="45"/>
      <c r="Q99" s="45">
        <f>973409+787787+410733+923178</f>
        <v>3095107</v>
      </c>
      <c r="R99" s="45"/>
      <c r="S99" s="45">
        <f t="shared" si="3"/>
        <v>3478545</v>
      </c>
      <c r="T99" s="45"/>
      <c r="U99" s="44">
        <f t="shared" si="5"/>
        <v>0</v>
      </c>
    </row>
    <row r="100" spans="1:21" s="44" customFormat="1" ht="12.75" customHeight="1">
      <c r="A100" s="44" t="s">
        <v>124</v>
      </c>
      <c r="C100" s="44" t="s">
        <v>125</v>
      </c>
      <c r="E100" s="45">
        <f>2556543+4005655</f>
        <v>6562198</v>
      </c>
      <c r="F100" s="45"/>
      <c r="G100" s="45">
        <v>9297437</v>
      </c>
      <c r="H100" s="45"/>
      <c r="I100" s="45">
        <v>1855500</v>
      </c>
      <c r="J100" s="45"/>
      <c r="K100" s="45">
        <v>2267093</v>
      </c>
      <c r="L100" s="45"/>
      <c r="M100" s="45">
        <f>199404+62820+108266+134952</f>
        <v>505442</v>
      </c>
      <c r="N100" s="45"/>
      <c r="O100" s="45">
        <v>0</v>
      </c>
      <c r="P100" s="45"/>
      <c r="Q100" s="45">
        <f>3575253+739548+2123013+87088</f>
        <v>6524902</v>
      </c>
      <c r="R100" s="45"/>
      <c r="S100" s="45">
        <f t="shared" si="3"/>
        <v>7030344</v>
      </c>
      <c r="T100" s="45"/>
      <c r="U100" s="44">
        <f t="shared" si="5"/>
        <v>0</v>
      </c>
    </row>
    <row r="101" spans="1:21" s="44" customFormat="1" ht="12.75" customHeight="1">
      <c r="A101" s="44" t="s">
        <v>126</v>
      </c>
      <c r="C101" s="44" t="s">
        <v>27</v>
      </c>
      <c r="E101" s="45">
        <v>8115175</v>
      </c>
      <c r="F101" s="45"/>
      <c r="G101" s="45">
        <v>18522333</v>
      </c>
      <c r="H101" s="45"/>
      <c r="I101" s="45">
        <v>8037473</v>
      </c>
      <c r="J101" s="45"/>
      <c r="K101" s="45">
        <v>9100713</v>
      </c>
      <c r="L101" s="45"/>
      <c r="M101" s="45">
        <f>170280+165304+61146</f>
        <v>396730</v>
      </c>
      <c r="N101" s="45"/>
      <c r="O101" s="45">
        <v>0</v>
      </c>
      <c r="P101" s="45"/>
      <c r="Q101" s="45">
        <f>6578605+818260+950930+677095</f>
        <v>9024890</v>
      </c>
      <c r="R101" s="45"/>
      <c r="S101" s="45">
        <f t="shared" si="3"/>
        <v>9421620</v>
      </c>
      <c r="T101" s="45"/>
      <c r="U101" s="44">
        <f t="shared" si="5"/>
        <v>0</v>
      </c>
    </row>
    <row r="102" spans="1:21" s="44" customFormat="1" ht="12.75" customHeight="1">
      <c r="A102" s="44" t="s">
        <v>127</v>
      </c>
      <c r="C102" s="44" t="s">
        <v>43</v>
      </c>
      <c r="E102" s="45">
        <f>15399239+4005292</f>
        <v>19404531</v>
      </c>
      <c r="F102" s="45"/>
      <c r="G102" s="45">
        <v>24390328</v>
      </c>
      <c r="H102" s="45"/>
      <c r="I102" s="45">
        <v>4581096</v>
      </c>
      <c r="J102" s="45"/>
      <c r="K102" s="45">
        <v>7381299</v>
      </c>
      <c r="L102" s="45"/>
      <c r="M102" s="45">
        <v>6810782</v>
      </c>
      <c r="N102" s="45"/>
      <c r="O102" s="45">
        <v>0</v>
      </c>
      <c r="P102" s="45"/>
      <c r="Q102" s="45">
        <f>3161504+6615484-12904+434163</f>
        <v>10198247</v>
      </c>
      <c r="R102" s="45"/>
      <c r="S102" s="45">
        <f t="shared" si="3"/>
        <v>17009029</v>
      </c>
      <c r="T102" s="45"/>
      <c r="U102" s="44">
        <f t="shared" si="5"/>
        <v>0</v>
      </c>
    </row>
    <row r="103" spans="1:21" s="44" customFormat="1" ht="12.75" customHeight="1">
      <c r="A103" s="44" t="s">
        <v>128</v>
      </c>
      <c r="C103" s="44" t="s">
        <v>119</v>
      </c>
      <c r="E103" s="45">
        <v>1880069</v>
      </c>
      <c r="F103" s="45"/>
      <c r="G103" s="45">
        <v>3875577</v>
      </c>
      <c r="H103" s="45"/>
      <c r="I103" s="45">
        <v>1086017</v>
      </c>
      <c r="J103" s="45"/>
      <c r="K103" s="45">
        <v>1436489</v>
      </c>
      <c r="L103" s="45"/>
      <c r="M103" s="45">
        <f>221536+151549</f>
        <v>373085</v>
      </c>
      <c r="N103" s="45"/>
      <c r="O103" s="45">
        <v>0</v>
      </c>
      <c r="P103" s="45"/>
      <c r="Q103" s="45">
        <f>977649+707135+242209+139010</f>
        <v>2066003</v>
      </c>
      <c r="R103" s="45"/>
      <c r="S103" s="45">
        <f t="shared" si="3"/>
        <v>2439088</v>
      </c>
      <c r="T103" s="45"/>
      <c r="U103" s="44">
        <f t="shared" si="5"/>
        <v>0</v>
      </c>
    </row>
    <row r="104" spans="1:21" s="44" customFormat="1" ht="12.75" customHeight="1">
      <c r="A104" s="44" t="s">
        <v>129</v>
      </c>
      <c r="C104" s="44" t="s">
        <v>80</v>
      </c>
      <c r="E104" s="45">
        <f>471621+550</f>
        <v>472171</v>
      </c>
      <c r="F104" s="45"/>
      <c r="G104" s="45">
        <v>1711019</v>
      </c>
      <c r="H104" s="45"/>
      <c r="I104" s="45">
        <v>412172</v>
      </c>
      <c r="J104" s="45"/>
      <c r="K104" s="45">
        <v>896047</v>
      </c>
      <c r="L104" s="45"/>
      <c r="M104" s="45">
        <f>5998+28124+2763+840</f>
        <v>37725</v>
      </c>
      <c r="N104" s="45"/>
      <c r="O104" s="45">
        <v>0</v>
      </c>
      <c r="P104" s="45"/>
      <c r="Q104" s="45">
        <f>275987+194222+2402+303759+877</f>
        <v>777247</v>
      </c>
      <c r="R104" s="45"/>
      <c r="S104" s="45">
        <f t="shared" si="3"/>
        <v>814972</v>
      </c>
      <c r="T104" s="45"/>
      <c r="U104" s="44">
        <f t="shared" si="5"/>
        <v>0</v>
      </c>
    </row>
    <row r="105" spans="1:21" s="44" customFormat="1" ht="12.75" customHeight="1">
      <c r="A105" s="44" t="s">
        <v>130</v>
      </c>
      <c r="C105" s="44" t="s">
        <v>66</v>
      </c>
      <c r="E105" s="45">
        <v>29124743</v>
      </c>
      <c r="F105" s="45"/>
      <c r="G105" s="45">
        <v>57759328</v>
      </c>
      <c r="H105" s="45"/>
      <c r="I105" s="45">
        <v>25442691</v>
      </c>
      <c r="J105" s="45"/>
      <c r="K105" s="45">
        <v>29342805</v>
      </c>
      <c r="L105" s="45"/>
      <c r="M105" s="45">
        <f>2362577+297069+8713</f>
        <v>2668359</v>
      </c>
      <c r="N105" s="45"/>
      <c r="O105" s="45">
        <v>0</v>
      </c>
      <c r="P105" s="45"/>
      <c r="Q105" s="45">
        <f>6426552+12135485+1145726+6040401</f>
        <v>25748164</v>
      </c>
      <c r="R105" s="45"/>
      <c r="S105" s="45">
        <f t="shared" si="3"/>
        <v>28416523</v>
      </c>
      <c r="T105" s="45"/>
      <c r="U105" s="44">
        <f t="shared" si="5"/>
        <v>0</v>
      </c>
    </row>
    <row r="106" spans="1:21" s="44" customFormat="1" ht="12.75" customHeight="1">
      <c r="A106" s="44" t="s">
        <v>131</v>
      </c>
      <c r="C106" s="44" t="s">
        <v>13</v>
      </c>
      <c r="E106" s="45">
        <f>24363289+17888+2987</f>
        <v>24384164</v>
      </c>
      <c r="F106" s="45"/>
      <c r="G106" s="45">
        <v>38184181</v>
      </c>
      <c r="H106" s="45"/>
      <c r="I106" s="45">
        <v>9442509</v>
      </c>
      <c r="J106" s="45"/>
      <c r="K106" s="45">
        <v>24581227</v>
      </c>
      <c r="L106" s="45"/>
      <c r="M106" s="45">
        <f>3396724+100000+6473+128873+17888+577927</f>
        <v>4227885</v>
      </c>
      <c r="N106" s="45"/>
      <c r="O106" s="45">
        <v>0</v>
      </c>
      <c r="P106" s="45"/>
      <c r="Q106" s="45">
        <f>13692203+5491906-9843043+34003</f>
        <v>9375069</v>
      </c>
      <c r="R106" s="45"/>
      <c r="S106" s="45">
        <f t="shared" si="3"/>
        <v>13602954</v>
      </c>
      <c r="T106" s="45"/>
      <c r="U106" s="44">
        <f t="shared" si="5"/>
        <v>0</v>
      </c>
    </row>
    <row r="107" spans="1:21" s="44" customFormat="1" ht="12.75" customHeight="1">
      <c r="A107" s="44" t="s">
        <v>38</v>
      </c>
      <c r="C107" s="44" t="s">
        <v>132</v>
      </c>
      <c r="E107" s="45">
        <v>1981278</v>
      </c>
      <c r="F107" s="45"/>
      <c r="G107" s="45">
        <v>5418985</v>
      </c>
      <c r="H107" s="45"/>
      <c r="I107" s="45">
        <v>1710154</v>
      </c>
      <c r="J107" s="45"/>
      <c r="K107" s="45">
        <v>3166483</v>
      </c>
      <c r="L107" s="45"/>
      <c r="M107" s="45">
        <f>199969+161140+286087</f>
        <v>647196</v>
      </c>
      <c r="N107" s="45"/>
      <c r="O107" s="45">
        <v>36597</v>
      </c>
      <c r="P107" s="45"/>
      <c r="Q107" s="45">
        <f>712730+816008+34483+5488</f>
        <v>1568709</v>
      </c>
      <c r="R107" s="45"/>
      <c r="S107" s="45">
        <f t="shared" si="3"/>
        <v>2252502</v>
      </c>
      <c r="T107" s="45"/>
      <c r="U107" s="44">
        <f t="shared" si="5"/>
        <v>0</v>
      </c>
    </row>
    <row r="108" spans="1:21" s="44" customFormat="1" ht="12.75" customHeight="1">
      <c r="A108" s="44" t="s">
        <v>133</v>
      </c>
      <c r="C108" s="44" t="s">
        <v>27</v>
      </c>
      <c r="E108" s="45">
        <f>9950682+19094</f>
        <v>9969776</v>
      </c>
      <c r="F108" s="45"/>
      <c r="G108" s="45">
        <v>29080634</v>
      </c>
      <c r="H108" s="45"/>
      <c r="I108" s="45">
        <v>5240413</v>
      </c>
      <c r="J108" s="45"/>
      <c r="K108" s="45">
        <v>16572567</v>
      </c>
      <c r="L108" s="45"/>
      <c r="M108" s="45">
        <f>5176719+9768000</f>
        <v>14944719</v>
      </c>
      <c r="N108" s="45"/>
      <c r="O108" s="45">
        <v>0</v>
      </c>
      <c r="P108" s="45"/>
      <c r="Q108" s="45">
        <f>5923682+816092-9564140+387714</f>
        <v>-2436652</v>
      </c>
      <c r="R108" s="45"/>
      <c r="S108" s="45">
        <f t="shared" si="3"/>
        <v>12508067</v>
      </c>
      <c r="T108" s="45"/>
      <c r="U108" s="44">
        <f>+G108-K108-S108</f>
        <v>0</v>
      </c>
    </row>
    <row r="109" spans="1:21" s="44" customFormat="1" ht="12.75" customHeight="1">
      <c r="A109" s="44" t="s">
        <v>482</v>
      </c>
      <c r="C109" s="44" t="s">
        <v>45</v>
      </c>
      <c r="E109" s="45">
        <v>13079902</v>
      </c>
      <c r="F109" s="45"/>
      <c r="G109" s="45">
        <v>20592799</v>
      </c>
      <c r="H109" s="45"/>
      <c r="I109" s="45">
        <v>6306793</v>
      </c>
      <c r="J109" s="45"/>
      <c r="K109" s="45">
        <v>7361000</v>
      </c>
      <c r="L109" s="45"/>
      <c r="M109" s="45">
        <f>53+57319+78456+1076375</f>
        <v>1212203</v>
      </c>
      <c r="N109" s="45"/>
      <c r="O109" s="45">
        <v>0</v>
      </c>
      <c r="P109" s="45"/>
      <c r="Q109" s="45">
        <f>1956539+8199658+1860014+3385</f>
        <v>12019596</v>
      </c>
      <c r="R109" s="45"/>
      <c r="S109" s="45">
        <f t="shared" si="3"/>
        <v>13231799</v>
      </c>
      <c r="T109" s="45"/>
      <c r="U109" s="44">
        <f t="shared" si="5"/>
        <v>0</v>
      </c>
    </row>
    <row r="110" spans="1:21" s="44" customFormat="1" ht="12.75" customHeight="1">
      <c r="A110" s="44" t="s">
        <v>136</v>
      </c>
      <c r="C110" s="44" t="s">
        <v>136</v>
      </c>
      <c r="E110" s="45">
        <v>5074726</v>
      </c>
      <c r="F110" s="45"/>
      <c r="G110" s="45">
        <v>6874358</v>
      </c>
      <c r="H110" s="45"/>
      <c r="I110" s="45">
        <v>1153823</v>
      </c>
      <c r="J110" s="45"/>
      <c r="K110" s="45">
        <v>1373093</v>
      </c>
      <c r="L110" s="45"/>
      <c r="M110" s="45">
        <f>15265+438207+3354</f>
        <v>456826</v>
      </c>
      <c r="N110" s="45"/>
      <c r="O110" s="45">
        <v>0</v>
      </c>
      <c r="P110" s="45"/>
      <c r="Q110" s="45">
        <f>2256385+2766621+11081+10352</f>
        <v>5044439</v>
      </c>
      <c r="R110" s="45"/>
      <c r="S110" s="45">
        <f t="shared" si="3"/>
        <v>5501265</v>
      </c>
      <c r="T110" s="45"/>
      <c r="U110" s="44">
        <f t="shared" si="5"/>
        <v>0</v>
      </c>
    </row>
    <row r="111" spans="1:21" s="44" customFormat="1" ht="12.75" customHeight="1">
      <c r="A111" s="44" t="s">
        <v>137</v>
      </c>
      <c r="C111" s="44" t="s">
        <v>22</v>
      </c>
      <c r="E111" s="45">
        <v>18968103</v>
      </c>
      <c r="F111" s="45"/>
      <c r="G111" s="45">
        <v>31909037</v>
      </c>
      <c r="H111" s="45"/>
      <c r="I111" s="45">
        <v>5869685</v>
      </c>
      <c r="J111" s="45"/>
      <c r="K111" s="45">
        <v>11975325</v>
      </c>
      <c r="L111" s="45"/>
      <c r="M111" s="45">
        <f>2498882+470801+198025+61863+32145+1278778</f>
        <v>4540494</v>
      </c>
      <c r="N111" s="45"/>
      <c r="O111" s="45">
        <v>2189748</v>
      </c>
      <c r="P111" s="45"/>
      <c r="Q111" s="45">
        <f>7645355+7323591-1765476</f>
        <v>13203470</v>
      </c>
      <c r="R111" s="45"/>
      <c r="S111" s="45">
        <f t="shared" si="3"/>
        <v>19933712</v>
      </c>
      <c r="T111" s="45"/>
      <c r="U111" s="44">
        <f t="shared" si="5"/>
        <v>0</v>
      </c>
    </row>
    <row r="112" spans="1:21" s="121" customFormat="1" ht="12.75" hidden="1" customHeight="1">
      <c r="A112" s="121" t="s">
        <v>138</v>
      </c>
      <c r="C112" s="121" t="s">
        <v>139</v>
      </c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5">
        <f t="shared" si="3"/>
        <v>0</v>
      </c>
      <c r="T112" s="127"/>
      <c r="U112" s="121">
        <f t="shared" si="5"/>
        <v>0</v>
      </c>
    </row>
    <row r="113" spans="1:21" s="44" customFormat="1" ht="12.75" customHeight="1"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8" t="s">
        <v>484</v>
      </c>
      <c r="T113" s="45"/>
    </row>
    <row r="114" spans="1:21" s="44" customFormat="1" ht="12.75" customHeight="1">
      <c r="A114" s="44" t="s">
        <v>140</v>
      </c>
      <c r="C114" s="44" t="s">
        <v>66</v>
      </c>
      <c r="E114" s="94">
        <v>68055820</v>
      </c>
      <c r="F114" s="94"/>
      <c r="G114" s="94">
        <v>91347959</v>
      </c>
      <c r="H114" s="94"/>
      <c r="I114" s="94">
        <v>16920348</v>
      </c>
      <c r="J114" s="94"/>
      <c r="K114" s="94">
        <v>23881200</v>
      </c>
      <c r="L114" s="94"/>
      <c r="M114" s="94">
        <f>169902+797685+1663135+9091573+87516+6842570+1399197+62045+410669+617365+6905430+656231+214374</f>
        <v>28917692</v>
      </c>
      <c r="N114" s="94"/>
      <c r="O114" s="94">
        <v>104717</v>
      </c>
      <c r="P114" s="94"/>
      <c r="Q114" s="94">
        <v>38444350</v>
      </c>
      <c r="R114" s="94"/>
      <c r="S114" s="94">
        <f t="shared" si="3"/>
        <v>67466759</v>
      </c>
      <c r="T114" s="45"/>
      <c r="U114" s="44">
        <f t="shared" si="5"/>
        <v>0</v>
      </c>
    </row>
    <row r="115" spans="1:21" s="44" customFormat="1" ht="12.75" customHeight="1">
      <c r="A115" s="44" t="s">
        <v>478</v>
      </c>
      <c r="C115" s="44" t="s">
        <v>92</v>
      </c>
      <c r="E115" s="45">
        <v>1559291</v>
      </c>
      <c r="F115" s="45"/>
      <c r="G115" s="45">
        <v>4862017</v>
      </c>
      <c r="H115" s="45"/>
      <c r="I115" s="45">
        <v>2648201</v>
      </c>
      <c r="J115" s="45"/>
      <c r="K115" s="45">
        <v>3041294</v>
      </c>
      <c r="L115" s="45"/>
      <c r="M115" s="45">
        <v>16088</v>
      </c>
      <c r="N115" s="45"/>
      <c r="O115" s="45">
        <v>0</v>
      </c>
      <c r="P115" s="45"/>
      <c r="Q115" s="45">
        <f>651765+357064+795806</f>
        <v>1804635</v>
      </c>
      <c r="R115" s="45"/>
      <c r="S115" s="45">
        <f t="shared" si="3"/>
        <v>1820723</v>
      </c>
      <c r="T115" s="45"/>
      <c r="U115" s="44">
        <f t="shared" si="5"/>
        <v>0</v>
      </c>
    </row>
    <row r="116" spans="1:21" s="44" customFormat="1" ht="12.75" customHeight="1">
      <c r="A116" s="44" t="s">
        <v>141</v>
      </c>
      <c r="C116" s="44" t="s">
        <v>27</v>
      </c>
      <c r="E116" s="45">
        <f>9626552+374727+2806</f>
        <v>10004085</v>
      </c>
      <c r="F116" s="45"/>
      <c r="G116" s="45">
        <v>40175173</v>
      </c>
      <c r="H116" s="45"/>
      <c r="I116" s="45">
        <v>22925427</v>
      </c>
      <c r="J116" s="45"/>
      <c r="K116" s="45">
        <v>26295112</v>
      </c>
      <c r="L116" s="45"/>
      <c r="M116" s="45">
        <f>949608+1967161</f>
        <v>2916769</v>
      </c>
      <c r="N116" s="45"/>
      <c r="O116" s="45">
        <v>0</v>
      </c>
      <c r="P116" s="45"/>
      <c r="Q116" s="45">
        <f>5613890+3513726+829256+1006420</f>
        <v>10963292</v>
      </c>
      <c r="R116" s="45"/>
      <c r="S116" s="45">
        <f t="shared" si="3"/>
        <v>13880061</v>
      </c>
      <c r="T116" s="45"/>
      <c r="U116" s="44">
        <f t="shared" si="5"/>
        <v>0</v>
      </c>
    </row>
    <row r="117" spans="1:21" s="121" customFormat="1" ht="12.75" hidden="1" customHeight="1">
      <c r="A117" s="121" t="s">
        <v>142</v>
      </c>
      <c r="C117" s="121" t="s">
        <v>102</v>
      </c>
      <c r="E117" s="127">
        <v>0</v>
      </c>
      <c r="F117" s="127"/>
      <c r="G117" s="127">
        <v>0</v>
      </c>
      <c r="H117" s="127"/>
      <c r="I117" s="127">
        <v>0</v>
      </c>
      <c r="J117" s="127"/>
      <c r="K117" s="127">
        <v>0</v>
      </c>
      <c r="L117" s="127"/>
      <c r="M117" s="127">
        <v>0</v>
      </c>
      <c r="N117" s="127"/>
      <c r="O117" s="127">
        <v>0</v>
      </c>
      <c r="P117" s="127"/>
      <c r="Q117" s="127">
        <v>0</v>
      </c>
      <c r="R117" s="127"/>
      <c r="S117" s="127">
        <f t="shared" si="3"/>
        <v>0</v>
      </c>
      <c r="T117" s="127"/>
      <c r="U117" s="121">
        <f t="shared" si="5"/>
        <v>0</v>
      </c>
    </row>
    <row r="118" spans="1:21" s="44" customFormat="1" ht="12.75" customHeight="1">
      <c r="A118" s="44" t="s">
        <v>143</v>
      </c>
      <c r="C118" s="44" t="s">
        <v>111</v>
      </c>
      <c r="E118" s="45">
        <v>17317698</v>
      </c>
      <c r="F118" s="45"/>
      <c r="G118" s="45">
        <v>26399035</v>
      </c>
      <c r="H118" s="45"/>
      <c r="I118" s="45">
        <v>7062382</v>
      </c>
      <c r="J118" s="45"/>
      <c r="K118" s="45">
        <v>9070659</v>
      </c>
      <c r="L118" s="45"/>
      <c r="M118" s="45">
        <f>1263272+8913359+3079962</f>
        <v>13256593</v>
      </c>
      <c r="N118" s="45"/>
      <c r="O118" s="45">
        <v>0</v>
      </c>
      <c r="P118" s="45"/>
      <c r="Q118" s="45">
        <v>4071783</v>
      </c>
      <c r="R118" s="45"/>
      <c r="S118" s="45">
        <f t="shared" si="3"/>
        <v>17328376</v>
      </c>
      <c r="T118" s="45"/>
      <c r="U118" s="44">
        <f>+G118-K118-S118</f>
        <v>0</v>
      </c>
    </row>
    <row r="119" spans="1:21" s="44" customFormat="1" ht="12.75" customHeight="1">
      <c r="A119" s="44" t="s">
        <v>144</v>
      </c>
      <c r="C119" s="44" t="s">
        <v>88</v>
      </c>
      <c r="E119" s="45">
        <f>10784448+15641</f>
        <v>10800089</v>
      </c>
      <c r="F119" s="45"/>
      <c r="G119" s="45">
        <v>37570531</v>
      </c>
      <c r="H119" s="45"/>
      <c r="I119" s="45">
        <v>20903845</v>
      </c>
      <c r="J119" s="45"/>
      <c r="K119" s="45">
        <v>24592808</v>
      </c>
      <c r="L119" s="45"/>
      <c r="M119" s="45">
        <f>3571811+874936+20987+41311</f>
        <v>4509045</v>
      </c>
      <c r="N119" s="45"/>
      <c r="O119" s="45">
        <v>0</v>
      </c>
      <c r="P119" s="45"/>
      <c r="Q119" s="45">
        <f>4338188+2552313+761623+816554</f>
        <v>8468678</v>
      </c>
      <c r="R119" s="45"/>
      <c r="S119" s="45">
        <f t="shared" si="3"/>
        <v>12977723</v>
      </c>
      <c r="T119" s="45"/>
      <c r="U119" s="44">
        <f t="shared" si="5"/>
        <v>0</v>
      </c>
    </row>
    <row r="120" spans="1:21" s="44" customFormat="1" ht="12.75" customHeight="1">
      <c r="A120" s="44" t="s">
        <v>36</v>
      </c>
      <c r="C120" s="44" t="s">
        <v>145</v>
      </c>
      <c r="E120" s="45">
        <f>1750065+65034</f>
        <v>1815099</v>
      </c>
      <c r="F120" s="45"/>
      <c r="G120" s="45">
        <v>3853159</v>
      </c>
      <c r="H120" s="45"/>
      <c r="I120" s="45">
        <v>1275793</v>
      </c>
      <c r="J120" s="45"/>
      <c r="K120" s="45">
        <v>1561041</v>
      </c>
      <c r="L120" s="45"/>
      <c r="M120" s="45">
        <f>71887+65034+213352</f>
        <v>350273</v>
      </c>
      <c r="N120" s="45"/>
      <c r="O120" s="45">
        <v>0</v>
      </c>
      <c r="P120" s="45"/>
      <c r="Q120" s="45">
        <f>1205739+338775+397331</f>
        <v>1941845</v>
      </c>
      <c r="R120" s="45"/>
      <c r="S120" s="45">
        <f t="shared" si="3"/>
        <v>2292118</v>
      </c>
      <c r="T120" s="45"/>
      <c r="U120" s="44">
        <f t="shared" si="5"/>
        <v>0</v>
      </c>
    </row>
    <row r="121" spans="1:21" s="44" customFormat="1" ht="12.75" customHeight="1">
      <c r="A121" s="44" t="s">
        <v>146</v>
      </c>
      <c r="C121" s="44" t="s">
        <v>147</v>
      </c>
      <c r="E121" s="45">
        <f>3775653+52263</f>
        <v>3827916</v>
      </c>
      <c r="F121" s="45"/>
      <c r="G121" s="45">
        <v>6985315</v>
      </c>
      <c r="H121" s="45"/>
      <c r="I121" s="45">
        <v>2288916</v>
      </c>
      <c r="J121" s="45"/>
      <c r="K121" s="45">
        <v>3035946</v>
      </c>
      <c r="L121" s="45"/>
      <c r="M121" s="45">
        <f>483005+37565+27569+12327+40000</f>
        <v>600466</v>
      </c>
      <c r="N121" s="45"/>
      <c r="O121" s="45">
        <v>0</v>
      </c>
      <c r="P121" s="45"/>
      <c r="Q121" s="45">
        <f>1358826+1223682+155756+610639</f>
        <v>3348903</v>
      </c>
      <c r="R121" s="45"/>
      <c r="S121" s="45">
        <f t="shared" si="3"/>
        <v>3949369</v>
      </c>
      <c r="T121" s="45"/>
      <c r="U121" s="44">
        <f t="shared" si="5"/>
        <v>0</v>
      </c>
    </row>
    <row r="122" spans="1:21" s="44" customFormat="1" ht="12.75" customHeight="1">
      <c r="A122" s="44" t="s">
        <v>17</v>
      </c>
      <c r="C122" s="44" t="s">
        <v>17</v>
      </c>
      <c r="E122" s="45">
        <f>7975727+96347+270087</f>
        <v>8342161</v>
      </c>
      <c r="F122" s="45"/>
      <c r="G122" s="45">
        <v>43221746</v>
      </c>
      <c r="H122" s="45"/>
      <c r="I122" s="45">
        <v>13345117</v>
      </c>
      <c r="J122" s="45"/>
      <c r="K122" s="45">
        <v>19368953</v>
      </c>
      <c r="L122" s="45"/>
      <c r="M122" s="45">
        <f>25000+1284266+13544553+2351902+270087</f>
        <v>17475808</v>
      </c>
      <c r="N122" s="45"/>
      <c r="O122" s="45">
        <v>0</v>
      </c>
      <c r="P122" s="45"/>
      <c r="Q122" s="45">
        <f>1915668+4195310+641851-375844</f>
        <v>6376985</v>
      </c>
      <c r="R122" s="45"/>
      <c r="S122" s="45">
        <f t="shared" si="3"/>
        <v>23852793</v>
      </c>
      <c r="T122" s="45"/>
      <c r="U122" s="44">
        <f t="shared" si="5"/>
        <v>0</v>
      </c>
    </row>
    <row r="123" spans="1:21" s="44" customFormat="1" ht="12.75" customHeight="1">
      <c r="A123" s="44" t="s">
        <v>148</v>
      </c>
      <c r="C123" s="44" t="s">
        <v>15</v>
      </c>
      <c r="E123" s="45">
        <v>2011211</v>
      </c>
      <c r="F123" s="45"/>
      <c r="G123" s="45">
        <v>3881043</v>
      </c>
      <c r="H123" s="45"/>
      <c r="I123" s="45">
        <v>992720</v>
      </c>
      <c r="J123" s="45"/>
      <c r="K123" s="45">
        <v>1292930</v>
      </c>
      <c r="L123" s="45"/>
      <c r="M123" s="45">
        <f>139084+11620+4362</f>
        <v>155066</v>
      </c>
      <c r="N123" s="45"/>
      <c r="O123" s="45">
        <v>0</v>
      </c>
      <c r="P123" s="45"/>
      <c r="Q123" s="45">
        <f>1750719+626680+16518+39130</f>
        <v>2433047</v>
      </c>
      <c r="R123" s="45"/>
      <c r="S123" s="45">
        <f t="shared" si="3"/>
        <v>2588113</v>
      </c>
      <c r="T123" s="45"/>
      <c r="U123" s="44">
        <f t="shared" si="5"/>
        <v>0</v>
      </c>
    </row>
    <row r="124" spans="1:21" s="44" customFormat="1" ht="12.75" customHeight="1">
      <c r="A124" s="44" t="s">
        <v>149</v>
      </c>
      <c r="C124" s="44" t="s">
        <v>45</v>
      </c>
      <c r="E124" s="45">
        <f>498324+2065922</f>
        <v>2564246</v>
      </c>
      <c r="F124" s="45"/>
      <c r="G124" s="45">
        <v>10083566</v>
      </c>
      <c r="H124" s="45"/>
      <c r="I124" s="45">
        <v>3475081</v>
      </c>
      <c r="J124" s="45"/>
      <c r="K124" s="45">
        <v>6063396</v>
      </c>
      <c r="L124" s="45"/>
      <c r="M124" s="45">
        <f>77478+72487+38629</f>
        <v>188594</v>
      </c>
      <c r="N124" s="45"/>
      <c r="O124" s="45">
        <v>0</v>
      </c>
      <c r="P124" s="45"/>
      <c r="Q124" s="45">
        <f>2563780+691493+576303</f>
        <v>3831576</v>
      </c>
      <c r="R124" s="45"/>
      <c r="S124" s="45">
        <f t="shared" si="3"/>
        <v>4020170</v>
      </c>
      <c r="T124" s="45"/>
      <c r="U124" s="44">
        <f t="shared" si="5"/>
        <v>0</v>
      </c>
    </row>
    <row r="125" spans="1:21" s="44" customFormat="1" ht="12.75" customHeight="1">
      <c r="A125" s="44" t="s">
        <v>150</v>
      </c>
      <c r="C125" s="44" t="s">
        <v>27</v>
      </c>
      <c r="E125" s="45">
        <f>13767305+2086741</f>
        <v>15854046</v>
      </c>
      <c r="F125" s="45"/>
      <c r="G125" s="45">
        <v>27186178</v>
      </c>
      <c r="H125" s="45"/>
      <c r="I125" s="45">
        <v>9489820</v>
      </c>
      <c r="J125" s="45"/>
      <c r="K125" s="45">
        <v>11111545</v>
      </c>
      <c r="L125" s="45"/>
      <c r="M125" s="45">
        <f>1104860+99158+99436+1231308</f>
        <v>2534762</v>
      </c>
      <c r="N125" s="45"/>
      <c r="O125" s="45">
        <v>0</v>
      </c>
      <c r="P125" s="45"/>
      <c r="Q125" s="45">
        <f>4322282+2404698+6812891</f>
        <v>13539871</v>
      </c>
      <c r="R125" s="45"/>
      <c r="S125" s="45">
        <f t="shared" si="3"/>
        <v>16074633</v>
      </c>
      <c r="T125" s="45"/>
      <c r="U125" s="44">
        <f t="shared" si="5"/>
        <v>0</v>
      </c>
    </row>
    <row r="126" spans="1:21" s="44" customFormat="1" ht="12.75" customHeight="1">
      <c r="A126" s="44" t="s">
        <v>151</v>
      </c>
      <c r="C126" s="44" t="s">
        <v>13</v>
      </c>
      <c r="E126" s="45">
        <v>4166389</v>
      </c>
      <c r="F126" s="45"/>
      <c r="G126" s="45">
        <v>10709786</v>
      </c>
      <c r="H126" s="45"/>
      <c r="I126" s="45">
        <v>3156341</v>
      </c>
      <c r="J126" s="45"/>
      <c r="K126" s="45">
        <v>5874683</v>
      </c>
      <c r="L126" s="45"/>
      <c r="M126" s="45">
        <f>384530+82516+51776</f>
        <v>518822</v>
      </c>
      <c r="N126" s="45"/>
      <c r="O126" s="45">
        <v>500000</v>
      </c>
      <c r="P126" s="45"/>
      <c r="Q126" s="45">
        <f>1880168+1683875+159204+93034</f>
        <v>3816281</v>
      </c>
      <c r="R126" s="45"/>
      <c r="S126" s="45">
        <f t="shared" si="3"/>
        <v>4835103</v>
      </c>
      <c r="T126" s="45"/>
      <c r="U126" s="44">
        <f>+G126-K126-S126</f>
        <v>0</v>
      </c>
    </row>
    <row r="127" spans="1:21" s="44" customFormat="1" ht="12.75" customHeight="1">
      <c r="A127" s="44" t="s">
        <v>481</v>
      </c>
      <c r="C127" s="44" t="s">
        <v>45</v>
      </c>
      <c r="E127" s="45">
        <v>2356580</v>
      </c>
      <c r="F127" s="45"/>
      <c r="G127" s="45">
        <v>6272226</v>
      </c>
      <c r="H127" s="45"/>
      <c r="I127" s="45">
        <v>3102019</v>
      </c>
      <c r="J127" s="45"/>
      <c r="K127" s="45">
        <v>3826340</v>
      </c>
      <c r="L127" s="45"/>
      <c r="M127" s="45">
        <v>279204</v>
      </c>
      <c r="N127" s="45"/>
      <c r="O127" s="45">
        <v>0</v>
      </c>
      <c r="P127" s="45"/>
      <c r="Q127" s="45">
        <f>1697869+192142+276671</f>
        <v>2166682</v>
      </c>
      <c r="R127" s="45"/>
      <c r="S127" s="45">
        <f t="shared" si="3"/>
        <v>2445886</v>
      </c>
      <c r="T127" s="48"/>
      <c r="U127" s="44">
        <v>0</v>
      </c>
    </row>
    <row r="128" spans="1:21" s="44" customFormat="1" ht="12.75" customHeight="1">
      <c r="A128" s="44" t="s">
        <v>152</v>
      </c>
      <c r="C128" s="44" t="s">
        <v>153</v>
      </c>
      <c r="E128" s="45">
        <v>6671921</v>
      </c>
      <c r="F128" s="45"/>
      <c r="G128" s="45">
        <v>30611471</v>
      </c>
      <c r="H128" s="45"/>
      <c r="I128" s="45">
        <v>15225553</v>
      </c>
      <c r="J128" s="45"/>
      <c r="K128" s="45">
        <v>21824449</v>
      </c>
      <c r="L128" s="45"/>
      <c r="M128" s="45">
        <f>346524+2348516+2053644+71917+21864</f>
        <v>4842465</v>
      </c>
      <c r="N128" s="45"/>
      <c r="O128" s="45">
        <v>0</v>
      </c>
      <c r="P128" s="45"/>
      <c r="Q128" s="45">
        <f>-1278516+1919822+129128+3174133</f>
        <v>3944567</v>
      </c>
      <c r="R128" s="45"/>
      <c r="S128" s="45">
        <f t="shared" si="3"/>
        <v>8787032</v>
      </c>
      <c r="T128" s="48"/>
      <c r="U128" s="44">
        <v>0</v>
      </c>
    </row>
    <row r="129" spans="1:22" s="44" customFormat="1" ht="12.75" customHeight="1">
      <c r="A129" s="44" t="s">
        <v>154</v>
      </c>
      <c r="C129" s="44" t="s">
        <v>27</v>
      </c>
      <c r="E129" s="45">
        <v>1723164</v>
      </c>
      <c r="F129" s="45"/>
      <c r="G129" s="45">
        <v>15116546</v>
      </c>
      <c r="H129" s="45"/>
      <c r="I129" s="45">
        <v>11612788</v>
      </c>
      <c r="J129" s="45"/>
      <c r="K129" s="45">
        <v>14154551</v>
      </c>
      <c r="L129" s="45"/>
      <c r="M129" s="45">
        <f>82070+95942+84373</f>
        <v>262385</v>
      </c>
      <c r="N129" s="45"/>
      <c r="O129" s="45">
        <v>0</v>
      </c>
      <c r="P129" s="45"/>
      <c r="Q129" s="45">
        <f>-777792+1070777+406625</f>
        <v>699610</v>
      </c>
      <c r="R129" s="45"/>
      <c r="S129" s="45">
        <f t="shared" si="3"/>
        <v>961995</v>
      </c>
      <c r="T129" s="45"/>
      <c r="U129" s="44">
        <f t="shared" si="5"/>
        <v>0</v>
      </c>
    </row>
    <row r="130" spans="1:22" s="44" customFormat="1" ht="12.75" customHeight="1">
      <c r="A130" s="44" t="s">
        <v>155</v>
      </c>
      <c r="C130" s="44" t="s">
        <v>40</v>
      </c>
      <c r="E130" s="45">
        <f>5675493+50821+22604</f>
        <v>5748918</v>
      </c>
      <c r="F130" s="45"/>
      <c r="G130" s="45">
        <v>10095678</v>
      </c>
      <c r="H130" s="45"/>
      <c r="I130" s="45">
        <v>1945683</v>
      </c>
      <c r="J130" s="45"/>
      <c r="K130" s="45">
        <v>3239391</v>
      </c>
      <c r="L130" s="45"/>
      <c r="M130" s="45">
        <f>654986+4151530+242186</f>
        <v>5048702</v>
      </c>
      <c r="N130" s="45"/>
      <c r="O130" s="45">
        <v>34259</v>
      </c>
      <c r="P130" s="45"/>
      <c r="Q130" s="45">
        <v>1773326</v>
      </c>
      <c r="R130" s="45"/>
      <c r="S130" s="45">
        <f t="shared" si="3"/>
        <v>6856287</v>
      </c>
      <c r="T130" s="45"/>
      <c r="U130" s="44">
        <f t="shared" si="5"/>
        <v>0</v>
      </c>
    </row>
    <row r="131" spans="1:22" s="121" customFormat="1" ht="12.75" hidden="1" customHeight="1">
      <c r="A131" s="121" t="s">
        <v>156</v>
      </c>
      <c r="C131" s="121" t="s">
        <v>156</v>
      </c>
      <c r="E131" s="128">
        <v>0</v>
      </c>
      <c r="F131" s="128"/>
      <c r="G131" s="128">
        <v>0</v>
      </c>
      <c r="H131" s="128"/>
      <c r="I131" s="128">
        <v>0</v>
      </c>
      <c r="J131" s="128"/>
      <c r="K131" s="128">
        <v>0</v>
      </c>
      <c r="L131" s="128"/>
      <c r="M131" s="128">
        <v>0</v>
      </c>
      <c r="N131" s="128"/>
      <c r="O131" s="128">
        <v>0</v>
      </c>
      <c r="P131" s="128"/>
      <c r="Q131" s="128">
        <v>0</v>
      </c>
      <c r="R131" s="128"/>
      <c r="S131" s="128">
        <f t="shared" ref="S131:S194" si="6">+Q131+O131+M131</f>
        <v>0</v>
      </c>
      <c r="T131" s="128"/>
      <c r="U131" s="123">
        <f t="shared" si="5"/>
        <v>0</v>
      </c>
      <c r="V131" s="123"/>
    </row>
    <row r="132" spans="1:22" s="44" customFormat="1" ht="12.75" customHeight="1">
      <c r="A132" s="44" t="s">
        <v>157</v>
      </c>
      <c r="C132" s="44" t="s">
        <v>33</v>
      </c>
      <c r="E132" s="45">
        <f>859104+435802+689222</f>
        <v>1984128</v>
      </c>
      <c r="F132" s="45"/>
      <c r="G132" s="45">
        <v>4588009</v>
      </c>
      <c r="H132" s="45"/>
      <c r="I132" s="45">
        <v>1996635</v>
      </c>
      <c r="J132" s="45"/>
      <c r="K132" s="45">
        <v>2239376</v>
      </c>
      <c r="L132" s="45"/>
      <c r="M132" s="45">
        <f>75308+68980+31544</f>
        <v>175832</v>
      </c>
      <c r="N132" s="45"/>
      <c r="O132" s="45">
        <v>0</v>
      </c>
      <c r="P132" s="45"/>
      <c r="Q132" s="45">
        <f>351975+763016+1057810</f>
        <v>2172801</v>
      </c>
      <c r="R132" s="45"/>
      <c r="S132" s="45">
        <f t="shared" si="6"/>
        <v>2348633</v>
      </c>
      <c r="T132" s="45"/>
      <c r="U132" s="44">
        <f t="shared" si="5"/>
        <v>0</v>
      </c>
    </row>
    <row r="133" spans="1:22" s="44" customFormat="1" ht="12.75" customHeight="1">
      <c r="A133" s="44" t="s">
        <v>158</v>
      </c>
      <c r="C133" s="44" t="s">
        <v>159</v>
      </c>
      <c r="E133" s="45">
        <v>8732479</v>
      </c>
      <c r="F133" s="45"/>
      <c r="G133" s="45">
        <v>17216273</v>
      </c>
      <c r="H133" s="45"/>
      <c r="I133" s="45">
        <v>3523355</v>
      </c>
      <c r="J133" s="45"/>
      <c r="K133" s="45">
        <v>18850386</v>
      </c>
      <c r="L133" s="45"/>
      <c r="M133" s="45">
        <f>1491756+106881</f>
        <v>1598637</v>
      </c>
      <c r="N133" s="45"/>
      <c r="O133" s="45">
        <v>0</v>
      </c>
      <c r="P133" s="45"/>
      <c r="Q133" s="45">
        <f>6603818+3024014-12516434-344148</f>
        <v>-3232750</v>
      </c>
      <c r="R133" s="45"/>
      <c r="S133" s="45">
        <f t="shared" si="6"/>
        <v>-1634113</v>
      </c>
      <c r="T133" s="45"/>
      <c r="U133" s="44">
        <f t="shared" si="5"/>
        <v>0</v>
      </c>
    </row>
    <row r="134" spans="1:22" s="46" customFormat="1" ht="12.75" customHeight="1">
      <c r="A134" s="46" t="s">
        <v>160</v>
      </c>
      <c r="C134" s="46" t="s">
        <v>111</v>
      </c>
      <c r="E134" s="45">
        <f>35942339+1603181</f>
        <v>37545520</v>
      </c>
      <c r="F134" s="45"/>
      <c r="G134" s="45">
        <v>57804872</v>
      </c>
      <c r="H134" s="45"/>
      <c r="I134" s="45">
        <v>11434938</v>
      </c>
      <c r="J134" s="45"/>
      <c r="K134" s="45">
        <v>21409930</v>
      </c>
      <c r="L134" s="45"/>
      <c r="M134" s="45">
        <f>11497592+269680+1603181+9116</f>
        <v>13379569</v>
      </c>
      <c r="N134" s="45"/>
      <c r="O134" s="45">
        <v>0</v>
      </c>
      <c r="P134" s="45"/>
      <c r="Q134" s="45">
        <f>13044258+8247951+410323+1312841</f>
        <v>23015373</v>
      </c>
      <c r="R134" s="45"/>
      <c r="S134" s="45">
        <f t="shared" si="6"/>
        <v>36394942</v>
      </c>
      <c r="T134" s="45"/>
      <c r="U134" s="44">
        <f t="shared" si="5"/>
        <v>0</v>
      </c>
    </row>
    <row r="135" spans="1:22" s="44" customFormat="1" ht="12.75" customHeight="1">
      <c r="A135" s="44" t="s">
        <v>161</v>
      </c>
      <c r="C135" s="44" t="s">
        <v>15</v>
      </c>
      <c r="E135" s="45">
        <f>2891467+119761</f>
        <v>3011228</v>
      </c>
      <c r="F135" s="45"/>
      <c r="G135" s="45">
        <v>15103589</v>
      </c>
      <c r="H135" s="45"/>
      <c r="I135" s="45">
        <v>5753009</v>
      </c>
      <c r="J135" s="45"/>
      <c r="K135" s="45">
        <v>8364829</v>
      </c>
      <c r="L135" s="45"/>
      <c r="M135" s="45">
        <f>1210791+3332417+21625</f>
        <v>4564833</v>
      </c>
      <c r="N135" s="45"/>
      <c r="O135" s="45">
        <v>0</v>
      </c>
      <c r="P135" s="45"/>
      <c r="Q135" s="45">
        <f>7030+1379725+152465+634707</f>
        <v>2173927</v>
      </c>
      <c r="R135" s="45"/>
      <c r="S135" s="45">
        <f t="shared" si="6"/>
        <v>6738760</v>
      </c>
      <c r="T135" s="45"/>
      <c r="U135" s="44">
        <f t="shared" si="5"/>
        <v>0</v>
      </c>
    </row>
    <row r="136" spans="1:22" s="44" customFormat="1" ht="12.75" customHeight="1">
      <c r="A136" s="44" t="s">
        <v>162</v>
      </c>
      <c r="C136" s="44" t="s">
        <v>163</v>
      </c>
      <c r="E136" s="45">
        <f>5830761+22970116</f>
        <v>28800877</v>
      </c>
      <c r="F136" s="45"/>
      <c r="G136" s="45">
        <v>38576275</v>
      </c>
      <c r="H136" s="45"/>
      <c r="I136" s="45">
        <v>4289086</v>
      </c>
      <c r="J136" s="45"/>
      <c r="K136" s="45">
        <v>7054317</v>
      </c>
      <c r="L136" s="45"/>
      <c r="M136" s="45">
        <f>747651+45655+88820+71153</f>
        <v>953279</v>
      </c>
      <c r="N136" s="45"/>
      <c r="O136" s="45">
        <v>0</v>
      </c>
      <c r="P136" s="45"/>
      <c r="Q136" s="45">
        <f>-114466+30977388+759398-1053641</f>
        <v>30568679</v>
      </c>
      <c r="R136" s="45"/>
      <c r="S136" s="45">
        <f t="shared" si="6"/>
        <v>31521958</v>
      </c>
      <c r="T136" s="45"/>
      <c r="U136" s="44">
        <f t="shared" si="5"/>
        <v>0</v>
      </c>
    </row>
    <row r="137" spans="1:22" s="44" customFormat="1" ht="12.75" customHeight="1">
      <c r="A137" s="44" t="s">
        <v>164</v>
      </c>
      <c r="C137" s="44" t="s">
        <v>27</v>
      </c>
      <c r="E137" s="45">
        <f>4725712+11921220</f>
        <v>16646932</v>
      </c>
      <c r="F137" s="45"/>
      <c r="G137" s="45">
        <v>26385440</v>
      </c>
      <c r="H137" s="45"/>
      <c r="I137" s="45">
        <v>6712211</v>
      </c>
      <c r="J137" s="45"/>
      <c r="K137" s="45">
        <v>8320155</v>
      </c>
      <c r="L137" s="45"/>
      <c r="M137" s="45">
        <f>271551+71027+59391</f>
        <v>401969</v>
      </c>
      <c r="N137" s="45"/>
      <c r="O137" s="45">
        <v>553388</v>
      </c>
      <c r="P137" s="45"/>
      <c r="Q137" s="45">
        <f>8350318+539762+581708+7638140</f>
        <v>17109928</v>
      </c>
      <c r="R137" s="45"/>
      <c r="S137" s="45">
        <f t="shared" si="6"/>
        <v>18065285</v>
      </c>
      <c r="T137" s="45"/>
      <c r="U137" s="44">
        <f t="shared" si="5"/>
        <v>0</v>
      </c>
    </row>
    <row r="138" spans="1:22" s="44" customFormat="1" ht="12.75" customHeight="1">
      <c r="A138" s="44" t="s">
        <v>53</v>
      </c>
      <c r="C138" s="44" t="s">
        <v>53</v>
      </c>
      <c r="E138" s="45">
        <f>45034635+12203</f>
        <v>45046838</v>
      </c>
      <c r="F138" s="45"/>
      <c r="G138" s="45">
        <v>59440148</v>
      </c>
      <c r="H138" s="45"/>
      <c r="I138" s="45">
        <v>6082938</v>
      </c>
      <c r="J138" s="45"/>
      <c r="K138" s="45">
        <v>11200907</v>
      </c>
      <c r="L138" s="45"/>
      <c r="M138" s="45">
        <f>2455397+3845950</f>
        <v>6301347</v>
      </c>
      <c r="N138" s="45"/>
      <c r="O138" s="45">
        <v>0</v>
      </c>
      <c r="P138" s="45"/>
      <c r="Q138" s="45">
        <f>7757997+28605881+665187+4908829</f>
        <v>41937894</v>
      </c>
      <c r="R138" s="45"/>
      <c r="S138" s="45">
        <f t="shared" si="6"/>
        <v>48239241</v>
      </c>
      <c r="T138" s="45"/>
      <c r="U138" s="44">
        <f t="shared" si="5"/>
        <v>0</v>
      </c>
    </row>
    <row r="139" spans="1:22" s="44" customFormat="1" ht="12.75" customHeight="1">
      <c r="A139" s="44" t="s">
        <v>165</v>
      </c>
      <c r="C139" s="44" t="s">
        <v>92</v>
      </c>
      <c r="E139" s="45">
        <v>22819080</v>
      </c>
      <c r="F139" s="45"/>
      <c r="G139" s="45">
        <v>63951048</v>
      </c>
      <c r="H139" s="45"/>
      <c r="I139" s="45">
        <v>28775948</v>
      </c>
      <c r="J139" s="45"/>
      <c r="K139" s="45">
        <v>39983613</v>
      </c>
      <c r="L139" s="45"/>
      <c r="M139" s="45">
        <f>703444+1167062+3857551+125928</f>
        <v>5853985</v>
      </c>
      <c r="N139" s="45"/>
      <c r="O139" s="45">
        <v>0</v>
      </c>
      <c r="P139" s="45"/>
      <c r="Q139" s="45">
        <f>19242126+1854713-2983389</f>
        <v>18113450</v>
      </c>
      <c r="R139" s="45"/>
      <c r="S139" s="45">
        <f t="shared" si="6"/>
        <v>23967435</v>
      </c>
      <c r="T139" s="45"/>
      <c r="U139" s="44">
        <f t="shared" si="5"/>
        <v>0</v>
      </c>
    </row>
    <row r="140" spans="1:22" s="44" customFormat="1" ht="12.75" customHeight="1">
      <c r="A140" s="44" t="s">
        <v>166</v>
      </c>
      <c r="C140" s="44" t="s">
        <v>92</v>
      </c>
      <c r="E140" s="45">
        <v>1101669</v>
      </c>
      <c r="F140" s="45"/>
      <c r="G140" s="45">
        <v>5336450</v>
      </c>
      <c r="H140" s="45"/>
      <c r="I140" s="45">
        <v>670682</v>
      </c>
      <c r="J140" s="45"/>
      <c r="K140" s="45">
        <v>3457924</v>
      </c>
      <c r="L140" s="45"/>
      <c r="M140" s="45">
        <f>142726+14868+1842140+32705</f>
        <v>2032439</v>
      </c>
      <c r="N140" s="45"/>
      <c r="O140" s="45">
        <v>0</v>
      </c>
      <c r="P140" s="45"/>
      <c r="Q140" s="45">
        <f>132780+131643-418336</f>
        <v>-153913</v>
      </c>
      <c r="R140" s="45"/>
      <c r="S140" s="45">
        <f t="shared" si="6"/>
        <v>1878526</v>
      </c>
      <c r="T140" s="45"/>
      <c r="U140" s="44">
        <f t="shared" si="5"/>
        <v>0</v>
      </c>
    </row>
    <row r="141" spans="1:22" s="44" customFormat="1" ht="12.75" customHeight="1">
      <c r="A141" s="44" t="s">
        <v>167</v>
      </c>
      <c r="C141" s="44" t="s">
        <v>66</v>
      </c>
      <c r="E141" s="45">
        <f>7353347+5446835+97735</f>
        <v>12897917</v>
      </c>
      <c r="F141" s="45"/>
      <c r="G141" s="45">
        <v>20811118</v>
      </c>
      <c r="H141" s="45"/>
      <c r="I141" s="45">
        <v>5275997</v>
      </c>
      <c r="J141" s="45"/>
      <c r="K141" s="45">
        <v>7149839</v>
      </c>
      <c r="L141" s="45"/>
      <c r="M141" s="45">
        <f>672048+209110+1194206</f>
        <v>2075364</v>
      </c>
      <c r="N141" s="45"/>
      <c r="O141" s="45">
        <v>156930</v>
      </c>
      <c r="P141" s="45"/>
      <c r="Q141" s="45">
        <f>2398201+8388184+250502+392098</f>
        <v>11428985</v>
      </c>
      <c r="R141" s="45"/>
      <c r="S141" s="45">
        <f t="shared" si="6"/>
        <v>13661279</v>
      </c>
      <c r="T141" s="45"/>
      <c r="U141" s="44">
        <f t="shared" si="5"/>
        <v>0</v>
      </c>
    </row>
    <row r="142" spans="1:22" s="44" customFormat="1" ht="12.75" customHeight="1">
      <c r="A142" s="44" t="s">
        <v>168</v>
      </c>
      <c r="C142" s="44" t="s">
        <v>27</v>
      </c>
      <c r="E142" s="45">
        <v>5658849</v>
      </c>
      <c r="F142" s="45"/>
      <c r="G142" s="45">
        <v>15809040</v>
      </c>
      <c r="H142" s="45"/>
      <c r="I142" s="45">
        <v>5709399</v>
      </c>
      <c r="J142" s="45"/>
      <c r="K142" s="45">
        <v>7770968</v>
      </c>
      <c r="L142" s="45"/>
      <c r="M142" s="45">
        <f>1189806+79023</f>
        <v>1268829</v>
      </c>
      <c r="N142" s="45"/>
      <c r="O142" s="45">
        <v>0</v>
      </c>
      <c r="P142" s="45"/>
      <c r="Q142" s="45">
        <f>3476589+1261490+1586109+445055</f>
        <v>6769243</v>
      </c>
      <c r="R142" s="45"/>
      <c r="S142" s="45">
        <f t="shared" si="6"/>
        <v>8038072</v>
      </c>
      <c r="T142" s="45"/>
      <c r="U142" s="44">
        <f t="shared" si="5"/>
        <v>0</v>
      </c>
    </row>
    <row r="143" spans="1:22" s="44" customFormat="1" ht="12.75" customHeight="1">
      <c r="A143" s="44" t="s">
        <v>169</v>
      </c>
      <c r="C143" s="44" t="s">
        <v>103</v>
      </c>
      <c r="E143" s="45">
        <f>25623706+182914</f>
        <v>25806620</v>
      </c>
      <c r="F143" s="45"/>
      <c r="G143" s="45">
        <v>62595934</v>
      </c>
      <c r="H143" s="45"/>
      <c r="I143" s="45">
        <v>26311758</v>
      </c>
      <c r="J143" s="45"/>
      <c r="K143" s="45">
        <v>32673921</v>
      </c>
      <c r="L143" s="45"/>
      <c r="M143" s="45">
        <f>8564788+579234+1880703</f>
        <v>11024725</v>
      </c>
      <c r="N143" s="45"/>
      <c r="O143" s="45">
        <v>0</v>
      </c>
      <c r="P143" s="45"/>
      <c r="Q143" s="45">
        <f>11696983+6446188+892388-138271</f>
        <v>18897288</v>
      </c>
      <c r="R143" s="45"/>
      <c r="S143" s="45">
        <f t="shared" si="6"/>
        <v>29922013</v>
      </c>
      <c r="T143" s="45"/>
      <c r="U143" s="44">
        <f t="shared" si="5"/>
        <v>0</v>
      </c>
    </row>
    <row r="144" spans="1:22" s="44" customFormat="1" ht="12.75" customHeight="1">
      <c r="A144" s="44" t="s">
        <v>170</v>
      </c>
      <c r="C144" s="44" t="s">
        <v>171</v>
      </c>
      <c r="E144" s="45">
        <v>7381901</v>
      </c>
      <c r="F144" s="45"/>
      <c r="G144" s="45">
        <v>11071180</v>
      </c>
      <c r="H144" s="45"/>
      <c r="I144" s="45">
        <v>3423145</v>
      </c>
      <c r="J144" s="45"/>
      <c r="K144" s="45">
        <v>4005742</v>
      </c>
      <c r="L144" s="45"/>
      <c r="M144" s="45">
        <v>137220</v>
      </c>
      <c r="N144" s="45"/>
      <c r="O144" s="45">
        <v>0</v>
      </c>
      <c r="P144" s="45"/>
      <c r="Q144" s="45">
        <f>3097384+1842660+1035386+952788</f>
        <v>6928218</v>
      </c>
      <c r="R144" s="45"/>
      <c r="S144" s="45">
        <f t="shared" si="6"/>
        <v>7065438</v>
      </c>
      <c r="T144" s="45"/>
      <c r="U144" s="44">
        <f t="shared" si="5"/>
        <v>0</v>
      </c>
    </row>
    <row r="145" spans="1:21" s="44" customFormat="1" ht="12.75" customHeight="1">
      <c r="A145" s="44" t="s">
        <v>172</v>
      </c>
      <c r="C145" s="44" t="s">
        <v>103</v>
      </c>
      <c r="E145" s="45">
        <v>9149782</v>
      </c>
      <c r="F145" s="45"/>
      <c r="G145" s="45">
        <v>34067381</v>
      </c>
      <c r="H145" s="45"/>
      <c r="I145" s="45">
        <v>23962288</v>
      </c>
      <c r="J145" s="45"/>
      <c r="K145" s="45">
        <v>24943215</v>
      </c>
      <c r="L145" s="45"/>
      <c r="M145" s="45">
        <v>1961971</v>
      </c>
      <c r="N145" s="45"/>
      <c r="O145" s="45">
        <v>0</v>
      </c>
      <c r="P145" s="45"/>
      <c r="Q145" s="45">
        <f>5600911+495407+30454+1035423</f>
        <v>7162195</v>
      </c>
      <c r="R145" s="45"/>
      <c r="S145" s="45">
        <f t="shared" si="6"/>
        <v>9124166</v>
      </c>
      <c r="T145" s="45"/>
      <c r="U145" s="44">
        <f t="shared" si="5"/>
        <v>0</v>
      </c>
    </row>
    <row r="146" spans="1:21" s="44" customFormat="1" ht="12.75" customHeight="1">
      <c r="A146" s="44" t="s">
        <v>66</v>
      </c>
      <c r="C146" s="44" t="s">
        <v>45</v>
      </c>
      <c r="E146" s="45">
        <f>10936831+16238818</f>
        <v>27175649</v>
      </c>
      <c r="F146" s="45"/>
      <c r="G146" s="45">
        <v>40416622</v>
      </c>
      <c r="H146" s="45"/>
      <c r="I146" s="45">
        <v>10031462</v>
      </c>
      <c r="J146" s="45"/>
      <c r="K146" s="45">
        <v>11870223</v>
      </c>
      <c r="L146" s="45"/>
      <c r="M146" s="45">
        <f>1137569+22656+3185405</f>
        <v>4345630</v>
      </c>
      <c r="N146" s="45"/>
      <c r="O146" s="45">
        <v>0</v>
      </c>
      <c r="P146" s="45"/>
      <c r="Q146" s="45">
        <f>14446648+7183676+2570445</f>
        <v>24200769</v>
      </c>
      <c r="R146" s="45"/>
      <c r="S146" s="45">
        <f t="shared" si="6"/>
        <v>28546399</v>
      </c>
      <c r="T146" s="45"/>
      <c r="U146" s="44">
        <f t="shared" si="5"/>
        <v>0</v>
      </c>
    </row>
    <row r="147" spans="1:21" s="44" customFormat="1" ht="12.75" customHeight="1">
      <c r="A147" s="44" t="s">
        <v>173</v>
      </c>
      <c r="C147" s="44" t="s">
        <v>66</v>
      </c>
      <c r="E147" s="45">
        <v>14404379</v>
      </c>
      <c r="F147" s="45"/>
      <c r="G147" s="45">
        <v>19166707</v>
      </c>
      <c r="H147" s="45"/>
      <c r="I147" s="45">
        <v>2315011</v>
      </c>
      <c r="J147" s="45"/>
      <c r="K147" s="45">
        <v>4419548</v>
      </c>
      <c r="L147" s="45"/>
      <c r="M147" s="45">
        <f>2463651+78383+108368+349844+845000</f>
        <v>3845246</v>
      </c>
      <c r="N147" s="45"/>
      <c r="O147" s="45">
        <v>0</v>
      </c>
      <c r="P147" s="45"/>
      <c r="Q147" s="45">
        <f>7607746+2015466+150443+1128258</f>
        <v>10901913</v>
      </c>
      <c r="R147" s="45"/>
      <c r="S147" s="45">
        <f t="shared" si="6"/>
        <v>14747159</v>
      </c>
      <c r="T147" s="45"/>
      <c r="U147" s="44">
        <f t="shared" ref="U147:U213" si="7">+G147-K147-S147</f>
        <v>0</v>
      </c>
    </row>
    <row r="148" spans="1:21" s="44" customFormat="1" ht="12.75" customHeight="1">
      <c r="A148" s="44" t="s">
        <v>174</v>
      </c>
      <c r="C148" s="44" t="s">
        <v>45</v>
      </c>
      <c r="E148" s="45">
        <v>709251</v>
      </c>
      <c r="F148" s="45"/>
      <c r="G148" s="45">
        <v>2583338</v>
      </c>
      <c r="H148" s="45"/>
      <c r="I148" s="45">
        <v>1656558</v>
      </c>
      <c r="J148" s="45"/>
      <c r="K148" s="45">
        <v>1905377</v>
      </c>
      <c r="L148" s="45"/>
      <c r="M148" s="45">
        <v>0</v>
      </c>
      <c r="N148" s="45"/>
      <c r="O148" s="45">
        <v>0</v>
      </c>
      <c r="P148" s="45"/>
      <c r="Q148" s="45">
        <v>677961</v>
      </c>
      <c r="R148" s="45"/>
      <c r="S148" s="45">
        <f t="shared" si="6"/>
        <v>677961</v>
      </c>
      <c r="T148" s="45"/>
      <c r="U148" s="44">
        <f t="shared" si="7"/>
        <v>0</v>
      </c>
    </row>
    <row r="149" spans="1:21" s="44" customFormat="1" ht="12.75" customHeight="1">
      <c r="A149" s="44" t="s">
        <v>175</v>
      </c>
      <c r="C149" s="44" t="s">
        <v>176</v>
      </c>
      <c r="E149" s="45">
        <f>7265939+945571</f>
        <v>8211510</v>
      </c>
      <c r="F149" s="45"/>
      <c r="G149" s="45">
        <v>15608466</v>
      </c>
      <c r="H149" s="45"/>
      <c r="I149" s="45">
        <v>4378702</v>
      </c>
      <c r="J149" s="45"/>
      <c r="K149" s="45">
        <v>5571674</v>
      </c>
      <c r="L149" s="45"/>
      <c r="M149" s="45">
        <f>721744+68142+30331+369072</f>
        <v>1189289</v>
      </c>
      <c r="N149" s="45"/>
      <c r="O149" s="45">
        <v>0</v>
      </c>
      <c r="P149" s="45"/>
      <c r="Q149" s="45">
        <f>4593098+1182665+3071740</f>
        <v>8847503</v>
      </c>
      <c r="R149" s="45"/>
      <c r="S149" s="45">
        <f t="shared" si="6"/>
        <v>10036792</v>
      </c>
      <c r="T149" s="45"/>
      <c r="U149" s="44">
        <f t="shared" si="7"/>
        <v>0</v>
      </c>
    </row>
    <row r="150" spans="1:21" s="44" customFormat="1" ht="12.75" customHeight="1">
      <c r="A150" s="44" t="s">
        <v>177</v>
      </c>
      <c r="C150" s="44" t="s">
        <v>13</v>
      </c>
      <c r="E150" s="45">
        <v>3140168</v>
      </c>
      <c r="F150" s="45"/>
      <c r="G150" s="45">
        <v>4734774</v>
      </c>
      <c r="H150" s="45"/>
      <c r="I150" s="45">
        <v>1178860</v>
      </c>
      <c r="J150" s="45"/>
      <c r="K150" s="45">
        <v>1305298</v>
      </c>
      <c r="L150" s="45"/>
      <c r="M150" s="45">
        <v>113710</v>
      </c>
      <c r="N150" s="45"/>
      <c r="O150" s="45">
        <v>0</v>
      </c>
      <c r="P150" s="45"/>
      <c r="Q150" s="45">
        <f>1568183+1292157+17818+437608</f>
        <v>3315766</v>
      </c>
      <c r="R150" s="45"/>
      <c r="S150" s="45">
        <f t="shared" si="6"/>
        <v>3429476</v>
      </c>
      <c r="T150" s="45"/>
      <c r="U150" s="44">
        <f t="shared" si="7"/>
        <v>0</v>
      </c>
    </row>
    <row r="151" spans="1:21" s="44" customFormat="1" ht="12.75" customHeight="1">
      <c r="A151" s="44" t="s">
        <v>178</v>
      </c>
      <c r="C151" s="44" t="s">
        <v>179</v>
      </c>
      <c r="E151" s="45">
        <v>4792987</v>
      </c>
      <c r="F151" s="45"/>
      <c r="G151" s="45">
        <v>7731010</v>
      </c>
      <c r="H151" s="45"/>
      <c r="I151" s="45">
        <v>1811571</v>
      </c>
      <c r="J151" s="45"/>
      <c r="K151" s="45">
        <v>2177454</v>
      </c>
      <c r="L151" s="45"/>
      <c r="M151" s="45">
        <f>379488+122200</f>
        <v>501688</v>
      </c>
      <c r="N151" s="45"/>
      <c r="O151" s="45">
        <v>0</v>
      </c>
      <c r="P151" s="45"/>
      <c r="Q151" s="45">
        <f>2005363+1602836+908119+535550</f>
        <v>5051868</v>
      </c>
      <c r="R151" s="45"/>
      <c r="S151" s="45">
        <f t="shared" si="6"/>
        <v>5553556</v>
      </c>
      <c r="T151" s="45"/>
      <c r="U151" s="44">
        <f t="shared" si="7"/>
        <v>0</v>
      </c>
    </row>
    <row r="152" spans="1:21" s="44" customFormat="1" ht="12.75" customHeight="1">
      <c r="A152" s="44" t="s">
        <v>180</v>
      </c>
      <c r="C152" s="44" t="s">
        <v>20</v>
      </c>
      <c r="E152" s="45">
        <f>3375071+19451</f>
        <v>3394522</v>
      </c>
      <c r="F152" s="45"/>
      <c r="G152" s="45">
        <v>4526622</v>
      </c>
      <c r="H152" s="45"/>
      <c r="I152" s="45">
        <v>873057</v>
      </c>
      <c r="J152" s="45"/>
      <c r="K152" s="45">
        <v>1234138</v>
      </c>
      <c r="L152" s="45"/>
      <c r="M152" s="45">
        <v>19451</v>
      </c>
      <c r="N152" s="45"/>
      <c r="O152" s="45">
        <v>0</v>
      </c>
      <c r="P152" s="45"/>
      <c r="Q152" s="45">
        <f>1801459+503310+968264</f>
        <v>3273033</v>
      </c>
      <c r="R152" s="45"/>
      <c r="S152" s="45">
        <f t="shared" si="6"/>
        <v>3292484</v>
      </c>
      <c r="T152" s="45"/>
      <c r="U152" s="44">
        <f t="shared" si="7"/>
        <v>0</v>
      </c>
    </row>
    <row r="153" spans="1:21" s="44" customFormat="1" ht="12.75" customHeight="1">
      <c r="A153" s="44" t="s">
        <v>182</v>
      </c>
      <c r="C153" s="44" t="s">
        <v>183</v>
      </c>
      <c r="E153" s="45">
        <f>937943+71372</f>
        <v>1009315</v>
      </c>
      <c r="F153" s="45"/>
      <c r="G153" s="45">
        <v>4425603</v>
      </c>
      <c r="H153" s="45"/>
      <c r="I153" s="45">
        <v>2425678</v>
      </c>
      <c r="J153" s="45"/>
      <c r="K153" s="45">
        <v>3265483</v>
      </c>
      <c r="L153" s="45"/>
      <c r="M153" s="45">
        <f>2793+56418+98889</f>
        <v>158100</v>
      </c>
      <c r="N153" s="45"/>
      <c r="O153" s="45">
        <v>0</v>
      </c>
      <c r="P153" s="45"/>
      <c r="Q153" s="45">
        <v>1002020</v>
      </c>
      <c r="R153" s="45"/>
      <c r="S153" s="45">
        <f t="shared" si="6"/>
        <v>1160120</v>
      </c>
      <c r="T153" s="45"/>
      <c r="U153" s="44">
        <f t="shared" si="7"/>
        <v>0</v>
      </c>
    </row>
    <row r="154" spans="1:21" s="44" customFormat="1" ht="12.75" customHeight="1">
      <c r="A154" s="44" t="s">
        <v>487</v>
      </c>
      <c r="C154" s="44" t="s">
        <v>13</v>
      </c>
      <c r="E154" s="45">
        <v>3366234</v>
      </c>
      <c r="F154" s="45"/>
      <c r="G154" s="45">
        <v>7799271</v>
      </c>
      <c r="H154" s="45"/>
      <c r="I154" s="45">
        <v>3742498</v>
      </c>
      <c r="J154" s="45"/>
      <c r="K154" s="45">
        <v>4268221</v>
      </c>
      <c r="L154" s="45"/>
      <c r="M154" s="45">
        <v>141086</v>
      </c>
      <c r="N154" s="45"/>
      <c r="O154" s="45">
        <v>0</v>
      </c>
      <c r="P154" s="45"/>
      <c r="Q154" s="45">
        <v>3389964</v>
      </c>
      <c r="R154" s="45"/>
      <c r="S154" s="45">
        <f t="shared" si="6"/>
        <v>3531050</v>
      </c>
      <c r="T154" s="45"/>
      <c r="U154" s="44">
        <f>+G154-K154-S154</f>
        <v>0</v>
      </c>
    </row>
    <row r="155" spans="1:21" s="44" customFormat="1" ht="12.75" customHeight="1">
      <c r="A155" s="44" t="s">
        <v>184</v>
      </c>
      <c r="C155" s="44" t="s">
        <v>89</v>
      </c>
      <c r="E155" s="45">
        <f>4387049+93113</f>
        <v>4480162</v>
      </c>
      <c r="F155" s="45"/>
      <c r="G155" s="45">
        <v>11163087</v>
      </c>
      <c r="H155" s="45"/>
      <c r="I155" s="45">
        <v>4146855</v>
      </c>
      <c r="J155" s="45"/>
      <c r="K155" s="45">
        <v>5021523</v>
      </c>
      <c r="L155" s="45"/>
      <c r="M155" s="45">
        <f>107979+27343</f>
        <v>135322</v>
      </c>
      <c r="N155" s="45"/>
      <c r="O155" s="45">
        <v>0</v>
      </c>
      <c r="P155" s="45"/>
      <c r="Q155" s="45">
        <f>1649306+2236560+111663+1591021+417692</f>
        <v>6006242</v>
      </c>
      <c r="R155" s="45"/>
      <c r="S155" s="45">
        <f t="shared" si="6"/>
        <v>6141564</v>
      </c>
      <c r="T155" s="45"/>
      <c r="U155" s="44">
        <f t="shared" si="7"/>
        <v>0</v>
      </c>
    </row>
    <row r="156" spans="1:21" s="44" customFormat="1" ht="12.75" customHeight="1">
      <c r="A156" s="44" t="s">
        <v>181</v>
      </c>
      <c r="C156" s="44" t="s">
        <v>125</v>
      </c>
      <c r="E156" s="45">
        <f>7231323+378938</f>
        <v>7610261</v>
      </c>
      <c r="F156" s="45"/>
      <c r="G156" s="45">
        <v>23774508</v>
      </c>
      <c r="H156" s="45"/>
      <c r="I156" s="45">
        <v>10920220</v>
      </c>
      <c r="J156" s="45"/>
      <c r="K156" s="45">
        <v>13249439</v>
      </c>
      <c r="L156" s="45"/>
      <c r="M156" s="45">
        <f>3191431+41974+420799+12749+893668</f>
        <v>4560621</v>
      </c>
      <c r="N156" s="45"/>
      <c r="O156" s="45">
        <v>0</v>
      </c>
      <c r="P156" s="45"/>
      <c r="Q156" s="45">
        <f>1774282+3858783+331383</f>
        <v>5964448</v>
      </c>
      <c r="R156" s="45"/>
      <c r="S156" s="45">
        <f t="shared" si="6"/>
        <v>10525069</v>
      </c>
      <c r="T156" s="45"/>
      <c r="U156" s="44">
        <f t="shared" si="7"/>
        <v>0</v>
      </c>
    </row>
    <row r="157" spans="1:21" s="44" customFormat="1" ht="12.75" customHeight="1">
      <c r="A157" s="44" t="s">
        <v>185</v>
      </c>
      <c r="C157" s="44" t="s">
        <v>80</v>
      </c>
      <c r="E157" s="45">
        <v>11263114</v>
      </c>
      <c r="F157" s="45"/>
      <c r="G157" s="45">
        <v>18788053</v>
      </c>
      <c r="H157" s="45"/>
      <c r="I157" s="45">
        <v>2229596</v>
      </c>
      <c r="J157" s="45"/>
      <c r="K157" s="45">
        <v>7437679</v>
      </c>
      <c r="L157" s="45"/>
      <c r="M157" s="45">
        <f>223351+12540+959775+129437</f>
        <v>1325103</v>
      </c>
      <c r="N157" s="45"/>
      <c r="O157" s="45">
        <v>0</v>
      </c>
      <c r="P157" s="45"/>
      <c r="Q157" s="45">
        <f>10501007+2574996-3050732</f>
        <v>10025271</v>
      </c>
      <c r="R157" s="45"/>
      <c r="S157" s="45">
        <f t="shared" si="6"/>
        <v>11350374</v>
      </c>
      <c r="T157" s="45"/>
      <c r="U157" s="44">
        <f t="shared" si="7"/>
        <v>0</v>
      </c>
    </row>
    <row r="158" spans="1:21" s="44" customFormat="1" ht="12.75" customHeight="1">
      <c r="A158" s="44" t="s">
        <v>186</v>
      </c>
      <c r="C158" s="44" t="s">
        <v>15</v>
      </c>
      <c r="E158" s="45">
        <f>4625997+33701+757000</f>
        <v>5416698</v>
      </c>
      <c r="F158" s="45"/>
      <c r="G158" s="45">
        <v>10631644</v>
      </c>
      <c r="H158" s="45"/>
      <c r="I158" s="45">
        <v>1619530</v>
      </c>
      <c r="J158" s="45"/>
      <c r="K158" s="45">
        <v>5577746</v>
      </c>
      <c r="L158" s="45"/>
      <c r="M158" s="45">
        <f>2195283+71186+32743</f>
        <v>2299212</v>
      </c>
      <c r="N158" s="45"/>
      <c r="O158" s="45">
        <v>757000</v>
      </c>
      <c r="P158" s="45"/>
      <c r="Q158" s="45">
        <f>587958+1665953-256225</f>
        <v>1997686</v>
      </c>
      <c r="R158" s="45"/>
      <c r="S158" s="45">
        <f t="shared" si="6"/>
        <v>5053898</v>
      </c>
      <c r="T158" s="45"/>
      <c r="U158" s="44">
        <f t="shared" si="7"/>
        <v>0</v>
      </c>
    </row>
    <row r="159" spans="1:21" s="44" customFormat="1" ht="12.75" customHeight="1">
      <c r="A159" s="44" t="s">
        <v>187</v>
      </c>
      <c r="C159" s="44" t="s">
        <v>27</v>
      </c>
      <c r="E159" s="45">
        <v>10806361</v>
      </c>
      <c r="F159" s="45"/>
      <c r="G159" s="45">
        <v>29601986</v>
      </c>
      <c r="H159" s="45"/>
      <c r="I159" s="45">
        <v>13077544</v>
      </c>
      <c r="J159" s="45"/>
      <c r="K159" s="45">
        <v>14751686</v>
      </c>
      <c r="L159" s="45"/>
      <c r="M159" s="45">
        <f>784562+509781</f>
        <v>1294343</v>
      </c>
      <c r="N159" s="45"/>
      <c r="O159" s="45">
        <v>0</v>
      </c>
      <c r="P159" s="45"/>
      <c r="Q159" s="45">
        <f>3620708+5290424+4074995+569830</f>
        <v>13555957</v>
      </c>
      <c r="R159" s="45"/>
      <c r="S159" s="45">
        <f t="shared" si="6"/>
        <v>14850300</v>
      </c>
      <c r="T159" s="45"/>
      <c r="U159" s="44">
        <f>+G159-K159-S159</f>
        <v>0</v>
      </c>
    </row>
    <row r="160" spans="1:21" s="44" customFormat="1" ht="12.75" customHeight="1">
      <c r="A160" s="44" t="s">
        <v>189</v>
      </c>
      <c r="C160" s="44" t="s">
        <v>17</v>
      </c>
      <c r="E160" s="45">
        <v>7555426</v>
      </c>
      <c r="F160" s="45"/>
      <c r="G160" s="45">
        <v>22919235</v>
      </c>
      <c r="H160" s="45"/>
      <c r="I160" s="45">
        <v>13449621</v>
      </c>
      <c r="J160" s="45"/>
      <c r="K160" s="45">
        <v>15576277</v>
      </c>
      <c r="L160" s="45"/>
      <c r="M160" s="45">
        <f>529746+46200</f>
        <v>575946</v>
      </c>
      <c r="N160" s="45"/>
      <c r="O160" s="45">
        <v>0</v>
      </c>
      <c r="P160" s="45"/>
      <c r="Q160" s="45">
        <f>1395497+4763270+325021+283224</f>
        <v>6767012</v>
      </c>
      <c r="R160" s="45"/>
      <c r="S160" s="45">
        <f t="shared" si="6"/>
        <v>7342958</v>
      </c>
      <c r="T160" s="45"/>
      <c r="U160" s="44">
        <f t="shared" si="7"/>
        <v>0</v>
      </c>
    </row>
    <row r="161" spans="1:21" s="44" customFormat="1" ht="12.75" customHeight="1">
      <c r="A161" s="44" t="s">
        <v>188</v>
      </c>
      <c r="C161" s="44" t="s">
        <v>27</v>
      </c>
      <c r="E161" s="45">
        <v>10867536</v>
      </c>
      <c r="F161" s="45"/>
      <c r="G161" s="45">
        <v>22169208</v>
      </c>
      <c r="H161" s="45"/>
      <c r="I161" s="45">
        <v>7797023</v>
      </c>
      <c r="J161" s="45"/>
      <c r="K161" s="45">
        <v>9651357</v>
      </c>
      <c r="L161" s="45"/>
      <c r="M161" s="45">
        <f>316130+89782+1245846</f>
        <v>1651758</v>
      </c>
      <c r="N161" s="45"/>
      <c r="O161" s="45">
        <v>0</v>
      </c>
      <c r="P161" s="45"/>
      <c r="Q161" s="45">
        <f>1431532+2197394+1396160+5841007</f>
        <v>10866093</v>
      </c>
      <c r="R161" s="45"/>
      <c r="S161" s="45">
        <f t="shared" si="6"/>
        <v>12517851</v>
      </c>
      <c r="T161" s="45"/>
      <c r="U161" s="44">
        <f t="shared" si="7"/>
        <v>0</v>
      </c>
    </row>
    <row r="162" spans="1:21" s="44" customFormat="1" ht="12.75" customHeight="1">
      <c r="A162" s="44" t="s">
        <v>190</v>
      </c>
      <c r="C162" s="44" t="s">
        <v>47</v>
      </c>
      <c r="E162" s="45">
        <v>4870329</v>
      </c>
      <c r="F162" s="45"/>
      <c r="G162" s="45">
        <v>6862525</v>
      </c>
      <c r="H162" s="45"/>
      <c r="I162" s="45">
        <v>1165856</v>
      </c>
      <c r="J162" s="45"/>
      <c r="K162" s="45">
        <v>1455391</v>
      </c>
      <c r="L162" s="45"/>
      <c r="M162" s="45">
        <f>49640+43342</f>
        <v>92982</v>
      </c>
      <c r="N162" s="45"/>
      <c r="O162" s="45">
        <v>0</v>
      </c>
      <c r="P162" s="45"/>
      <c r="Q162" s="45">
        <f>642583+1151561+384210+3135798</f>
        <v>5314152</v>
      </c>
      <c r="R162" s="45"/>
      <c r="S162" s="45">
        <f t="shared" si="6"/>
        <v>5407134</v>
      </c>
      <c r="T162" s="45"/>
      <c r="U162" s="44">
        <f t="shared" si="7"/>
        <v>0</v>
      </c>
    </row>
    <row r="163" spans="1:21" s="44" customFormat="1" ht="12.75" customHeight="1">
      <c r="A163" s="44" t="s">
        <v>191</v>
      </c>
      <c r="C163" s="44" t="s">
        <v>13</v>
      </c>
      <c r="E163" s="45">
        <f>4580235+20913+280014</f>
        <v>4881162</v>
      </c>
      <c r="F163" s="45"/>
      <c r="G163" s="45">
        <v>10679161</v>
      </c>
      <c r="H163" s="45"/>
      <c r="I163" s="45">
        <v>3973012</v>
      </c>
      <c r="J163" s="45"/>
      <c r="K163" s="45">
        <v>6857253</v>
      </c>
      <c r="L163" s="45"/>
      <c r="M163" s="45">
        <f>272772+1618723+780860</f>
        <v>2672355</v>
      </c>
      <c r="N163" s="45"/>
      <c r="O163" s="45">
        <v>786985</v>
      </c>
      <c r="P163" s="45"/>
      <c r="Q163" s="45">
        <v>362568</v>
      </c>
      <c r="R163" s="45"/>
      <c r="S163" s="45">
        <f t="shared" si="6"/>
        <v>3821908</v>
      </c>
      <c r="T163" s="45"/>
      <c r="U163" s="44">
        <f t="shared" si="7"/>
        <v>0</v>
      </c>
    </row>
    <row r="164" spans="1:21" s="44" customFormat="1" ht="12.75" customHeight="1"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8" t="s">
        <v>484</v>
      </c>
      <c r="T164" s="45"/>
    </row>
    <row r="165" spans="1:21" s="44" customFormat="1" ht="12.75" customHeight="1">
      <c r="A165" s="44" t="s">
        <v>192</v>
      </c>
      <c r="C165" s="44" t="s">
        <v>38</v>
      </c>
      <c r="E165" s="94">
        <v>9769723</v>
      </c>
      <c r="F165" s="94"/>
      <c r="G165" s="94">
        <v>16209533</v>
      </c>
      <c r="H165" s="94"/>
      <c r="I165" s="94">
        <v>622767</v>
      </c>
      <c r="J165" s="94"/>
      <c r="K165" s="94">
        <v>4256849</v>
      </c>
      <c r="L165" s="94"/>
      <c r="M165" s="94">
        <v>7176526</v>
      </c>
      <c r="N165" s="94"/>
      <c r="O165" s="94">
        <v>0</v>
      </c>
      <c r="P165" s="94"/>
      <c r="Q165" s="94">
        <v>4776158</v>
      </c>
      <c r="R165" s="94"/>
      <c r="S165" s="94">
        <f t="shared" si="6"/>
        <v>11952684</v>
      </c>
      <c r="T165" s="45"/>
      <c r="U165" s="44">
        <f t="shared" si="7"/>
        <v>0</v>
      </c>
    </row>
    <row r="166" spans="1:21" s="44" customFormat="1" ht="12.75" customHeight="1">
      <c r="A166" s="44" t="s">
        <v>193</v>
      </c>
      <c r="C166" s="44" t="s">
        <v>45</v>
      </c>
      <c r="E166" s="45">
        <f>3612275+345065</f>
        <v>3957340</v>
      </c>
      <c r="F166" s="45"/>
      <c r="G166" s="45">
        <v>14051478</v>
      </c>
      <c r="H166" s="45"/>
      <c r="I166" s="45">
        <v>7413072</v>
      </c>
      <c r="J166" s="45"/>
      <c r="K166" s="45">
        <v>9314297</v>
      </c>
      <c r="L166" s="45"/>
      <c r="M166" s="45">
        <v>344706</v>
      </c>
      <c r="N166" s="45"/>
      <c r="O166" s="45">
        <v>0</v>
      </c>
      <c r="P166" s="45"/>
      <c r="Q166" s="45">
        <f>820802+1979304+1578678+13691</f>
        <v>4392475</v>
      </c>
      <c r="R166" s="45"/>
      <c r="S166" s="45">
        <f t="shared" si="6"/>
        <v>4737181</v>
      </c>
      <c r="T166" s="45"/>
      <c r="U166" s="44">
        <f t="shared" si="7"/>
        <v>0</v>
      </c>
    </row>
    <row r="167" spans="1:21" s="44" customFormat="1" ht="12.75" customHeight="1">
      <c r="A167" s="44" t="s">
        <v>194</v>
      </c>
      <c r="C167" s="44" t="s">
        <v>66</v>
      </c>
      <c r="E167" s="45">
        <f>12746417+10698</f>
        <v>12757115</v>
      </c>
      <c r="F167" s="45"/>
      <c r="G167" s="45">
        <v>17197858</v>
      </c>
      <c r="H167" s="45"/>
      <c r="I167" s="45">
        <v>3614074</v>
      </c>
      <c r="J167" s="45"/>
      <c r="K167" s="45">
        <v>6993323</v>
      </c>
      <c r="L167" s="45"/>
      <c r="M167" s="45">
        <f>416941+30893+124714+50000</f>
        <v>622548</v>
      </c>
      <c r="N167" s="45"/>
      <c r="O167" s="45">
        <v>3674</v>
      </c>
      <c r="P167" s="45"/>
      <c r="Q167" s="45">
        <f>5085827+2877625+1613819+1042</f>
        <v>9578313</v>
      </c>
      <c r="R167" s="45"/>
      <c r="S167" s="45">
        <f t="shared" si="6"/>
        <v>10204535</v>
      </c>
      <c r="T167" s="45"/>
      <c r="U167" s="44">
        <f t="shared" si="7"/>
        <v>0</v>
      </c>
    </row>
    <row r="168" spans="1:21" s="44" customFormat="1" ht="12.75" customHeight="1">
      <c r="A168" s="44" t="s">
        <v>195</v>
      </c>
      <c r="C168" s="44" t="s">
        <v>17</v>
      </c>
      <c r="E168" s="45">
        <f>3167291+10914258</f>
        <v>14081549</v>
      </c>
      <c r="F168" s="45"/>
      <c r="G168" s="45">
        <v>17690515</v>
      </c>
      <c r="H168" s="45"/>
      <c r="I168" s="45">
        <v>1771879</v>
      </c>
      <c r="J168" s="45"/>
      <c r="K168" s="45">
        <v>2868160</v>
      </c>
      <c r="L168" s="45"/>
      <c r="M168" s="45">
        <f>1640245+12921+55415+27259</f>
        <v>1735840</v>
      </c>
      <c r="N168" s="45"/>
      <c r="O168" s="45">
        <v>0</v>
      </c>
      <c r="P168" s="45"/>
      <c r="Q168" s="45">
        <f>9606294+805388+373129+2301704</f>
        <v>13086515</v>
      </c>
      <c r="R168" s="45"/>
      <c r="S168" s="45">
        <f t="shared" si="6"/>
        <v>14822355</v>
      </c>
      <c r="T168" s="45"/>
      <c r="U168" s="44">
        <f t="shared" si="7"/>
        <v>0</v>
      </c>
    </row>
    <row r="169" spans="1:21" s="44" customFormat="1" ht="12.75" customHeight="1">
      <c r="A169" s="44" t="s">
        <v>196</v>
      </c>
      <c r="C169" s="44" t="s">
        <v>27</v>
      </c>
      <c r="E169" s="45">
        <v>3917256</v>
      </c>
      <c r="F169" s="45"/>
      <c r="G169" s="45">
        <v>11714071</v>
      </c>
      <c r="H169" s="45"/>
      <c r="I169" s="45">
        <v>6594978</v>
      </c>
      <c r="J169" s="45"/>
      <c r="K169" s="45">
        <v>7185369</v>
      </c>
      <c r="L169" s="45"/>
      <c r="M169" s="45">
        <f>510870+66857+9811</f>
        <v>587538</v>
      </c>
      <c r="N169" s="45"/>
      <c r="O169" s="45">
        <v>0</v>
      </c>
      <c r="P169" s="45"/>
      <c r="Q169" s="45">
        <f>1186501+2015361+80881+658421</f>
        <v>3941164</v>
      </c>
      <c r="R169" s="45"/>
      <c r="S169" s="45">
        <f t="shared" si="6"/>
        <v>4528702</v>
      </c>
      <c r="T169" s="45"/>
      <c r="U169" s="44">
        <f t="shared" si="7"/>
        <v>0</v>
      </c>
    </row>
    <row r="170" spans="1:21" s="44" customFormat="1" ht="12.75" customHeight="1">
      <c r="A170" s="44" t="s">
        <v>402</v>
      </c>
      <c r="C170" s="44" t="s">
        <v>153</v>
      </c>
      <c r="E170" s="45">
        <f>3074525+24018</f>
        <v>3098543</v>
      </c>
      <c r="F170" s="45"/>
      <c r="G170" s="45">
        <v>8554582</v>
      </c>
      <c r="H170" s="45"/>
      <c r="I170" s="45">
        <v>1057235</v>
      </c>
      <c r="J170" s="45"/>
      <c r="K170" s="45">
        <v>2118025</v>
      </c>
      <c r="L170" s="45"/>
      <c r="M170" s="45">
        <f>84182+56196+176628+334833</f>
        <v>651839</v>
      </c>
      <c r="N170" s="45"/>
      <c r="O170" s="45">
        <v>0</v>
      </c>
      <c r="P170" s="45"/>
      <c r="Q170" s="45">
        <f>2562408+1783260+1439050</f>
        <v>5784718</v>
      </c>
      <c r="R170" s="45"/>
      <c r="S170" s="45">
        <f t="shared" si="6"/>
        <v>6436557</v>
      </c>
      <c r="T170" s="45"/>
      <c r="U170" s="44">
        <f t="shared" si="7"/>
        <v>0</v>
      </c>
    </row>
    <row r="171" spans="1:21" s="44" customFormat="1" ht="12.75" customHeight="1">
      <c r="A171" s="44" t="s">
        <v>197</v>
      </c>
      <c r="C171" s="44" t="s">
        <v>163</v>
      </c>
      <c r="E171" s="45">
        <f>7452806+20671592</f>
        <v>28124398</v>
      </c>
      <c r="F171" s="45"/>
      <c r="G171" s="45">
        <v>41564637</v>
      </c>
      <c r="H171" s="45"/>
      <c r="I171" s="45">
        <v>8697743</v>
      </c>
      <c r="J171" s="45"/>
      <c r="K171" s="45">
        <v>11529126</v>
      </c>
      <c r="L171" s="45"/>
      <c r="M171" s="45">
        <f>6473452+101199+415429+87191</f>
        <v>7077271</v>
      </c>
      <c r="N171" s="45"/>
      <c r="O171" s="45">
        <v>0</v>
      </c>
      <c r="P171" s="45"/>
      <c r="Q171" s="45">
        <f>14910858+4603996+88172+3355214</f>
        <v>22958240</v>
      </c>
      <c r="R171" s="45"/>
      <c r="S171" s="45">
        <f t="shared" si="6"/>
        <v>30035511</v>
      </c>
      <c r="T171" s="45"/>
      <c r="U171" s="44">
        <f t="shared" si="7"/>
        <v>0</v>
      </c>
    </row>
    <row r="172" spans="1:21" s="44" customFormat="1" ht="12.75" customHeight="1">
      <c r="A172" s="44" t="s">
        <v>198</v>
      </c>
      <c r="C172" s="44" t="s">
        <v>199</v>
      </c>
      <c r="E172" s="45">
        <v>5431180</v>
      </c>
      <c r="F172" s="45"/>
      <c r="G172" s="45">
        <v>8433309</v>
      </c>
      <c r="H172" s="45"/>
      <c r="I172" s="45">
        <v>1640140</v>
      </c>
      <c r="J172" s="45"/>
      <c r="K172" s="45">
        <v>3336051</v>
      </c>
      <c r="L172" s="45"/>
      <c r="M172" s="45">
        <v>227682</v>
      </c>
      <c r="N172" s="45"/>
      <c r="O172" s="45">
        <v>0</v>
      </c>
      <c r="P172" s="45"/>
      <c r="Q172" s="45">
        <f>3643148+832151+140820+253457</f>
        <v>4869576</v>
      </c>
      <c r="R172" s="45"/>
      <c r="S172" s="45">
        <f t="shared" si="6"/>
        <v>5097258</v>
      </c>
      <c r="T172" s="45"/>
      <c r="U172" s="44">
        <f t="shared" si="7"/>
        <v>0</v>
      </c>
    </row>
    <row r="173" spans="1:21" s="44" customFormat="1" ht="12.75" customHeight="1">
      <c r="A173" s="44" t="s">
        <v>200</v>
      </c>
      <c r="C173" s="44" t="s">
        <v>103</v>
      </c>
      <c r="E173" s="45">
        <v>11128748</v>
      </c>
      <c r="F173" s="45"/>
      <c r="G173" s="45">
        <v>16414750</v>
      </c>
      <c r="H173" s="45"/>
      <c r="I173" s="45">
        <v>2518201</v>
      </c>
      <c r="J173" s="45"/>
      <c r="K173" s="45">
        <v>4879951</v>
      </c>
      <c r="L173" s="45"/>
      <c r="M173" s="45">
        <f>739826+1755312</f>
        <v>2495138</v>
      </c>
      <c r="N173" s="45"/>
      <c r="O173" s="45">
        <v>0</v>
      </c>
      <c r="P173" s="45"/>
      <c r="Q173" s="45">
        <f>6938831+480495+1620335</f>
        <v>9039661</v>
      </c>
      <c r="R173" s="45"/>
      <c r="S173" s="45">
        <f t="shared" si="6"/>
        <v>11534799</v>
      </c>
      <c r="T173" s="45"/>
      <c r="U173" s="44">
        <f t="shared" si="7"/>
        <v>0</v>
      </c>
    </row>
    <row r="174" spans="1:21" s="44" customFormat="1" ht="12.75" customHeight="1">
      <c r="A174" s="44" t="s">
        <v>201</v>
      </c>
      <c r="C174" s="44" t="s">
        <v>92</v>
      </c>
      <c r="E174" s="45">
        <f>4594065+551362</f>
        <v>5145427</v>
      </c>
      <c r="F174" s="45"/>
      <c r="G174" s="45">
        <v>16001070</v>
      </c>
      <c r="H174" s="45"/>
      <c r="I174" s="45">
        <v>1793163</v>
      </c>
      <c r="J174" s="45"/>
      <c r="K174" s="45">
        <v>7209215</v>
      </c>
      <c r="L174" s="45"/>
      <c r="M174" s="45">
        <f>957846+62885+163910+247752+984940</f>
        <v>2417333</v>
      </c>
      <c r="N174" s="45"/>
      <c r="O174" s="45">
        <v>0</v>
      </c>
      <c r="P174" s="45"/>
      <c r="Q174" s="45">
        <f>6065354+1281669-1770799+562211+236087</f>
        <v>6374522</v>
      </c>
      <c r="R174" s="45"/>
      <c r="S174" s="45">
        <f t="shared" si="6"/>
        <v>8791855</v>
      </c>
      <c r="T174" s="45"/>
      <c r="U174" s="44">
        <f t="shared" si="7"/>
        <v>0</v>
      </c>
    </row>
    <row r="175" spans="1:21" s="44" customFormat="1" ht="12.75" customHeight="1">
      <c r="A175" s="44" t="s">
        <v>202</v>
      </c>
      <c r="C175" s="44" t="s">
        <v>27</v>
      </c>
      <c r="E175" s="45">
        <f>10994964+903919</f>
        <v>11898883</v>
      </c>
      <c r="F175" s="45"/>
      <c r="G175" s="45">
        <v>35756987</v>
      </c>
      <c r="H175" s="45"/>
      <c r="I175" s="45">
        <v>16410274</v>
      </c>
      <c r="J175" s="45"/>
      <c r="K175" s="45">
        <v>23134044</v>
      </c>
      <c r="L175" s="45"/>
      <c r="M175" s="45">
        <f>230505+408643+12605</f>
        <v>651753</v>
      </c>
      <c r="N175" s="45"/>
      <c r="O175" s="45">
        <v>0</v>
      </c>
      <c r="P175" s="45"/>
      <c r="Q175" s="45">
        <f>4375937+5169045+1127126+1299082</f>
        <v>11971190</v>
      </c>
      <c r="R175" s="45"/>
      <c r="S175" s="45">
        <f t="shared" si="6"/>
        <v>12622943</v>
      </c>
      <c r="T175" s="45"/>
      <c r="U175" s="44">
        <f t="shared" si="7"/>
        <v>0</v>
      </c>
    </row>
    <row r="176" spans="1:21" s="44" customFormat="1" ht="12.75" customHeight="1">
      <c r="A176" s="44" t="s">
        <v>203</v>
      </c>
      <c r="C176" s="44" t="s">
        <v>27</v>
      </c>
      <c r="E176" s="45">
        <f>3080219+23126</f>
        <v>3103345</v>
      </c>
      <c r="F176" s="45"/>
      <c r="G176" s="45">
        <v>15902434</v>
      </c>
      <c r="H176" s="45"/>
      <c r="I176" s="45">
        <v>10748881</v>
      </c>
      <c r="J176" s="45"/>
      <c r="K176" s="45">
        <v>17109049</v>
      </c>
      <c r="L176" s="45"/>
      <c r="M176" s="45">
        <f>36593+22112+133394</f>
        <v>192099</v>
      </c>
      <c r="N176" s="45"/>
      <c r="O176" s="45">
        <v>0</v>
      </c>
      <c r="P176" s="45"/>
      <c r="Q176" s="45">
        <f>1026099+115224+476222-3016259</f>
        <v>-1398714</v>
      </c>
      <c r="R176" s="45"/>
      <c r="S176" s="45">
        <f t="shared" si="6"/>
        <v>-1206615</v>
      </c>
      <c r="T176" s="45"/>
      <c r="U176" s="44">
        <f t="shared" si="7"/>
        <v>0</v>
      </c>
    </row>
    <row r="177" spans="1:21" s="44" customFormat="1" ht="12.75" customHeight="1">
      <c r="A177" s="44" t="s">
        <v>204</v>
      </c>
      <c r="C177" s="44" t="s">
        <v>125</v>
      </c>
      <c r="E177" s="45">
        <v>3780407</v>
      </c>
      <c r="F177" s="45"/>
      <c r="G177" s="45">
        <v>6382486</v>
      </c>
      <c r="H177" s="45"/>
      <c r="I177" s="45">
        <v>937678</v>
      </c>
      <c r="J177" s="45"/>
      <c r="K177" s="45">
        <v>2060545</v>
      </c>
      <c r="L177" s="45"/>
      <c r="M177" s="45">
        <f>29244+42800+30067</f>
        <v>102111</v>
      </c>
      <c r="N177" s="45"/>
      <c r="O177" s="45">
        <v>0</v>
      </c>
      <c r="P177" s="45"/>
      <c r="Q177" s="45">
        <f>1679354+2533546+6930</f>
        <v>4219830</v>
      </c>
      <c r="R177" s="45"/>
      <c r="S177" s="45">
        <f t="shared" si="6"/>
        <v>4321941</v>
      </c>
      <c r="T177" s="45"/>
      <c r="U177" s="44">
        <f t="shared" si="7"/>
        <v>0</v>
      </c>
    </row>
    <row r="178" spans="1:21" s="121" customFormat="1" ht="12.75" hidden="1" customHeight="1">
      <c r="A178" s="121" t="s">
        <v>205</v>
      </c>
      <c r="C178" s="121" t="s">
        <v>27</v>
      </c>
      <c r="E178" s="127">
        <v>0</v>
      </c>
      <c r="F178" s="127"/>
      <c r="G178" s="127">
        <v>0</v>
      </c>
      <c r="H178" s="127"/>
      <c r="I178" s="127">
        <v>0</v>
      </c>
      <c r="J178" s="127"/>
      <c r="K178" s="127">
        <v>0</v>
      </c>
      <c r="L178" s="127"/>
      <c r="M178" s="127">
        <v>0</v>
      </c>
      <c r="N178" s="127"/>
      <c r="O178" s="127">
        <v>0</v>
      </c>
      <c r="P178" s="127"/>
      <c r="Q178" s="127">
        <v>0</v>
      </c>
      <c r="R178" s="127"/>
      <c r="S178" s="127">
        <f t="shared" si="6"/>
        <v>0</v>
      </c>
      <c r="T178" s="127"/>
      <c r="U178" s="121">
        <f t="shared" si="7"/>
        <v>0</v>
      </c>
    </row>
    <row r="179" spans="1:21" s="44" customFormat="1" ht="12.75" customHeight="1">
      <c r="A179" s="44" t="s">
        <v>206</v>
      </c>
      <c r="C179" s="44" t="s">
        <v>47</v>
      </c>
      <c r="E179" s="45">
        <f>2714481+5592694</f>
        <v>8307175</v>
      </c>
      <c r="F179" s="45"/>
      <c r="G179" s="45">
        <v>16249386</v>
      </c>
      <c r="H179" s="45"/>
      <c r="I179" s="45">
        <v>4337758</v>
      </c>
      <c r="J179" s="45"/>
      <c r="K179" s="45">
        <v>10616248</v>
      </c>
      <c r="L179" s="45"/>
      <c r="M179" s="45">
        <f>1638099+129520+113724+325295</f>
        <v>2206638</v>
      </c>
      <c r="N179" s="45"/>
      <c r="O179" s="45">
        <v>0</v>
      </c>
      <c r="P179" s="45"/>
      <c r="Q179" s="45">
        <f>5751161+2316011+6707-4647379</f>
        <v>3426500</v>
      </c>
      <c r="R179" s="45"/>
      <c r="S179" s="45">
        <f t="shared" si="6"/>
        <v>5633138</v>
      </c>
      <c r="T179" s="45"/>
      <c r="U179" s="44">
        <f t="shared" si="7"/>
        <v>0</v>
      </c>
    </row>
    <row r="180" spans="1:21" s="44" customFormat="1" ht="12.75" customHeight="1">
      <c r="A180" s="44" t="s">
        <v>207</v>
      </c>
      <c r="C180" s="44" t="s">
        <v>102</v>
      </c>
      <c r="E180" s="45">
        <v>5081307</v>
      </c>
      <c r="F180" s="45"/>
      <c r="G180" s="45">
        <v>10199491</v>
      </c>
      <c r="H180" s="45"/>
      <c r="I180" s="45">
        <v>4236312</v>
      </c>
      <c r="J180" s="45"/>
      <c r="K180" s="45">
        <v>7476045</v>
      </c>
      <c r="L180" s="45"/>
      <c r="M180" s="45">
        <f>100754+5551+1545</f>
        <v>107850</v>
      </c>
      <c r="N180" s="45"/>
      <c r="O180" s="45">
        <v>0</v>
      </c>
      <c r="P180" s="45"/>
      <c r="Q180" s="45">
        <f>3578121+1092498+18122-2075943+2798</f>
        <v>2615596</v>
      </c>
      <c r="R180" s="45"/>
      <c r="S180" s="45">
        <f t="shared" si="6"/>
        <v>2723446</v>
      </c>
      <c r="T180" s="45"/>
      <c r="U180" s="44">
        <f>+G180-K180-S180</f>
        <v>0</v>
      </c>
    </row>
    <row r="181" spans="1:21" s="44" customFormat="1" ht="12.75" customHeight="1">
      <c r="A181" s="44" t="s">
        <v>208</v>
      </c>
      <c r="C181" s="44" t="s">
        <v>209</v>
      </c>
      <c r="E181" s="45">
        <f>9447139+2268995</f>
        <v>11716134</v>
      </c>
      <c r="F181" s="45"/>
      <c r="G181" s="45">
        <v>29604342</v>
      </c>
      <c r="H181" s="45"/>
      <c r="I181" s="45">
        <v>3235778</v>
      </c>
      <c r="J181" s="45"/>
      <c r="K181" s="45">
        <v>4497641</v>
      </c>
      <c r="L181" s="45"/>
      <c r="M181" s="45">
        <f>12523022+4230383</f>
        <v>16753405</v>
      </c>
      <c r="N181" s="45"/>
      <c r="O181" s="45">
        <v>3006615</v>
      </c>
      <c r="P181" s="45"/>
      <c r="Q181" s="45">
        <v>5346681</v>
      </c>
      <c r="R181" s="45"/>
      <c r="S181" s="45">
        <f t="shared" si="6"/>
        <v>25106701</v>
      </c>
      <c r="T181" s="45"/>
      <c r="U181" s="44">
        <f>+G181-K181-S181</f>
        <v>0</v>
      </c>
    </row>
    <row r="182" spans="1:21" s="44" customFormat="1" ht="12.75" customHeight="1">
      <c r="A182" s="44" t="s">
        <v>210</v>
      </c>
      <c r="C182" s="44" t="s">
        <v>211</v>
      </c>
      <c r="E182" s="45">
        <v>1794894</v>
      </c>
      <c r="F182" s="45"/>
      <c r="G182" s="45">
        <v>4708248</v>
      </c>
      <c r="H182" s="45"/>
      <c r="I182" s="45">
        <v>1878742</v>
      </c>
      <c r="J182" s="45"/>
      <c r="K182" s="45">
        <v>2157076</v>
      </c>
      <c r="L182" s="45"/>
      <c r="M182" s="45">
        <f>33972+1631416</f>
        <v>1665388</v>
      </c>
      <c r="N182" s="45"/>
      <c r="O182" s="45">
        <v>68032</v>
      </c>
      <c r="P182" s="45"/>
      <c r="Q182" s="45">
        <v>817752</v>
      </c>
      <c r="R182" s="45"/>
      <c r="S182" s="45">
        <f t="shared" si="6"/>
        <v>2551172</v>
      </c>
      <c r="T182" s="45"/>
      <c r="U182" s="44">
        <f>+G182-K182-S182</f>
        <v>0</v>
      </c>
    </row>
    <row r="183" spans="1:21" s="44" customFormat="1" ht="12.75" customHeight="1">
      <c r="A183" s="44" t="s">
        <v>212</v>
      </c>
      <c r="C183" s="44" t="s">
        <v>213</v>
      </c>
      <c r="E183" s="45">
        <v>2377053</v>
      </c>
      <c r="F183" s="45"/>
      <c r="G183" s="45">
        <v>11135481</v>
      </c>
      <c r="H183" s="45"/>
      <c r="I183" s="45">
        <v>5945835</v>
      </c>
      <c r="J183" s="45"/>
      <c r="K183" s="45">
        <v>7444209</v>
      </c>
      <c r="L183" s="45"/>
      <c r="M183" s="45">
        <f>402928+13632+21518+40553+26843</f>
        <v>505474</v>
      </c>
      <c r="N183" s="45"/>
      <c r="O183" s="45">
        <v>0</v>
      </c>
      <c r="P183" s="45"/>
      <c r="Q183" s="45">
        <f>-498608+1099276+2427599+157531</f>
        <v>3185798</v>
      </c>
      <c r="R183" s="45"/>
      <c r="S183" s="45">
        <f t="shared" si="6"/>
        <v>3691272</v>
      </c>
      <c r="T183" s="45"/>
      <c r="U183" s="44">
        <f t="shared" si="7"/>
        <v>0</v>
      </c>
    </row>
    <row r="184" spans="1:21" s="44" customFormat="1" ht="12.75" customHeight="1">
      <c r="A184" s="44" t="s">
        <v>214</v>
      </c>
      <c r="C184" s="44" t="s">
        <v>86</v>
      </c>
      <c r="E184" s="45">
        <v>8131892</v>
      </c>
      <c r="F184" s="45"/>
      <c r="G184" s="45">
        <v>11963306</v>
      </c>
      <c r="H184" s="45"/>
      <c r="I184" s="45">
        <v>3301438</v>
      </c>
      <c r="J184" s="45"/>
      <c r="K184" s="45">
        <v>3693920</v>
      </c>
      <c r="L184" s="45"/>
      <c r="M184" s="45">
        <f>332130+23829+31279</f>
        <v>387238</v>
      </c>
      <c r="N184" s="45"/>
      <c r="O184" s="45">
        <v>0</v>
      </c>
      <c r="P184" s="45"/>
      <c r="Q184" s="45">
        <f>6036963+1044225+714895+86065</f>
        <v>7882148</v>
      </c>
      <c r="R184" s="45"/>
      <c r="S184" s="45">
        <f t="shared" si="6"/>
        <v>8269386</v>
      </c>
      <c r="T184" s="45"/>
      <c r="U184" s="44">
        <f t="shared" si="7"/>
        <v>0</v>
      </c>
    </row>
    <row r="185" spans="1:21" s="44" customFormat="1" ht="12.75" customHeight="1">
      <c r="A185" s="44" t="s">
        <v>215</v>
      </c>
      <c r="C185" s="44" t="s">
        <v>22</v>
      </c>
      <c r="E185" s="45">
        <f>5789343+469+4212</f>
        <v>5794024</v>
      </c>
      <c r="F185" s="45"/>
      <c r="G185" s="45">
        <v>15925866</v>
      </c>
      <c r="H185" s="45"/>
      <c r="I185" s="45">
        <v>2364838</v>
      </c>
      <c r="J185" s="45"/>
      <c r="K185" s="45">
        <v>3103654</v>
      </c>
      <c r="L185" s="45"/>
      <c r="M185" s="45">
        <f>208531+5688575+4212</f>
        <v>5901318</v>
      </c>
      <c r="N185" s="45"/>
      <c r="O185" s="45">
        <v>0</v>
      </c>
      <c r="P185" s="45"/>
      <c r="Q185" s="45">
        <f>2657431+3299924+963539</f>
        <v>6920894</v>
      </c>
      <c r="R185" s="45"/>
      <c r="S185" s="45">
        <f t="shared" si="6"/>
        <v>12822212</v>
      </c>
      <c r="T185" s="45"/>
      <c r="U185" s="44">
        <f t="shared" si="7"/>
        <v>0</v>
      </c>
    </row>
    <row r="186" spans="1:21" s="44" customFormat="1" ht="12.75" customHeight="1">
      <c r="A186" s="44" t="s">
        <v>216</v>
      </c>
      <c r="C186" s="44" t="s">
        <v>45</v>
      </c>
      <c r="E186" s="45">
        <v>1891820</v>
      </c>
      <c r="F186" s="45"/>
      <c r="G186" s="45">
        <v>6197493</v>
      </c>
      <c r="H186" s="45"/>
      <c r="I186" s="45">
        <v>1889368</v>
      </c>
      <c r="J186" s="45"/>
      <c r="K186" s="45">
        <v>3575786</v>
      </c>
      <c r="L186" s="45"/>
      <c r="M186" s="45">
        <f>1696+900545+493750</f>
        <v>1395991</v>
      </c>
      <c r="N186" s="45"/>
      <c r="O186" s="45">
        <v>0</v>
      </c>
      <c r="P186" s="45"/>
      <c r="Q186" s="45">
        <f>337533+75026-49727+862884</f>
        <v>1225716</v>
      </c>
      <c r="R186" s="45"/>
      <c r="S186" s="45">
        <f t="shared" si="6"/>
        <v>2621707</v>
      </c>
      <c r="T186" s="45"/>
      <c r="U186" s="44">
        <f t="shared" si="7"/>
        <v>0</v>
      </c>
    </row>
    <row r="187" spans="1:21" s="44" customFormat="1" ht="12.75" customHeight="1">
      <c r="A187" s="44" t="s">
        <v>217</v>
      </c>
      <c r="C187" s="44" t="s">
        <v>43</v>
      </c>
      <c r="E187" s="45">
        <f>4905357+8790541</f>
        <v>13695898</v>
      </c>
      <c r="F187" s="45"/>
      <c r="G187" s="45">
        <v>21139697</v>
      </c>
      <c r="H187" s="45"/>
      <c r="I187" s="45">
        <v>47960914</v>
      </c>
      <c r="J187" s="45"/>
      <c r="K187" s="45">
        <v>6887056</v>
      </c>
      <c r="L187" s="45"/>
      <c r="M187" s="45">
        <f>1033145+29206+159085+1263782</f>
        <v>2485218</v>
      </c>
      <c r="N187" s="45"/>
      <c r="O187" s="45">
        <v>2361389</v>
      </c>
      <c r="P187" s="45"/>
      <c r="Q187" s="45">
        <f>3227092+2639581+3539361</f>
        <v>9406034</v>
      </c>
      <c r="R187" s="45"/>
      <c r="S187" s="45">
        <f t="shared" si="6"/>
        <v>14252641</v>
      </c>
      <c r="T187" s="45"/>
      <c r="U187" s="44">
        <f t="shared" si="7"/>
        <v>0</v>
      </c>
    </row>
    <row r="188" spans="1:21" s="121" customFormat="1" ht="12.75" hidden="1" customHeight="1">
      <c r="A188" s="121" t="s">
        <v>218</v>
      </c>
      <c r="C188" s="121" t="s">
        <v>27</v>
      </c>
      <c r="E188" s="127">
        <v>0</v>
      </c>
      <c r="F188" s="127"/>
      <c r="G188" s="127">
        <v>0</v>
      </c>
      <c r="H188" s="127"/>
      <c r="I188" s="127">
        <v>0</v>
      </c>
      <c r="J188" s="127"/>
      <c r="K188" s="127">
        <v>0</v>
      </c>
      <c r="L188" s="127"/>
      <c r="M188" s="127">
        <v>0</v>
      </c>
      <c r="N188" s="127"/>
      <c r="O188" s="127">
        <v>0</v>
      </c>
      <c r="P188" s="127"/>
      <c r="Q188" s="127">
        <v>0</v>
      </c>
      <c r="R188" s="127"/>
      <c r="S188" s="127">
        <f t="shared" si="6"/>
        <v>0</v>
      </c>
      <c r="T188" s="127"/>
      <c r="U188" s="121">
        <f t="shared" si="7"/>
        <v>0</v>
      </c>
    </row>
    <row r="189" spans="1:21" s="44" customFormat="1" ht="12.75" customHeight="1">
      <c r="A189" s="44" t="s">
        <v>219</v>
      </c>
      <c r="C189" s="44" t="s">
        <v>199</v>
      </c>
      <c r="E189" s="45">
        <f>1706382+2841</f>
        <v>1709223</v>
      </c>
      <c r="F189" s="45"/>
      <c r="G189" s="45">
        <v>3469246</v>
      </c>
      <c r="H189" s="45"/>
      <c r="I189" s="45">
        <v>1214782</v>
      </c>
      <c r="J189" s="45"/>
      <c r="K189" s="45">
        <v>1519784</v>
      </c>
      <c r="L189" s="45"/>
      <c r="M189" s="45">
        <f>5265+6591+26258+11150+49714</f>
        <v>98978</v>
      </c>
      <c r="N189" s="45"/>
      <c r="O189" s="45">
        <f>83036+26729</f>
        <v>109765</v>
      </c>
      <c r="P189" s="45"/>
      <c r="Q189" s="45">
        <f>774983+721956+22775+221005</f>
        <v>1740719</v>
      </c>
      <c r="R189" s="45"/>
      <c r="S189" s="45">
        <f t="shared" si="6"/>
        <v>1949462</v>
      </c>
      <c r="T189" s="45"/>
      <c r="U189" s="44">
        <f t="shared" si="7"/>
        <v>0</v>
      </c>
    </row>
    <row r="190" spans="1:21" s="44" customFormat="1" ht="12.75" customHeight="1">
      <c r="A190" s="44" t="s">
        <v>220</v>
      </c>
      <c r="C190" s="44" t="s">
        <v>66</v>
      </c>
      <c r="E190" s="45">
        <v>10016011</v>
      </c>
      <c r="F190" s="45"/>
      <c r="G190" s="45">
        <v>16010616</v>
      </c>
      <c r="H190" s="45"/>
      <c r="I190" s="45">
        <v>5192186</v>
      </c>
      <c r="J190" s="45"/>
      <c r="K190" s="45">
        <v>6212559</v>
      </c>
      <c r="L190" s="45"/>
      <c r="M190" s="45">
        <v>421632</v>
      </c>
      <c r="N190" s="45"/>
      <c r="O190" s="45">
        <v>633933</v>
      </c>
      <c r="P190" s="45"/>
      <c r="Q190" s="45">
        <f>6598324+1866293+4+277871</f>
        <v>8742492</v>
      </c>
      <c r="R190" s="45"/>
      <c r="S190" s="45">
        <f t="shared" si="6"/>
        <v>9798057</v>
      </c>
      <c r="T190" s="45"/>
      <c r="U190" s="44">
        <f t="shared" si="7"/>
        <v>0</v>
      </c>
    </row>
    <row r="191" spans="1:21" s="44" customFormat="1" ht="12.75" customHeight="1">
      <c r="A191" s="44" t="s">
        <v>221</v>
      </c>
      <c r="C191" s="44" t="s">
        <v>27</v>
      </c>
      <c r="E191" s="45">
        <v>11091425</v>
      </c>
      <c r="F191" s="45"/>
      <c r="G191" s="45">
        <v>23604537</v>
      </c>
      <c r="H191" s="45"/>
      <c r="I191" s="45">
        <v>9694555</v>
      </c>
      <c r="J191" s="45"/>
      <c r="K191" s="45">
        <v>12371963</v>
      </c>
      <c r="L191" s="45"/>
      <c r="M191" s="45">
        <f>5087227+176602</f>
        <v>5263829</v>
      </c>
      <c r="N191" s="45"/>
      <c r="O191" s="45">
        <v>0</v>
      </c>
      <c r="P191" s="45"/>
      <c r="Q191" s="45">
        <f>3536166+529892+129711+1772976</f>
        <v>5968745</v>
      </c>
      <c r="R191" s="45"/>
      <c r="S191" s="45">
        <f t="shared" si="6"/>
        <v>11232574</v>
      </c>
      <c r="T191" s="45"/>
      <c r="U191" s="44">
        <f t="shared" si="7"/>
        <v>0</v>
      </c>
    </row>
    <row r="192" spans="1:21" s="44" customFormat="1" ht="12.75" customHeight="1">
      <c r="A192" s="44" t="s">
        <v>222</v>
      </c>
      <c r="C192" s="44" t="s">
        <v>47</v>
      </c>
      <c r="E192" s="45">
        <v>6597616</v>
      </c>
      <c r="F192" s="45"/>
      <c r="G192" s="45">
        <v>10684782</v>
      </c>
      <c r="H192" s="45"/>
      <c r="I192" s="45">
        <v>3019635</v>
      </c>
      <c r="J192" s="45"/>
      <c r="K192" s="45">
        <v>4454914</v>
      </c>
      <c r="L192" s="45"/>
      <c r="M192" s="45">
        <f>278399+16111+50535</f>
        <v>345045</v>
      </c>
      <c r="N192" s="45"/>
      <c r="O192" s="45">
        <v>0</v>
      </c>
      <c r="P192" s="45"/>
      <c r="Q192" s="45">
        <f>3887588+1043337-128393+1082291</f>
        <v>5884823</v>
      </c>
      <c r="R192" s="45"/>
      <c r="S192" s="45">
        <f t="shared" si="6"/>
        <v>6229868</v>
      </c>
      <c r="T192" s="45"/>
      <c r="U192" s="44">
        <f t="shared" si="7"/>
        <v>0</v>
      </c>
    </row>
    <row r="193" spans="1:22" s="44" customFormat="1" ht="12.75" customHeight="1">
      <c r="A193" s="44" t="s">
        <v>223</v>
      </c>
      <c r="C193" s="44" t="s">
        <v>94</v>
      </c>
      <c r="E193" s="45">
        <v>2171128</v>
      </c>
      <c r="F193" s="45"/>
      <c r="G193" s="45">
        <v>5474959</v>
      </c>
      <c r="H193" s="45"/>
      <c r="I193" s="45">
        <v>2323087</v>
      </c>
      <c r="J193" s="45"/>
      <c r="K193" s="45">
        <v>3463848</v>
      </c>
      <c r="L193" s="45"/>
      <c r="M193" s="45">
        <f>948138+16617+181678+4914</f>
        <v>1151347</v>
      </c>
      <c r="N193" s="45"/>
      <c r="O193" s="45">
        <v>0</v>
      </c>
      <c r="P193" s="45"/>
      <c r="Q193" s="45">
        <f>279694+1199034-618964</f>
        <v>859764</v>
      </c>
      <c r="R193" s="45"/>
      <c r="S193" s="45">
        <f t="shared" si="6"/>
        <v>2011111</v>
      </c>
      <c r="T193" s="45"/>
      <c r="U193" s="44">
        <f t="shared" si="7"/>
        <v>0</v>
      </c>
    </row>
    <row r="194" spans="1:22" s="44" customFormat="1" ht="12.75" customHeight="1">
      <c r="A194" s="44" t="s">
        <v>76</v>
      </c>
      <c r="C194" s="44" t="s">
        <v>132</v>
      </c>
      <c r="E194" s="45">
        <v>9083564</v>
      </c>
      <c r="F194" s="45"/>
      <c r="G194" s="45">
        <v>24987766</v>
      </c>
      <c r="H194" s="45"/>
      <c r="I194" s="45">
        <v>12225464</v>
      </c>
      <c r="J194" s="45"/>
      <c r="K194" s="45">
        <v>19919315</v>
      </c>
      <c r="L194" s="45"/>
      <c r="M194" s="45">
        <f>2352260+3612877+43585</f>
        <v>6008722</v>
      </c>
      <c r="N194" s="45"/>
      <c r="O194" s="45">
        <v>133224</v>
      </c>
      <c r="P194" s="45"/>
      <c r="Q194" s="45">
        <v>-1073495</v>
      </c>
      <c r="R194" s="45"/>
      <c r="S194" s="45">
        <f t="shared" si="6"/>
        <v>5068451</v>
      </c>
      <c r="T194" s="45"/>
      <c r="U194" s="44">
        <f t="shared" si="7"/>
        <v>0</v>
      </c>
    </row>
    <row r="195" spans="1:22" s="44" customFormat="1" ht="12.75" customHeight="1">
      <c r="A195" s="44" t="s">
        <v>224</v>
      </c>
      <c r="C195" s="44" t="s">
        <v>27</v>
      </c>
      <c r="E195" s="45">
        <v>4451158</v>
      </c>
      <c r="F195" s="45"/>
      <c r="G195" s="45">
        <v>12415617</v>
      </c>
      <c r="H195" s="45"/>
      <c r="I195" s="45">
        <v>6658660</v>
      </c>
      <c r="J195" s="45"/>
      <c r="K195" s="45">
        <v>7460763</v>
      </c>
      <c r="L195" s="45"/>
      <c r="M195" s="45">
        <f>28375+17836+526591</f>
        <v>572802</v>
      </c>
      <c r="N195" s="45"/>
      <c r="O195" s="45">
        <v>0</v>
      </c>
      <c r="P195" s="45"/>
      <c r="Q195" s="45">
        <f>3230068+929972+95212+126800</f>
        <v>4382052</v>
      </c>
      <c r="R195" s="45"/>
      <c r="S195" s="45">
        <f t="shared" ref="S195:S255" si="8">+Q195+O195+M195</f>
        <v>4954854</v>
      </c>
      <c r="T195" s="45"/>
      <c r="U195" s="44">
        <f t="shared" si="7"/>
        <v>0</v>
      </c>
    </row>
    <row r="196" spans="1:22" s="44" customFormat="1" ht="12.75" customHeight="1">
      <c r="A196" s="44" t="s">
        <v>225</v>
      </c>
      <c r="C196" s="44" t="s">
        <v>27</v>
      </c>
      <c r="E196" s="45">
        <v>35921763</v>
      </c>
      <c r="F196" s="45"/>
      <c r="G196" s="45">
        <v>60593430</v>
      </c>
      <c r="H196" s="45"/>
      <c r="I196" s="45">
        <v>18969419</v>
      </c>
      <c r="J196" s="45"/>
      <c r="K196" s="45">
        <v>22292671</v>
      </c>
      <c r="L196" s="45"/>
      <c r="M196" s="45">
        <f>2901948+3119268</f>
        <v>6021216</v>
      </c>
      <c r="N196" s="45"/>
      <c r="O196" s="45">
        <v>0</v>
      </c>
      <c r="P196" s="45"/>
      <c r="Q196" s="45">
        <f>11325272+7617822+1657429+11679020</f>
        <v>32279543</v>
      </c>
      <c r="R196" s="45"/>
      <c r="S196" s="45">
        <f t="shared" si="8"/>
        <v>38300759</v>
      </c>
      <c r="T196" s="94"/>
      <c r="U196" s="46">
        <f t="shared" si="7"/>
        <v>0</v>
      </c>
    </row>
    <row r="197" spans="1:22" s="44" customFormat="1" ht="12.75" customHeight="1">
      <c r="A197" s="44" t="s">
        <v>226</v>
      </c>
      <c r="C197" s="44" t="s">
        <v>45</v>
      </c>
      <c r="E197" s="45">
        <v>11835536</v>
      </c>
      <c r="F197" s="45"/>
      <c r="G197" s="45">
        <v>19370527</v>
      </c>
      <c r="H197" s="45"/>
      <c r="I197" s="45">
        <v>4204295</v>
      </c>
      <c r="J197" s="45"/>
      <c r="K197" s="45">
        <v>10384032</v>
      </c>
      <c r="L197" s="45"/>
      <c r="M197" s="45">
        <f>1360555+86180+24133+576589</f>
        <v>2047457</v>
      </c>
      <c r="N197" s="45"/>
      <c r="O197" s="45">
        <v>0</v>
      </c>
      <c r="P197" s="45"/>
      <c r="Q197" s="45">
        <f>5197710+3368477-1627149</f>
        <v>6939038</v>
      </c>
      <c r="R197" s="45"/>
      <c r="S197" s="45">
        <f t="shared" si="8"/>
        <v>8986495</v>
      </c>
      <c r="T197" s="45"/>
      <c r="U197" s="44">
        <f t="shared" si="7"/>
        <v>0</v>
      </c>
    </row>
    <row r="198" spans="1:22" s="46" customFormat="1" ht="12.75" customHeight="1">
      <c r="A198" s="46" t="s">
        <v>227</v>
      </c>
      <c r="C198" s="46" t="s">
        <v>17</v>
      </c>
      <c r="E198" s="45">
        <f>1540286+749</f>
        <v>1541035</v>
      </c>
      <c r="F198" s="45"/>
      <c r="G198" s="45">
        <v>8832822</v>
      </c>
      <c r="H198" s="45"/>
      <c r="I198" s="45">
        <v>3054914</v>
      </c>
      <c r="J198" s="45"/>
      <c r="K198" s="45">
        <v>6670509</v>
      </c>
      <c r="L198" s="45"/>
      <c r="M198" s="45">
        <f>14388+22000+121390</f>
        <v>157778</v>
      </c>
      <c r="N198" s="45"/>
      <c r="O198" s="45">
        <v>0</v>
      </c>
      <c r="P198" s="45"/>
      <c r="Q198" s="45">
        <f>596288+567811+146019+694417</f>
        <v>2004535</v>
      </c>
      <c r="R198" s="45"/>
      <c r="S198" s="45">
        <f t="shared" si="8"/>
        <v>2162313</v>
      </c>
      <c r="T198" s="45"/>
      <c r="U198" s="44">
        <f t="shared" si="7"/>
        <v>0</v>
      </c>
    </row>
    <row r="199" spans="1:22" s="44" customFormat="1" ht="12.75" customHeight="1">
      <c r="A199" s="44" t="s">
        <v>228</v>
      </c>
      <c r="C199" s="44" t="s">
        <v>153</v>
      </c>
      <c r="E199" s="45">
        <f>4858194+2002</f>
        <v>4860196</v>
      </c>
      <c r="F199" s="45"/>
      <c r="G199" s="45">
        <v>7017002</v>
      </c>
      <c r="H199" s="45"/>
      <c r="I199" s="45">
        <v>1323589</v>
      </c>
      <c r="J199" s="45"/>
      <c r="K199" s="45">
        <v>2577804</v>
      </c>
      <c r="L199" s="45"/>
      <c r="M199" s="45">
        <f>295892+137937+30730+10839</f>
        <v>475398</v>
      </c>
      <c r="N199" s="45"/>
      <c r="O199" s="45">
        <v>0</v>
      </c>
      <c r="P199" s="45"/>
      <c r="Q199" s="45">
        <f>522765+1270647+847139+1297784+25465</f>
        <v>3963800</v>
      </c>
      <c r="R199" s="45"/>
      <c r="S199" s="45">
        <f t="shared" si="8"/>
        <v>4439198</v>
      </c>
      <c r="T199" s="45"/>
      <c r="U199" s="44">
        <f t="shared" si="7"/>
        <v>0</v>
      </c>
    </row>
    <row r="200" spans="1:22" s="44" customFormat="1" ht="12.75" customHeight="1">
      <c r="A200" s="44" t="s">
        <v>229</v>
      </c>
      <c r="C200" s="44" t="s">
        <v>228</v>
      </c>
      <c r="E200" s="45">
        <f>877593+211+16366</f>
        <v>894170</v>
      </c>
      <c r="F200" s="45"/>
      <c r="G200" s="45">
        <v>15766755</v>
      </c>
      <c r="H200" s="45"/>
      <c r="I200" s="45">
        <v>4904342</v>
      </c>
      <c r="J200" s="45"/>
      <c r="K200" s="45">
        <v>6786154</v>
      </c>
      <c r="L200" s="45"/>
      <c r="M200" s="45">
        <f>137750+41880+1096909</f>
        <v>1276539</v>
      </c>
      <c r="N200" s="45"/>
      <c r="O200" s="45">
        <v>0</v>
      </c>
      <c r="P200" s="45"/>
      <c r="Q200" s="45">
        <f>4374198+2464455+865409</f>
        <v>7704062</v>
      </c>
      <c r="R200" s="45"/>
      <c r="S200" s="45">
        <f t="shared" si="8"/>
        <v>8980601</v>
      </c>
      <c r="T200" s="45"/>
      <c r="U200" s="44">
        <f t="shared" si="7"/>
        <v>0</v>
      </c>
    </row>
    <row r="201" spans="1:22" s="44" customFormat="1" ht="12.75" customHeight="1">
      <c r="A201" s="44" t="s">
        <v>230</v>
      </c>
      <c r="C201" s="44" t="s">
        <v>45</v>
      </c>
      <c r="E201" s="45">
        <v>2819281</v>
      </c>
      <c r="F201" s="45"/>
      <c r="G201" s="45">
        <v>4996340</v>
      </c>
      <c r="H201" s="45"/>
      <c r="I201" s="45">
        <v>1762402</v>
      </c>
      <c r="J201" s="45"/>
      <c r="K201" s="45">
        <v>2089333</v>
      </c>
      <c r="L201" s="45"/>
      <c r="M201" s="45">
        <f>61254+4083+25148</f>
        <v>90485</v>
      </c>
      <c r="N201" s="45"/>
      <c r="O201" s="45">
        <v>0</v>
      </c>
      <c r="P201" s="45"/>
      <c r="Q201" s="45">
        <f>1432495+249075+2548+1132404</f>
        <v>2816522</v>
      </c>
      <c r="R201" s="45"/>
      <c r="S201" s="45">
        <f t="shared" si="8"/>
        <v>2907007</v>
      </c>
      <c r="T201" s="45"/>
      <c r="U201" s="44">
        <f t="shared" si="7"/>
        <v>0</v>
      </c>
    </row>
    <row r="202" spans="1:22" s="44" customFormat="1" ht="12.75" customHeight="1">
      <c r="A202" s="44" t="s">
        <v>231</v>
      </c>
      <c r="C202" s="44" t="s">
        <v>27</v>
      </c>
      <c r="E202" s="45">
        <f>27973879+96595</f>
        <v>28070474</v>
      </c>
      <c r="F202" s="45"/>
      <c r="G202" s="45">
        <v>46910648</v>
      </c>
      <c r="H202" s="45"/>
      <c r="I202" s="45">
        <v>13712160</v>
      </c>
      <c r="J202" s="45"/>
      <c r="K202" s="45">
        <v>15642932</v>
      </c>
      <c r="L202" s="45"/>
      <c r="M202" s="45">
        <f>555472+8505635+2370371</f>
        <v>11431478</v>
      </c>
      <c r="N202" s="45"/>
      <c r="O202" s="45">
        <v>359302</v>
      </c>
      <c r="P202" s="45"/>
      <c r="Q202" s="45">
        <v>19476936</v>
      </c>
      <c r="R202" s="45"/>
      <c r="S202" s="45">
        <f t="shared" si="8"/>
        <v>31267716</v>
      </c>
      <c r="T202" s="45"/>
      <c r="U202" s="44">
        <f t="shared" si="7"/>
        <v>0</v>
      </c>
    </row>
    <row r="203" spans="1:22" s="44" customFormat="1" ht="12.75" customHeight="1">
      <c r="A203" s="44" t="s">
        <v>232</v>
      </c>
      <c r="C203" s="44" t="s">
        <v>27</v>
      </c>
      <c r="E203" s="45">
        <v>10919362</v>
      </c>
      <c r="F203" s="45"/>
      <c r="G203" s="45">
        <v>44677395</v>
      </c>
      <c r="H203" s="45"/>
      <c r="I203" s="45">
        <v>13019404</v>
      </c>
      <c r="J203" s="45"/>
      <c r="K203" s="45">
        <v>34383231</v>
      </c>
      <c r="L203" s="45"/>
      <c r="M203" s="45">
        <f>232125+7316884+3095</f>
        <v>7552104</v>
      </c>
      <c r="N203" s="45"/>
      <c r="O203" s="45">
        <v>165513</v>
      </c>
      <c r="P203" s="45"/>
      <c r="Q203" s="45">
        <v>2576547</v>
      </c>
      <c r="R203" s="45"/>
      <c r="S203" s="45">
        <f t="shared" si="8"/>
        <v>10294164</v>
      </c>
      <c r="T203" s="45"/>
      <c r="U203" s="44">
        <f t="shared" si="7"/>
        <v>0</v>
      </c>
    </row>
    <row r="204" spans="1:22" s="44" customFormat="1" ht="12.75" customHeight="1">
      <c r="A204" s="44" t="s">
        <v>233</v>
      </c>
      <c r="C204" s="44" t="s">
        <v>111</v>
      </c>
      <c r="E204" s="45">
        <f>2260273+10516582</f>
        <v>12776855</v>
      </c>
      <c r="F204" s="45"/>
      <c r="G204" s="45">
        <v>24320618</v>
      </c>
      <c r="H204" s="45"/>
      <c r="I204" s="45">
        <v>6275689</v>
      </c>
      <c r="J204" s="45"/>
      <c r="K204" s="45">
        <v>9419800</v>
      </c>
      <c r="L204" s="45"/>
      <c r="M204" s="45">
        <f>1343585+125365+114104+1084280+3495185</f>
        <v>6162519</v>
      </c>
      <c r="N204" s="45"/>
      <c r="O204" s="45">
        <v>0</v>
      </c>
      <c r="P204" s="45"/>
      <c r="Q204" s="45">
        <f>7488980+1259760-10441</f>
        <v>8738299</v>
      </c>
      <c r="R204" s="45"/>
      <c r="S204" s="45">
        <f t="shared" si="8"/>
        <v>14900818</v>
      </c>
      <c r="T204" s="45"/>
      <c r="U204" s="44">
        <f>+G204-K204-S204</f>
        <v>0</v>
      </c>
    </row>
    <row r="205" spans="1:22" s="44" customFormat="1" ht="12.75" customHeight="1">
      <c r="A205" s="44" t="s">
        <v>234</v>
      </c>
      <c r="C205" s="44" t="s">
        <v>45</v>
      </c>
      <c r="E205" s="45">
        <f>5569354+31842</f>
        <v>5601196</v>
      </c>
      <c r="F205" s="45"/>
      <c r="G205" s="45">
        <v>12617010</v>
      </c>
      <c r="H205" s="45"/>
      <c r="I205" s="45">
        <v>3357448</v>
      </c>
      <c r="J205" s="45"/>
      <c r="K205" s="45">
        <v>5983992</v>
      </c>
      <c r="L205" s="45"/>
      <c r="M205" s="45">
        <f>525189+252456+19539</f>
        <v>797184</v>
      </c>
      <c r="N205" s="45"/>
      <c r="O205" s="45">
        <f>41641+657462</f>
        <v>699103</v>
      </c>
      <c r="P205" s="45"/>
      <c r="Q205" s="45">
        <f>5017460+339125-219854</f>
        <v>5136731</v>
      </c>
      <c r="R205" s="45"/>
      <c r="S205" s="45">
        <f t="shared" si="8"/>
        <v>6633018</v>
      </c>
      <c r="T205" s="45"/>
      <c r="U205" s="44">
        <f>+G205-K205-S205</f>
        <v>0</v>
      </c>
      <c r="V205" s="44">
        <v>10454426</v>
      </c>
    </row>
    <row r="206" spans="1:22" s="44" customFormat="1" ht="12.75" customHeight="1">
      <c r="A206" s="44" t="s">
        <v>235</v>
      </c>
      <c r="C206" s="44" t="s">
        <v>183</v>
      </c>
      <c r="E206" s="45">
        <f>14530776+1668781</f>
        <v>16199557</v>
      </c>
      <c r="F206" s="45"/>
      <c r="G206" s="45">
        <v>60960776</v>
      </c>
      <c r="H206" s="45"/>
      <c r="I206" s="45">
        <v>16110408</v>
      </c>
      <c r="J206" s="45"/>
      <c r="K206" s="45">
        <v>25540732</v>
      </c>
      <c r="L206" s="45"/>
      <c r="M206" s="45">
        <f>362104+12399531+11750329+386953+7425580</f>
        <v>32324497</v>
      </c>
      <c r="N206" s="45"/>
      <c r="O206" s="45">
        <v>0</v>
      </c>
      <c r="P206" s="45"/>
      <c r="Q206" s="45">
        <f>4734224+1722942+1007487-4805212+436106</f>
        <v>3095547</v>
      </c>
      <c r="R206" s="45"/>
      <c r="S206" s="45">
        <f t="shared" si="8"/>
        <v>35420044</v>
      </c>
      <c r="T206" s="45"/>
      <c r="U206" s="44">
        <f t="shared" si="7"/>
        <v>0</v>
      </c>
      <c r="V206" s="44">
        <v>4403396</v>
      </c>
    </row>
    <row r="207" spans="1:22" s="44" customFormat="1" ht="12.75" customHeight="1">
      <c r="A207" s="44" t="s">
        <v>236</v>
      </c>
      <c r="C207" s="44" t="s">
        <v>45</v>
      </c>
      <c r="E207" s="45">
        <f>583904+176920</f>
        <v>760824</v>
      </c>
      <c r="F207" s="45"/>
      <c r="G207" s="45">
        <v>9066936</v>
      </c>
      <c r="H207" s="45"/>
      <c r="I207" s="45">
        <v>621256</v>
      </c>
      <c r="J207" s="45"/>
      <c r="K207" s="45">
        <v>1815617</v>
      </c>
      <c r="L207" s="45"/>
      <c r="M207" s="45">
        <f>229230+59280+77152+20446</f>
        <v>386108</v>
      </c>
      <c r="N207" s="45"/>
      <c r="O207" s="45">
        <v>0</v>
      </c>
      <c r="P207" s="45"/>
      <c r="Q207" s="45">
        <f>5446690+679667+738854</f>
        <v>6865211</v>
      </c>
      <c r="R207" s="45"/>
      <c r="S207" s="45">
        <f t="shared" si="8"/>
        <v>7251319</v>
      </c>
      <c r="T207" s="45"/>
      <c r="U207" s="44">
        <f t="shared" si="7"/>
        <v>0</v>
      </c>
      <c r="V207" s="44">
        <v>6051030</v>
      </c>
    </row>
    <row r="208" spans="1:22" s="44" customFormat="1" ht="12.75" customHeight="1">
      <c r="A208" s="44" t="s">
        <v>237</v>
      </c>
      <c r="C208" s="44" t="s">
        <v>33</v>
      </c>
      <c r="E208" s="45">
        <f>295587+725</f>
        <v>296312</v>
      </c>
      <c r="F208" s="45"/>
      <c r="G208" s="45">
        <v>2857777</v>
      </c>
      <c r="H208" s="45"/>
      <c r="I208" s="45">
        <v>1532092</v>
      </c>
      <c r="J208" s="45"/>
      <c r="K208" s="45">
        <v>2024309</v>
      </c>
      <c r="L208" s="45"/>
      <c r="M208" s="45">
        <f>2532+860+671306+3110</f>
        <v>677808</v>
      </c>
      <c r="N208" s="45"/>
      <c r="O208" s="45">
        <v>0</v>
      </c>
      <c r="P208" s="45"/>
      <c r="Q208" s="45">
        <f>-127878+145729+76774+61035</f>
        <v>155660</v>
      </c>
      <c r="R208" s="45"/>
      <c r="S208" s="45">
        <f t="shared" si="8"/>
        <v>833468</v>
      </c>
      <c r="T208" s="45"/>
      <c r="U208" s="44">
        <f t="shared" si="7"/>
        <v>0</v>
      </c>
      <c r="V208" s="44">
        <f>+V205-V206-V207</f>
        <v>0</v>
      </c>
    </row>
    <row r="209" spans="1:21" s="44" customFormat="1" ht="12.75" customHeight="1">
      <c r="A209" s="44" t="s">
        <v>238</v>
      </c>
      <c r="C209" s="44" t="s">
        <v>239</v>
      </c>
      <c r="E209" s="45">
        <v>11870385</v>
      </c>
      <c r="F209" s="45"/>
      <c r="G209" s="45">
        <v>15460510</v>
      </c>
      <c r="H209" s="45"/>
      <c r="I209" s="45">
        <v>1152231</v>
      </c>
      <c r="J209" s="45"/>
      <c r="K209" s="45">
        <v>2142799</v>
      </c>
      <c r="L209" s="45"/>
      <c r="M209" s="45">
        <f>528500+55637+53421+1099198+150000+32920</f>
        <v>1919676</v>
      </c>
      <c r="N209" s="45"/>
      <c r="O209" s="45">
        <v>0</v>
      </c>
      <c r="P209" s="45"/>
      <c r="Q209" s="45">
        <f>4161639+2211508-195975+5220863</f>
        <v>11398035</v>
      </c>
      <c r="R209" s="45"/>
      <c r="S209" s="45">
        <f t="shared" si="8"/>
        <v>13317711</v>
      </c>
      <c r="T209" s="45"/>
      <c r="U209" s="44">
        <f t="shared" si="7"/>
        <v>0</v>
      </c>
    </row>
    <row r="210" spans="1:21" s="44" customFormat="1" ht="12.75" customHeight="1">
      <c r="A210" s="44" t="s">
        <v>486</v>
      </c>
      <c r="C210" s="44" t="s">
        <v>249</v>
      </c>
      <c r="E210" s="45">
        <v>4789521</v>
      </c>
      <c r="F210" s="45"/>
      <c r="G210" s="45">
        <v>14644149</v>
      </c>
      <c r="H210" s="45"/>
      <c r="I210" s="45">
        <v>6517612</v>
      </c>
      <c r="J210" s="45"/>
      <c r="K210" s="45">
        <v>11309071</v>
      </c>
      <c r="L210" s="45"/>
      <c r="M210" s="45">
        <f>332415+332739+8750</f>
        <v>673904</v>
      </c>
      <c r="N210" s="45"/>
      <c r="O210" s="45">
        <v>0</v>
      </c>
      <c r="P210" s="45"/>
      <c r="Q210" s="45">
        <f>314399+1994119+64342+288314</f>
        <v>2661174</v>
      </c>
      <c r="R210" s="45"/>
      <c r="S210" s="45">
        <f t="shared" si="8"/>
        <v>3335078</v>
      </c>
      <c r="T210" s="45"/>
      <c r="U210" s="44">
        <f>+G210-K210-S210</f>
        <v>0</v>
      </c>
    </row>
    <row r="211" spans="1:21" s="44" customFormat="1" ht="12.75" customHeight="1">
      <c r="A211" s="44" t="s">
        <v>240</v>
      </c>
      <c r="C211" s="44" t="s">
        <v>13</v>
      </c>
      <c r="E211" s="45">
        <f>10592761+90484</f>
        <v>10683245</v>
      </c>
      <c r="F211" s="45"/>
      <c r="G211" s="45">
        <v>23992738</v>
      </c>
      <c r="H211" s="45"/>
      <c r="I211" s="45">
        <v>2674179</v>
      </c>
      <c r="J211" s="45"/>
      <c r="K211" s="45">
        <v>12866309</v>
      </c>
      <c r="L211" s="45"/>
      <c r="M211" s="45">
        <f>1222565+725469+150000</f>
        <v>2098034</v>
      </c>
      <c r="N211" s="45"/>
      <c r="O211" s="45">
        <v>1000000</v>
      </c>
      <c r="P211" s="45"/>
      <c r="Q211" s="45">
        <f>2967433+2977700+2083262</f>
        <v>8028395</v>
      </c>
      <c r="R211" s="45"/>
      <c r="S211" s="45">
        <f t="shared" si="8"/>
        <v>11126429</v>
      </c>
      <c r="T211" s="45"/>
      <c r="U211" s="44">
        <f t="shared" si="7"/>
        <v>0</v>
      </c>
    </row>
    <row r="212" spans="1:21" s="44" customFormat="1" ht="12.75" customHeight="1">
      <c r="A212" s="44" t="s">
        <v>241</v>
      </c>
      <c r="C212" s="44" t="s">
        <v>22</v>
      </c>
      <c r="E212" s="45">
        <v>4384991</v>
      </c>
      <c r="F212" s="45"/>
      <c r="G212" s="45">
        <v>10716778</v>
      </c>
      <c r="H212" s="45"/>
      <c r="I212" s="45">
        <v>3007013</v>
      </c>
      <c r="J212" s="45"/>
      <c r="K212" s="45">
        <v>4754053</v>
      </c>
      <c r="L212" s="45"/>
      <c r="M212" s="45">
        <f>369108+42247+35767+218380+310020</f>
        <v>975522</v>
      </c>
      <c r="N212" s="45"/>
      <c r="O212" s="45">
        <v>0</v>
      </c>
      <c r="P212" s="45"/>
      <c r="Q212" s="45">
        <f>2880000+1001860+1105343</f>
        <v>4987203</v>
      </c>
      <c r="R212" s="45"/>
      <c r="S212" s="45">
        <f t="shared" si="8"/>
        <v>5962725</v>
      </c>
      <c r="T212" s="45"/>
      <c r="U212" s="44">
        <f t="shared" si="7"/>
        <v>0</v>
      </c>
    </row>
    <row r="213" spans="1:21" s="44" customFormat="1" ht="12.75" customHeight="1">
      <c r="A213" s="44" t="s">
        <v>242</v>
      </c>
      <c r="C213" s="44" t="s">
        <v>27</v>
      </c>
      <c r="E213" s="45">
        <v>27877605</v>
      </c>
      <c r="F213" s="45"/>
      <c r="G213" s="45">
        <v>51069721</v>
      </c>
      <c r="H213" s="45"/>
      <c r="I213" s="45">
        <v>15692475</v>
      </c>
      <c r="J213" s="45"/>
      <c r="K213" s="45">
        <v>24786393</v>
      </c>
      <c r="L213" s="45"/>
      <c r="M213" s="45">
        <f>612411+295778+2736816</f>
        <v>3645005</v>
      </c>
      <c r="N213" s="45"/>
      <c r="O213" s="45">
        <v>0</v>
      </c>
      <c r="P213" s="45"/>
      <c r="Q213" s="45">
        <v>22638323</v>
      </c>
      <c r="R213" s="45"/>
      <c r="S213" s="45">
        <f t="shared" si="8"/>
        <v>26283328</v>
      </c>
      <c r="T213" s="45"/>
      <c r="U213" s="44">
        <f t="shared" si="7"/>
        <v>0</v>
      </c>
    </row>
    <row r="214" spans="1:21" s="44" customFormat="1" ht="12.75" customHeight="1">
      <c r="A214" s="44" t="s">
        <v>243</v>
      </c>
      <c r="C214" s="44" t="s">
        <v>163</v>
      </c>
      <c r="E214" s="45">
        <f>3620237+16794823</f>
        <v>20415060</v>
      </c>
      <c r="F214" s="45"/>
      <c r="G214" s="45">
        <v>26037388</v>
      </c>
      <c r="H214" s="45"/>
      <c r="I214" s="45">
        <v>3240399</v>
      </c>
      <c r="J214" s="45"/>
      <c r="K214" s="45">
        <v>4456681</v>
      </c>
      <c r="L214" s="45"/>
      <c r="M214" s="45">
        <f>632570+58153+530886+1063</f>
        <v>1222672</v>
      </c>
      <c r="N214" s="45"/>
      <c r="O214" s="45">
        <v>0</v>
      </c>
      <c r="P214" s="45"/>
      <c r="Q214" s="45">
        <f>3659434+2368632+159972+14169997</f>
        <v>20358035</v>
      </c>
      <c r="R214" s="45"/>
      <c r="S214" s="45">
        <f t="shared" si="8"/>
        <v>21580707</v>
      </c>
      <c r="T214" s="45"/>
      <c r="U214" s="44">
        <f t="shared" ref="U214:U256" si="9">+G214-K214-S214</f>
        <v>0</v>
      </c>
    </row>
    <row r="215" spans="1:21" s="44" customFormat="1" ht="12.75" customHeight="1"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8" t="s">
        <v>484</v>
      </c>
      <c r="T215" s="45"/>
    </row>
    <row r="216" spans="1:21" s="44" customFormat="1" ht="12.75" customHeight="1">
      <c r="A216" s="44" t="s">
        <v>244</v>
      </c>
      <c r="C216" s="44" t="s">
        <v>13</v>
      </c>
      <c r="E216" s="94">
        <v>5090664</v>
      </c>
      <c r="F216" s="94"/>
      <c r="G216" s="94">
        <v>11556083</v>
      </c>
      <c r="H216" s="94"/>
      <c r="I216" s="94">
        <v>1988339</v>
      </c>
      <c r="J216" s="94"/>
      <c r="K216" s="94">
        <v>5530278</v>
      </c>
      <c r="L216" s="94"/>
      <c r="M216" s="94">
        <f>471032+139989</f>
        <v>611021</v>
      </c>
      <c r="N216" s="94"/>
      <c r="O216" s="94">
        <v>0</v>
      </c>
      <c r="P216" s="94"/>
      <c r="Q216" s="94">
        <f>4629330+910367+50880-175793</f>
        <v>5414784</v>
      </c>
      <c r="R216" s="94"/>
      <c r="S216" s="94">
        <f t="shared" si="8"/>
        <v>6025805</v>
      </c>
      <c r="T216" s="45"/>
      <c r="U216" s="44">
        <f t="shared" si="9"/>
        <v>0</v>
      </c>
    </row>
    <row r="217" spans="1:21" s="44" customFormat="1" ht="12.75" customHeight="1">
      <c r="A217" s="44" t="s">
        <v>245</v>
      </c>
      <c r="C217" s="44" t="s">
        <v>110</v>
      </c>
      <c r="E217" s="45">
        <v>3050572</v>
      </c>
      <c r="F217" s="45"/>
      <c r="G217" s="45">
        <v>9145143</v>
      </c>
      <c r="H217" s="45"/>
      <c r="I217" s="45">
        <v>2711079</v>
      </c>
      <c r="J217" s="45"/>
      <c r="K217" s="45">
        <v>5366598</v>
      </c>
      <c r="L217" s="45"/>
      <c r="M217" s="45">
        <f>674255+71295+98163+180178+84557+25000</f>
        <v>1133448</v>
      </c>
      <c r="N217" s="45"/>
      <c r="O217" s="45">
        <v>0</v>
      </c>
      <c r="P217" s="45"/>
      <c r="Q217" s="45">
        <f>921219+1342061+3082+372551+6184</f>
        <v>2645097</v>
      </c>
      <c r="R217" s="45"/>
      <c r="S217" s="45">
        <f t="shared" si="8"/>
        <v>3778545</v>
      </c>
      <c r="T217" s="45"/>
      <c r="U217" s="44">
        <f t="shared" si="9"/>
        <v>0</v>
      </c>
    </row>
    <row r="218" spans="1:21" s="44" customFormat="1" ht="12.75" customHeight="1">
      <c r="A218" s="44" t="s">
        <v>246</v>
      </c>
      <c r="C218" s="44" t="s">
        <v>209</v>
      </c>
      <c r="E218" s="45">
        <f>2289102+2528773</f>
        <v>4817875</v>
      </c>
      <c r="F218" s="45"/>
      <c r="G218" s="45">
        <v>8408945</v>
      </c>
      <c r="H218" s="45"/>
      <c r="I218" s="45">
        <v>2565084</v>
      </c>
      <c r="J218" s="45"/>
      <c r="K218" s="45">
        <v>4003221</v>
      </c>
      <c r="L218" s="45"/>
      <c r="M218" s="45">
        <f>437201+34154+140598+40964</f>
        <v>652917</v>
      </c>
      <c r="N218" s="45"/>
      <c r="O218" s="45">
        <v>0</v>
      </c>
      <c r="P218" s="45"/>
      <c r="Q218" s="45">
        <f>3830666+599921-677780</f>
        <v>3752807</v>
      </c>
      <c r="R218" s="45"/>
      <c r="S218" s="45">
        <f t="shared" si="8"/>
        <v>4405724</v>
      </c>
      <c r="T218" s="45"/>
      <c r="U218" s="44">
        <f>+G218-K218-S218</f>
        <v>0</v>
      </c>
    </row>
    <row r="219" spans="1:21" s="44" customFormat="1" ht="12.75" customHeight="1">
      <c r="A219" s="44" t="s">
        <v>247</v>
      </c>
      <c r="C219" s="44" t="s">
        <v>163</v>
      </c>
      <c r="E219" s="45">
        <f>7512000+475000+11000</f>
        <v>7998000</v>
      </c>
      <c r="F219" s="45"/>
      <c r="G219" s="45">
        <v>213071000</v>
      </c>
      <c r="H219" s="45"/>
      <c r="I219" s="45">
        <v>94731000</v>
      </c>
      <c r="J219" s="45"/>
      <c r="K219" s="45">
        <v>222670000</v>
      </c>
      <c r="L219" s="45"/>
      <c r="M219" s="45">
        <f>4072000+25510000+26232000</f>
        <v>55814000</v>
      </c>
      <c r="N219" s="45"/>
      <c r="O219" s="45">
        <v>0</v>
      </c>
      <c r="P219" s="45"/>
      <c r="Q219" s="45">
        <v>-65413000</v>
      </c>
      <c r="R219" s="45"/>
      <c r="S219" s="45">
        <f t="shared" si="8"/>
        <v>-9599000</v>
      </c>
      <c r="T219" s="45"/>
      <c r="U219" s="44">
        <f t="shared" si="9"/>
        <v>0</v>
      </c>
    </row>
    <row r="220" spans="1:21" s="44" customFormat="1" ht="12.75" customHeight="1">
      <c r="A220" s="44" t="s">
        <v>248</v>
      </c>
      <c r="C220" s="44" t="s">
        <v>249</v>
      </c>
      <c r="E220" s="45">
        <v>1022011</v>
      </c>
      <c r="F220" s="45"/>
      <c r="G220" s="45">
        <v>2735677</v>
      </c>
      <c r="H220" s="45"/>
      <c r="I220" s="45">
        <v>1347720</v>
      </c>
      <c r="J220" s="45"/>
      <c r="K220" s="45">
        <v>1469283</v>
      </c>
      <c r="L220" s="45"/>
      <c r="M220" s="45">
        <v>0</v>
      </c>
      <c r="N220" s="45"/>
      <c r="O220" s="45">
        <v>0</v>
      </c>
      <c r="P220" s="45"/>
      <c r="Q220" s="45">
        <f>483514+554790+228090</f>
        <v>1266394</v>
      </c>
      <c r="R220" s="45"/>
      <c r="S220" s="45">
        <f t="shared" si="8"/>
        <v>1266394</v>
      </c>
      <c r="T220" s="45"/>
      <c r="U220" s="44">
        <f>+G220-K220-S220</f>
        <v>0</v>
      </c>
    </row>
    <row r="221" spans="1:21" s="44" customFormat="1" ht="12.75" customHeight="1">
      <c r="A221" s="44" t="s">
        <v>250</v>
      </c>
      <c r="C221" s="44" t="s">
        <v>103</v>
      </c>
      <c r="E221" s="45">
        <v>3355425</v>
      </c>
      <c r="F221" s="45"/>
      <c r="G221" s="45">
        <v>4729552</v>
      </c>
      <c r="H221" s="45"/>
      <c r="I221" s="45">
        <v>1165879</v>
      </c>
      <c r="J221" s="45"/>
      <c r="K221" s="45">
        <v>1508565</v>
      </c>
      <c r="L221" s="45"/>
      <c r="M221" s="45">
        <v>320295</v>
      </c>
      <c r="N221" s="45"/>
      <c r="O221" s="45">
        <f>1778827+655898+143358</f>
        <v>2578083</v>
      </c>
      <c r="P221" s="45"/>
      <c r="Q221" s="45">
        <v>322609</v>
      </c>
      <c r="R221" s="45"/>
      <c r="S221" s="45">
        <f t="shared" si="8"/>
        <v>3220987</v>
      </c>
      <c r="T221" s="45"/>
      <c r="U221" s="44">
        <f t="shared" si="9"/>
        <v>0</v>
      </c>
    </row>
    <row r="222" spans="1:21" s="121" customFormat="1" ht="12.75" hidden="1" customHeight="1">
      <c r="A222" s="121" t="s">
        <v>251</v>
      </c>
      <c r="C222" s="121" t="s">
        <v>66</v>
      </c>
      <c r="E222" s="127">
        <v>0</v>
      </c>
      <c r="F222" s="127"/>
      <c r="G222" s="127">
        <v>0</v>
      </c>
      <c r="H222" s="127"/>
      <c r="I222" s="127">
        <v>0</v>
      </c>
      <c r="J222" s="127"/>
      <c r="K222" s="127">
        <v>0</v>
      </c>
      <c r="L222" s="127"/>
      <c r="M222" s="127">
        <v>0</v>
      </c>
      <c r="N222" s="127"/>
      <c r="O222" s="127">
        <v>0</v>
      </c>
      <c r="P222" s="127"/>
      <c r="Q222" s="127">
        <v>0</v>
      </c>
      <c r="R222" s="127"/>
      <c r="S222" s="127">
        <f t="shared" si="8"/>
        <v>0</v>
      </c>
      <c r="T222" s="127"/>
      <c r="U222" s="121">
        <f>+G222-K222-S222</f>
        <v>0</v>
      </c>
    </row>
    <row r="223" spans="1:21" s="44" customFormat="1" ht="12.75" customHeight="1">
      <c r="A223" s="44" t="s">
        <v>252</v>
      </c>
      <c r="C223" s="44" t="s">
        <v>209</v>
      </c>
      <c r="E223" s="45">
        <f>50338362+2679</f>
        <v>50341041</v>
      </c>
      <c r="F223" s="45"/>
      <c r="G223" s="45">
        <v>58709772</v>
      </c>
      <c r="H223" s="45"/>
      <c r="I223" s="45">
        <v>3296556</v>
      </c>
      <c r="J223" s="45"/>
      <c r="K223" s="45">
        <v>4479392</v>
      </c>
      <c r="L223" s="45"/>
      <c r="M223" s="45">
        <f>1404505+99435+689+2679548</f>
        <v>4184177</v>
      </c>
      <c r="N223" s="45"/>
      <c r="O223" s="45">
        <v>0</v>
      </c>
      <c r="P223" s="45"/>
      <c r="Q223" s="45">
        <f>43868112+5341963+274612+561516</f>
        <v>50046203</v>
      </c>
      <c r="R223" s="45"/>
      <c r="S223" s="45">
        <f t="shared" si="8"/>
        <v>54230380</v>
      </c>
      <c r="T223" s="45"/>
      <c r="U223" s="44">
        <f t="shared" si="9"/>
        <v>0</v>
      </c>
    </row>
    <row r="224" spans="1:21" s="44" customFormat="1" ht="12.75" customHeight="1">
      <c r="A224" s="44" t="s">
        <v>253</v>
      </c>
      <c r="C224" s="44" t="s">
        <v>13</v>
      </c>
      <c r="E224" s="45">
        <f>20452316+20144</f>
        <v>20472460</v>
      </c>
      <c r="F224" s="45"/>
      <c r="G224" s="45">
        <v>27240486</v>
      </c>
      <c r="H224" s="45"/>
      <c r="I224" s="45">
        <v>2868826</v>
      </c>
      <c r="J224" s="45"/>
      <c r="K224" s="45">
        <v>4721062</v>
      </c>
      <c r="L224" s="45"/>
      <c r="M224" s="45">
        <f>1195172+341170+20143</f>
        <v>1556485</v>
      </c>
      <c r="N224" s="45"/>
      <c r="O224" s="45">
        <v>0</v>
      </c>
      <c r="P224" s="45"/>
      <c r="Q224" s="45">
        <f>13522084+2223030+24970+4912049+280806</f>
        <v>20962939</v>
      </c>
      <c r="R224" s="45"/>
      <c r="S224" s="45">
        <f t="shared" si="8"/>
        <v>22519424</v>
      </c>
      <c r="T224" s="45"/>
      <c r="U224" s="44">
        <f t="shared" si="9"/>
        <v>0</v>
      </c>
    </row>
    <row r="225" spans="1:21" s="44" customFormat="1" ht="12.75" customHeight="1">
      <c r="A225" s="44" t="s">
        <v>254</v>
      </c>
      <c r="C225" s="44" t="s">
        <v>89</v>
      </c>
      <c r="E225" s="45">
        <f>1317418+3580</f>
        <v>1320998</v>
      </c>
      <c r="F225" s="45"/>
      <c r="G225" s="45">
        <v>2576775</v>
      </c>
      <c r="H225" s="45"/>
      <c r="I225" s="45">
        <v>929366</v>
      </c>
      <c r="J225" s="45"/>
      <c r="K225" s="45">
        <v>1034368</v>
      </c>
      <c r="L225" s="45"/>
      <c r="M225" s="45">
        <v>0</v>
      </c>
      <c r="N225" s="45"/>
      <c r="O225" s="45">
        <v>0</v>
      </c>
      <c r="P225" s="45"/>
      <c r="Q225" s="45">
        <f>684637+212512+645258</f>
        <v>1542407</v>
      </c>
      <c r="R225" s="45"/>
      <c r="S225" s="45">
        <f t="shared" si="8"/>
        <v>1542407</v>
      </c>
      <c r="T225" s="45"/>
      <c r="U225" s="44">
        <f t="shared" si="9"/>
        <v>0</v>
      </c>
    </row>
    <row r="226" spans="1:21" s="44" customFormat="1" ht="12.75" customHeight="1">
      <c r="A226" s="44" t="s">
        <v>159</v>
      </c>
      <c r="C226" s="44" t="s">
        <v>66</v>
      </c>
      <c r="E226" s="45">
        <v>1812007</v>
      </c>
      <c r="F226" s="45"/>
      <c r="G226" s="45">
        <v>5022823</v>
      </c>
      <c r="H226" s="45"/>
      <c r="I226" s="45">
        <v>2961840</v>
      </c>
      <c r="J226" s="45"/>
      <c r="K226" s="45">
        <v>3563815</v>
      </c>
      <c r="L226" s="45"/>
      <c r="M226" s="45">
        <f>38672+11143</f>
        <v>49815</v>
      </c>
      <c r="N226" s="45"/>
      <c r="O226" s="45">
        <v>0</v>
      </c>
      <c r="P226" s="45"/>
      <c r="Q226" s="45">
        <f>495337+814950+98906</f>
        <v>1409193</v>
      </c>
      <c r="R226" s="45"/>
      <c r="S226" s="45">
        <f t="shared" si="8"/>
        <v>1459008</v>
      </c>
      <c r="T226" s="45"/>
      <c r="U226" s="44">
        <f>+G226-K226-S226</f>
        <v>0</v>
      </c>
    </row>
    <row r="227" spans="1:21" s="44" customFormat="1" ht="12.75" customHeight="1">
      <c r="A227" s="44" t="s">
        <v>255</v>
      </c>
      <c r="C227" s="44" t="s">
        <v>27</v>
      </c>
      <c r="E227" s="45">
        <v>3020279</v>
      </c>
      <c r="F227" s="45"/>
      <c r="G227" s="45">
        <v>11560587</v>
      </c>
      <c r="H227" s="45"/>
      <c r="I227" s="45">
        <v>6716029</v>
      </c>
      <c r="J227" s="45"/>
      <c r="K227" s="45">
        <v>7659238</v>
      </c>
      <c r="L227" s="45"/>
      <c r="M227" s="45">
        <f>164508+44575+44656</f>
        <v>253739</v>
      </c>
      <c r="N227" s="45"/>
      <c r="O227" s="45">
        <v>0</v>
      </c>
      <c r="P227" s="45"/>
      <c r="Q227" s="45">
        <f>1907273+259617+41572+1439148</f>
        <v>3647610</v>
      </c>
      <c r="R227" s="45"/>
      <c r="S227" s="45">
        <f t="shared" si="8"/>
        <v>3901349</v>
      </c>
      <c r="T227" s="45"/>
      <c r="U227" s="44">
        <f t="shared" si="9"/>
        <v>0</v>
      </c>
    </row>
    <row r="228" spans="1:21" s="44" customFormat="1" ht="12.75" customHeight="1">
      <c r="A228" s="44" t="s">
        <v>256</v>
      </c>
      <c r="C228" s="44" t="s">
        <v>43</v>
      </c>
      <c r="E228" s="45">
        <v>50721364</v>
      </c>
      <c r="F228" s="45"/>
      <c r="G228" s="45">
        <v>71954412</v>
      </c>
      <c r="H228" s="45"/>
      <c r="I228" s="45">
        <v>15892586</v>
      </c>
      <c r="J228" s="45"/>
      <c r="K228" s="45">
        <v>18639004</v>
      </c>
      <c r="L228" s="45"/>
      <c r="M228" s="45">
        <f>4110980+209374+677093</f>
        <v>4997447</v>
      </c>
      <c r="N228" s="45"/>
      <c r="O228" s="45">
        <f>8015260+322173</f>
        <v>8337433</v>
      </c>
      <c r="P228" s="45"/>
      <c r="Q228" s="45">
        <f>17920678+2195950+19505509+358391</f>
        <v>39980528</v>
      </c>
      <c r="R228" s="45"/>
      <c r="S228" s="45">
        <f t="shared" si="8"/>
        <v>53315408</v>
      </c>
      <c r="T228" s="45"/>
      <c r="U228" s="44">
        <f>+G228-K228-S228</f>
        <v>0</v>
      </c>
    </row>
    <row r="229" spans="1:21" s="44" customFormat="1" ht="12.75" customHeight="1">
      <c r="A229" s="44" t="s">
        <v>257</v>
      </c>
      <c r="C229" s="44" t="s">
        <v>258</v>
      </c>
      <c r="E229" s="45">
        <v>1272894</v>
      </c>
      <c r="F229" s="45"/>
      <c r="G229" s="45">
        <v>2758109</v>
      </c>
      <c r="H229" s="45"/>
      <c r="I229" s="45">
        <v>1062300</v>
      </c>
      <c r="J229" s="45"/>
      <c r="K229" s="45">
        <v>1334615</v>
      </c>
      <c r="L229" s="45"/>
      <c r="M229" s="45">
        <v>289420</v>
      </c>
      <c r="N229" s="45"/>
      <c r="O229" s="45">
        <v>0</v>
      </c>
      <c r="P229" s="45"/>
      <c r="Q229" s="45">
        <v>1134074</v>
      </c>
      <c r="R229" s="45"/>
      <c r="S229" s="45">
        <f t="shared" si="8"/>
        <v>1423494</v>
      </c>
      <c r="T229" s="45"/>
      <c r="U229" s="44">
        <f>+G229-K229-S229</f>
        <v>0</v>
      </c>
    </row>
    <row r="230" spans="1:21" s="44" customFormat="1" ht="12.75" customHeight="1">
      <c r="A230" s="44" t="s">
        <v>259</v>
      </c>
      <c r="C230" s="44" t="s">
        <v>343</v>
      </c>
      <c r="E230" s="45">
        <v>4197085</v>
      </c>
      <c r="F230" s="45"/>
      <c r="G230" s="45">
        <v>7284738</v>
      </c>
      <c r="H230" s="45"/>
      <c r="I230" s="45">
        <v>1690164</v>
      </c>
      <c r="J230" s="45"/>
      <c r="K230" s="45">
        <v>2598699</v>
      </c>
      <c r="L230" s="45"/>
      <c r="M230" s="45">
        <f>82460+39563+141460+29646+25895+88382</f>
        <v>407406</v>
      </c>
      <c r="N230" s="45"/>
      <c r="O230" s="45">
        <v>0</v>
      </c>
      <c r="P230" s="45"/>
      <c r="Q230" s="45">
        <f>607314+970992+26629+2673698</f>
        <v>4278633</v>
      </c>
      <c r="R230" s="45"/>
      <c r="S230" s="45">
        <f t="shared" si="8"/>
        <v>4686039</v>
      </c>
      <c r="T230" s="45"/>
      <c r="U230" s="44">
        <f t="shared" si="9"/>
        <v>0</v>
      </c>
    </row>
    <row r="231" spans="1:21" s="44" customFormat="1" ht="12.75" customHeight="1">
      <c r="A231" s="44" t="s">
        <v>261</v>
      </c>
      <c r="C231" s="44" t="s">
        <v>66</v>
      </c>
      <c r="E231" s="45">
        <v>2524949</v>
      </c>
      <c r="F231" s="45"/>
      <c r="G231" s="45">
        <v>29541116</v>
      </c>
      <c r="H231" s="45"/>
      <c r="I231" s="45">
        <v>3697965</v>
      </c>
      <c r="J231" s="45"/>
      <c r="K231" s="45">
        <v>11623227</v>
      </c>
      <c r="L231" s="45"/>
      <c r="M231" s="45">
        <f>2876299+93464+37293+3675263</f>
        <v>6682319</v>
      </c>
      <c r="N231" s="45"/>
      <c r="O231" s="45">
        <v>915000</v>
      </c>
      <c r="P231" s="45"/>
      <c r="Q231" s="45">
        <f>10266922+1522838+249302-1718492</f>
        <v>10320570</v>
      </c>
      <c r="R231" s="45"/>
      <c r="S231" s="45">
        <f t="shared" si="8"/>
        <v>17917889</v>
      </c>
      <c r="T231" s="45"/>
      <c r="U231" s="44">
        <f t="shared" si="9"/>
        <v>0</v>
      </c>
    </row>
    <row r="232" spans="1:21" s="121" customFormat="1" ht="12.75" hidden="1" customHeight="1">
      <c r="A232" s="121" t="s">
        <v>262</v>
      </c>
      <c r="C232" s="121" t="s">
        <v>132</v>
      </c>
      <c r="E232" s="127">
        <v>0</v>
      </c>
      <c r="F232" s="127"/>
      <c r="G232" s="127">
        <v>0</v>
      </c>
      <c r="H232" s="127"/>
      <c r="I232" s="127">
        <v>0</v>
      </c>
      <c r="J232" s="127"/>
      <c r="K232" s="127">
        <v>0</v>
      </c>
      <c r="L232" s="127"/>
      <c r="M232" s="127">
        <v>0</v>
      </c>
      <c r="N232" s="127"/>
      <c r="O232" s="127">
        <v>0</v>
      </c>
      <c r="P232" s="127"/>
      <c r="Q232" s="127">
        <v>0</v>
      </c>
      <c r="R232" s="127"/>
      <c r="S232" s="127">
        <f t="shared" si="8"/>
        <v>0</v>
      </c>
      <c r="T232" s="127"/>
      <c r="U232" s="121">
        <f t="shared" si="9"/>
        <v>0</v>
      </c>
    </row>
    <row r="233" spans="1:21" s="44" customFormat="1" ht="12.75" customHeight="1">
      <c r="A233" s="44" t="s">
        <v>263</v>
      </c>
      <c r="C233" s="44" t="s">
        <v>53</v>
      </c>
      <c r="E233" s="45">
        <f>19440580+4967+128+2503</f>
        <v>19448178</v>
      </c>
      <c r="F233" s="45"/>
      <c r="G233" s="45">
        <v>28403306</v>
      </c>
      <c r="H233" s="45"/>
      <c r="I233" s="45">
        <v>2312789</v>
      </c>
      <c r="J233" s="45"/>
      <c r="K233" s="45">
        <v>7383184</v>
      </c>
      <c r="L233" s="45"/>
      <c r="M233" s="45">
        <f>1423346+58363+1670868+202748+431789</f>
        <v>3787114</v>
      </c>
      <c r="N233" s="45"/>
      <c r="O233" s="45">
        <v>0</v>
      </c>
      <c r="P233" s="45"/>
      <c r="Q233" s="45">
        <f>4344340+8075725+4812943</f>
        <v>17233008</v>
      </c>
      <c r="R233" s="45"/>
      <c r="S233" s="45">
        <f t="shared" si="8"/>
        <v>21020122</v>
      </c>
      <c r="T233" s="45"/>
      <c r="U233" s="44">
        <f t="shared" si="9"/>
        <v>0</v>
      </c>
    </row>
    <row r="234" spans="1:21" s="44" customFormat="1" ht="12.75" customHeight="1">
      <c r="A234" s="44" t="s">
        <v>264</v>
      </c>
      <c r="C234" s="44" t="s">
        <v>239</v>
      </c>
      <c r="E234" s="45">
        <v>5633193</v>
      </c>
      <c r="F234" s="45"/>
      <c r="G234" s="45">
        <v>8937573</v>
      </c>
      <c r="H234" s="45"/>
      <c r="I234" s="45">
        <v>2375110</v>
      </c>
      <c r="J234" s="45"/>
      <c r="K234" s="45">
        <v>2837738</v>
      </c>
      <c r="L234" s="45"/>
      <c r="M234" s="45">
        <f>5263+115673+812884</f>
        <v>933820</v>
      </c>
      <c r="N234" s="45"/>
      <c r="O234" s="45">
        <v>0</v>
      </c>
      <c r="P234" s="45"/>
      <c r="Q234" s="45">
        <f>2077148+1081987+467448+1539432</f>
        <v>5166015</v>
      </c>
      <c r="R234" s="45"/>
      <c r="S234" s="45">
        <f t="shared" si="8"/>
        <v>6099835</v>
      </c>
      <c r="T234" s="45"/>
      <c r="U234" s="44">
        <f t="shared" si="9"/>
        <v>0</v>
      </c>
    </row>
    <row r="235" spans="1:21" s="44" customFormat="1" ht="12.75" customHeight="1">
      <c r="A235" s="44" t="s">
        <v>111</v>
      </c>
      <c r="C235" s="44" t="s">
        <v>80</v>
      </c>
      <c r="E235" s="45">
        <v>4885508</v>
      </c>
      <c r="F235" s="45"/>
      <c r="G235" s="45">
        <v>24801051</v>
      </c>
      <c r="H235" s="45"/>
      <c r="I235" s="45">
        <v>5078655</v>
      </c>
      <c r="J235" s="45"/>
      <c r="K235" s="45">
        <v>9346267</v>
      </c>
      <c r="L235" s="45"/>
      <c r="M235" s="45">
        <f>3643649+47638+7599942</f>
        <v>11291229</v>
      </c>
      <c r="N235" s="45"/>
      <c r="O235" s="45">
        <v>0</v>
      </c>
      <c r="P235" s="45"/>
      <c r="Q235" s="45">
        <f>4250122+1481434+505151-2073152</f>
        <v>4163555</v>
      </c>
      <c r="R235" s="45"/>
      <c r="S235" s="45">
        <f t="shared" si="8"/>
        <v>15454784</v>
      </c>
      <c r="T235" s="45"/>
      <c r="U235" s="44">
        <f t="shared" si="9"/>
        <v>0</v>
      </c>
    </row>
    <row r="236" spans="1:21" s="44" customFormat="1" ht="12.75" customHeight="1">
      <c r="A236" s="44" t="s">
        <v>265</v>
      </c>
      <c r="C236" s="44" t="s">
        <v>27</v>
      </c>
      <c r="E236" s="45">
        <v>4237345</v>
      </c>
      <c r="F236" s="45"/>
      <c r="G236" s="45">
        <v>11499889</v>
      </c>
      <c r="H236" s="45"/>
      <c r="I236" s="45">
        <v>4224229</v>
      </c>
      <c r="J236" s="45"/>
      <c r="K236" s="45">
        <v>11166403</v>
      </c>
      <c r="L236" s="45"/>
      <c r="M236" s="45">
        <v>73941</v>
      </c>
      <c r="N236" s="45"/>
      <c r="O236" s="45">
        <v>0</v>
      </c>
      <c r="P236" s="45"/>
      <c r="Q236" s="45">
        <f>2617916+607957+152856-3119184</f>
        <v>259545</v>
      </c>
      <c r="R236" s="45"/>
      <c r="S236" s="45">
        <f t="shared" si="8"/>
        <v>333486</v>
      </c>
      <c r="T236" s="45"/>
      <c r="U236" s="44">
        <f>+G236-K236-S236</f>
        <v>0</v>
      </c>
    </row>
    <row r="237" spans="1:21" s="44" customFormat="1" ht="12.75" customHeight="1">
      <c r="A237" s="44" t="s">
        <v>40</v>
      </c>
      <c r="C237" s="47" t="s">
        <v>451</v>
      </c>
      <c r="E237" s="45">
        <f>3336020+40712</f>
        <v>3376732</v>
      </c>
      <c r="F237" s="45"/>
      <c r="G237" s="45">
        <v>8607353</v>
      </c>
      <c r="H237" s="45"/>
      <c r="I237" s="45">
        <v>4013220</v>
      </c>
      <c r="J237" s="45"/>
      <c r="K237" s="45">
        <v>4854633</v>
      </c>
      <c r="L237" s="45"/>
      <c r="M237" s="45">
        <f>186322+64717+48816+25731</f>
        <v>325586</v>
      </c>
      <c r="N237" s="45"/>
      <c r="O237" s="45">
        <v>0</v>
      </c>
      <c r="P237" s="45"/>
      <c r="Q237" s="45">
        <f>918558+792373+1601252+114951</f>
        <v>3427134</v>
      </c>
      <c r="R237" s="45"/>
      <c r="S237" s="45">
        <f t="shared" si="8"/>
        <v>3752720</v>
      </c>
      <c r="T237" s="45"/>
      <c r="U237" s="44">
        <f t="shared" si="9"/>
        <v>0</v>
      </c>
    </row>
    <row r="238" spans="1:21" s="44" customFormat="1" ht="12.75" customHeight="1">
      <c r="A238" s="44" t="s">
        <v>266</v>
      </c>
      <c r="C238" s="44" t="s">
        <v>267</v>
      </c>
      <c r="E238" s="45">
        <f>1665588+1115831</f>
        <v>2781419</v>
      </c>
      <c r="F238" s="45"/>
      <c r="G238" s="45">
        <v>4980386</v>
      </c>
      <c r="H238" s="45"/>
      <c r="I238" s="45">
        <v>642988</v>
      </c>
      <c r="J238" s="45"/>
      <c r="K238" s="45">
        <v>874934</v>
      </c>
      <c r="L238" s="45"/>
      <c r="M238" s="45">
        <f>558192+832567+2369712</f>
        <v>3760471</v>
      </c>
      <c r="N238" s="45"/>
      <c r="O238" s="45">
        <v>0</v>
      </c>
      <c r="P238" s="45"/>
      <c r="Q238" s="45">
        <v>344981</v>
      </c>
      <c r="R238" s="45"/>
      <c r="S238" s="45">
        <f t="shared" si="8"/>
        <v>4105452</v>
      </c>
      <c r="T238" s="45"/>
      <c r="U238" s="44">
        <f t="shared" si="9"/>
        <v>0</v>
      </c>
    </row>
    <row r="239" spans="1:21" s="44" customFormat="1" ht="12.75" customHeight="1">
      <c r="A239" s="44" t="s">
        <v>268</v>
      </c>
      <c r="C239" s="44" t="s">
        <v>269</v>
      </c>
      <c r="E239" s="45">
        <v>1595124</v>
      </c>
      <c r="F239" s="45"/>
      <c r="G239" s="45">
        <v>3149311</v>
      </c>
      <c r="H239" s="45"/>
      <c r="I239" s="45">
        <v>1168444</v>
      </c>
      <c r="J239" s="45"/>
      <c r="K239" s="45">
        <v>1274375</v>
      </c>
      <c r="L239" s="45"/>
      <c r="M239" s="45">
        <v>95138</v>
      </c>
      <c r="N239" s="45"/>
      <c r="O239" s="45">
        <v>0</v>
      </c>
      <c r="P239" s="45"/>
      <c r="Q239" s="45">
        <f>1067086+532019+180693</f>
        <v>1779798</v>
      </c>
      <c r="R239" s="45"/>
      <c r="S239" s="45">
        <f t="shared" si="8"/>
        <v>1874936</v>
      </c>
      <c r="T239" s="45"/>
      <c r="U239" s="44">
        <f t="shared" si="9"/>
        <v>0</v>
      </c>
    </row>
    <row r="240" spans="1:21" s="44" customFormat="1" ht="12.75" customHeight="1">
      <c r="A240" s="44" t="s">
        <v>270</v>
      </c>
      <c r="C240" s="44" t="s">
        <v>136</v>
      </c>
      <c r="E240" s="45">
        <v>2659062</v>
      </c>
      <c r="F240" s="45"/>
      <c r="G240" s="45">
        <v>6394331</v>
      </c>
      <c r="H240" s="45"/>
      <c r="I240" s="45">
        <v>676800</v>
      </c>
      <c r="J240" s="45"/>
      <c r="K240" s="45">
        <v>3339709</v>
      </c>
      <c r="L240" s="45"/>
      <c r="M240" s="45">
        <f>204347+152177</f>
        <v>356524</v>
      </c>
      <c r="N240" s="45"/>
      <c r="O240" s="45">
        <v>0</v>
      </c>
      <c r="P240" s="45"/>
      <c r="Q240" s="45">
        <f>-176948+370012+2459753+45281</f>
        <v>2698098</v>
      </c>
      <c r="R240" s="45"/>
      <c r="S240" s="45">
        <f t="shared" si="8"/>
        <v>3054622</v>
      </c>
      <c r="T240" s="45"/>
      <c r="U240" s="44">
        <f>+G240-K240-S240</f>
        <v>0</v>
      </c>
    </row>
    <row r="241" spans="1:21" s="44" customFormat="1" ht="12.75" customHeight="1">
      <c r="A241" s="44" t="s">
        <v>271</v>
      </c>
      <c r="C241" s="44" t="s">
        <v>66</v>
      </c>
      <c r="E241" s="45">
        <v>3250680</v>
      </c>
      <c r="F241" s="45"/>
      <c r="G241" s="45">
        <v>7497201</v>
      </c>
      <c r="H241" s="45"/>
      <c r="I241" s="45">
        <v>2137442</v>
      </c>
      <c r="J241" s="45"/>
      <c r="K241" s="45">
        <v>4346648</v>
      </c>
      <c r="L241" s="45"/>
      <c r="M241" s="45">
        <f>259066+3598+351618+52015+50744</f>
        <v>717041</v>
      </c>
      <c r="N241" s="45"/>
      <c r="O241" s="45">
        <v>0</v>
      </c>
      <c r="P241" s="45"/>
      <c r="Q241" s="45">
        <f>1561547+614032+257933</f>
        <v>2433512</v>
      </c>
      <c r="R241" s="45"/>
      <c r="S241" s="45">
        <f t="shared" si="8"/>
        <v>3150553</v>
      </c>
      <c r="T241" s="45"/>
      <c r="U241" s="44">
        <f t="shared" si="9"/>
        <v>0</v>
      </c>
    </row>
    <row r="242" spans="1:21" s="44" customFormat="1" ht="12.75" customHeight="1">
      <c r="A242" s="44" t="s">
        <v>272</v>
      </c>
      <c r="C242" s="44" t="s">
        <v>43</v>
      </c>
      <c r="E242" s="45">
        <f>48557584+55859</f>
        <v>48613443</v>
      </c>
      <c r="F242" s="45"/>
      <c r="G242" s="45">
        <v>85830483</v>
      </c>
      <c r="H242" s="45"/>
      <c r="I242" s="45">
        <v>20215246</v>
      </c>
      <c r="J242" s="45"/>
      <c r="K242" s="45">
        <v>37328942</v>
      </c>
      <c r="L242" s="45"/>
      <c r="M242" s="45">
        <f>11187049+8098756+192659+111550</f>
        <v>19590014</v>
      </c>
      <c r="N242" s="45"/>
      <c r="O242" s="45">
        <v>0</v>
      </c>
      <c r="P242" s="45"/>
      <c r="Q242" s="45">
        <f>23021584+10876965+180259-5167281</f>
        <v>28911527</v>
      </c>
      <c r="R242" s="45"/>
      <c r="S242" s="45">
        <f t="shared" si="8"/>
        <v>48501541</v>
      </c>
      <c r="T242" s="45"/>
      <c r="U242" s="44">
        <f t="shared" si="9"/>
        <v>0</v>
      </c>
    </row>
    <row r="243" spans="1:21" s="44" customFormat="1" ht="12.75" customHeight="1">
      <c r="A243" s="44" t="s">
        <v>273</v>
      </c>
      <c r="C243" s="44" t="s">
        <v>27</v>
      </c>
      <c r="E243" s="45">
        <f>58125404+35000+923562</f>
        <v>59083966</v>
      </c>
      <c r="F243" s="45"/>
      <c r="G243" s="45">
        <v>94866862</v>
      </c>
      <c r="H243" s="45"/>
      <c r="I243" s="45">
        <v>19990015</v>
      </c>
      <c r="J243" s="45"/>
      <c r="K243" s="45">
        <v>31625549</v>
      </c>
      <c r="L243" s="45"/>
      <c r="M243" s="45">
        <f>2365724+34805241+1125004</f>
        <v>38295969</v>
      </c>
      <c r="N243" s="45"/>
      <c r="O243" s="45">
        <v>12150642</v>
      </c>
      <c r="P243" s="45"/>
      <c r="Q243" s="45">
        <v>12794702</v>
      </c>
      <c r="R243" s="45"/>
      <c r="S243" s="45">
        <f t="shared" si="8"/>
        <v>63241313</v>
      </c>
      <c r="T243" s="45"/>
      <c r="U243" s="44">
        <f t="shared" si="9"/>
        <v>0</v>
      </c>
    </row>
    <row r="244" spans="1:21" s="44" customFormat="1" ht="12.75" customHeight="1">
      <c r="A244" s="44" t="s">
        <v>274</v>
      </c>
      <c r="C244" s="44" t="s">
        <v>43</v>
      </c>
      <c r="E244" s="45">
        <v>11000484</v>
      </c>
      <c r="F244" s="45"/>
      <c r="G244" s="45">
        <v>16209301</v>
      </c>
      <c r="H244" s="45"/>
      <c r="I244" s="45">
        <v>1824758</v>
      </c>
      <c r="J244" s="45"/>
      <c r="K244" s="45">
        <v>6070492</v>
      </c>
      <c r="L244" s="45"/>
      <c r="M244" s="45">
        <f>809026+97636+136910</f>
        <v>1043572</v>
      </c>
      <c r="N244" s="45"/>
      <c r="O244" s="45">
        <v>958518</v>
      </c>
      <c r="P244" s="45"/>
      <c r="Q244" s="45">
        <f>2983388+2605770+2547561</f>
        <v>8136719</v>
      </c>
      <c r="R244" s="45"/>
      <c r="S244" s="45">
        <f t="shared" si="8"/>
        <v>10138809</v>
      </c>
      <c r="T244" s="45"/>
      <c r="U244" s="44">
        <f t="shared" si="9"/>
        <v>0</v>
      </c>
    </row>
    <row r="245" spans="1:21" s="44" customFormat="1" ht="12.75" customHeight="1">
      <c r="A245" s="44" t="s">
        <v>275</v>
      </c>
      <c r="C245" s="44" t="s">
        <v>92</v>
      </c>
      <c r="E245" s="45">
        <f>9964848+966+92833</f>
        <v>10058647</v>
      </c>
      <c r="F245" s="45"/>
      <c r="G245" s="45">
        <v>15147216</v>
      </c>
      <c r="H245" s="45"/>
      <c r="I245" s="45">
        <v>3585569</v>
      </c>
      <c r="J245" s="45"/>
      <c r="K245" s="45">
        <v>4734104</v>
      </c>
      <c r="L245" s="45"/>
      <c r="M245" s="45">
        <f>48366+16820+71716</f>
        <v>136902</v>
      </c>
      <c r="N245" s="45"/>
      <c r="O245" s="45">
        <v>0</v>
      </c>
      <c r="P245" s="45"/>
      <c r="Q245" s="45">
        <f>7113879+726458+112122+2323751</f>
        <v>10276210</v>
      </c>
      <c r="R245" s="45"/>
      <c r="S245" s="45">
        <f t="shared" si="8"/>
        <v>10413112</v>
      </c>
      <c r="T245" s="45"/>
      <c r="U245" s="44">
        <f t="shared" si="9"/>
        <v>0</v>
      </c>
    </row>
    <row r="246" spans="1:21" s="44" customFormat="1" ht="12.75" customHeight="1">
      <c r="A246" s="44" t="s">
        <v>276</v>
      </c>
      <c r="C246" s="44" t="s">
        <v>38</v>
      </c>
      <c r="E246" s="45">
        <f>6258385+198415</f>
        <v>6456800</v>
      </c>
      <c r="F246" s="45"/>
      <c r="G246" s="45">
        <v>7987235</v>
      </c>
      <c r="H246" s="45"/>
      <c r="I246" s="45">
        <v>292656</v>
      </c>
      <c r="J246" s="45"/>
      <c r="K246" s="45">
        <v>1629715</v>
      </c>
      <c r="L246" s="45"/>
      <c r="M246" s="45">
        <f>291708+30917+27683+1575000+676+15457</f>
        <v>1941441</v>
      </c>
      <c r="N246" s="45"/>
      <c r="O246" s="45">
        <v>0</v>
      </c>
      <c r="P246" s="45"/>
      <c r="Q246" s="45">
        <f>1589159+2231152-463311+1059079</f>
        <v>4416079</v>
      </c>
      <c r="R246" s="45"/>
      <c r="S246" s="45">
        <f t="shared" si="8"/>
        <v>6357520</v>
      </c>
      <c r="T246" s="45"/>
      <c r="U246" s="44">
        <f t="shared" si="9"/>
        <v>0</v>
      </c>
    </row>
    <row r="247" spans="1:21" s="44" customFormat="1" ht="12.75" customHeight="1">
      <c r="A247" s="44" t="s">
        <v>277</v>
      </c>
      <c r="C247" s="44" t="s">
        <v>92</v>
      </c>
      <c r="E247" s="45">
        <v>14246688</v>
      </c>
      <c r="F247" s="45"/>
      <c r="G247" s="45">
        <v>31569992</v>
      </c>
      <c r="H247" s="45"/>
      <c r="I247" s="45">
        <v>8380891</v>
      </c>
      <c r="J247" s="45"/>
      <c r="K247" s="45">
        <v>19626805</v>
      </c>
      <c r="L247" s="45"/>
      <c r="M247" s="45">
        <f>1851830+7003433+324715</f>
        <v>9179978</v>
      </c>
      <c r="N247" s="45"/>
      <c r="O247" s="45">
        <v>1675905</v>
      </c>
      <c r="P247" s="45"/>
      <c r="Q247" s="45">
        <v>1087304</v>
      </c>
      <c r="R247" s="45"/>
      <c r="S247" s="45">
        <f t="shared" si="8"/>
        <v>11943187</v>
      </c>
      <c r="T247" s="45"/>
      <c r="U247" s="44">
        <f t="shared" si="9"/>
        <v>0</v>
      </c>
    </row>
    <row r="248" spans="1:21" s="44" customFormat="1" ht="12.75" customHeight="1">
      <c r="A248" s="44" t="s">
        <v>278</v>
      </c>
      <c r="C248" s="44" t="s">
        <v>92</v>
      </c>
      <c r="E248" s="45">
        <v>2200139</v>
      </c>
      <c r="F248" s="45"/>
      <c r="G248" s="45">
        <v>6342913</v>
      </c>
      <c r="H248" s="45"/>
      <c r="I248" s="45">
        <v>3407404</v>
      </c>
      <c r="J248" s="45"/>
      <c r="K248" s="45">
        <v>4407395</v>
      </c>
      <c r="L248" s="45"/>
      <c r="M248" s="45">
        <f>286126+28043</f>
        <v>314169</v>
      </c>
      <c r="N248" s="45"/>
      <c r="O248" s="45">
        <v>0</v>
      </c>
      <c r="P248" s="45"/>
      <c r="Q248" s="45">
        <f>822225+852553+31478-84907</f>
        <v>1621349</v>
      </c>
      <c r="R248" s="45"/>
      <c r="S248" s="45">
        <f t="shared" si="8"/>
        <v>1935518</v>
      </c>
      <c r="T248" s="45"/>
      <c r="U248" s="44">
        <f t="shared" si="9"/>
        <v>0</v>
      </c>
    </row>
    <row r="249" spans="1:21" s="44" customFormat="1" ht="12.75" customHeight="1">
      <c r="A249" s="44" t="s">
        <v>279</v>
      </c>
      <c r="C249" s="44" t="s">
        <v>92</v>
      </c>
      <c r="E249" s="45">
        <v>6231175</v>
      </c>
      <c r="F249" s="45"/>
      <c r="G249" s="45">
        <v>14158894</v>
      </c>
      <c r="H249" s="45"/>
      <c r="I249" s="45">
        <v>7126738</v>
      </c>
      <c r="J249" s="45"/>
      <c r="K249" s="45">
        <v>8573103</v>
      </c>
      <c r="L249" s="45"/>
      <c r="M249" s="45">
        <f>1342392+13051</f>
        <v>1355443</v>
      </c>
      <c r="N249" s="45"/>
      <c r="O249" s="45">
        <v>0</v>
      </c>
      <c r="P249" s="45"/>
      <c r="Q249" s="45">
        <f>1479501+2582740+131791+36316</f>
        <v>4230348</v>
      </c>
      <c r="R249" s="45"/>
      <c r="S249" s="45">
        <f t="shared" si="8"/>
        <v>5585791</v>
      </c>
      <c r="T249" s="45"/>
      <c r="U249" s="44">
        <f t="shared" si="9"/>
        <v>0</v>
      </c>
    </row>
    <row r="250" spans="1:21" s="44" customFormat="1" ht="12.75" customHeight="1">
      <c r="A250" s="44" t="s">
        <v>280</v>
      </c>
      <c r="C250" s="44" t="s">
        <v>281</v>
      </c>
      <c r="E250" s="45">
        <v>6057951</v>
      </c>
      <c r="F250" s="45"/>
      <c r="G250" s="45">
        <v>10776107</v>
      </c>
      <c r="H250" s="45"/>
      <c r="I250" s="45">
        <v>2717084</v>
      </c>
      <c r="J250" s="45"/>
      <c r="K250" s="45">
        <v>4389137</v>
      </c>
      <c r="L250" s="45"/>
      <c r="M250" s="45">
        <f>111147+516742+35000</f>
        <v>662889</v>
      </c>
      <c r="N250" s="45"/>
      <c r="O250" s="45">
        <v>0</v>
      </c>
      <c r="P250" s="45"/>
      <c r="Q250" s="45">
        <f>4572767+979385+161207+3809+6913</f>
        <v>5724081</v>
      </c>
      <c r="R250" s="45"/>
      <c r="S250" s="45">
        <f t="shared" si="8"/>
        <v>6386970</v>
      </c>
      <c r="T250" s="45"/>
      <c r="U250" s="44">
        <f t="shared" si="9"/>
        <v>0</v>
      </c>
    </row>
    <row r="251" spans="1:21" s="44" customFormat="1" ht="12.75" customHeight="1">
      <c r="A251" s="44" t="s">
        <v>282</v>
      </c>
      <c r="C251" s="44" t="s">
        <v>199</v>
      </c>
      <c r="E251" s="45">
        <v>15028782</v>
      </c>
      <c r="F251" s="45"/>
      <c r="G251" s="45">
        <v>28636452</v>
      </c>
      <c r="H251" s="45"/>
      <c r="I251" s="45">
        <v>7028032</v>
      </c>
      <c r="J251" s="45"/>
      <c r="K251" s="45">
        <v>13061186</v>
      </c>
      <c r="L251" s="45"/>
      <c r="M251" s="45">
        <f>3614669+79418</f>
        <v>3694087</v>
      </c>
      <c r="N251" s="45"/>
      <c r="O251" s="45">
        <v>0</v>
      </c>
      <c r="P251" s="45"/>
      <c r="Q251" s="45">
        <f>7184575+2644870+1347246+704488</f>
        <v>11881179</v>
      </c>
      <c r="R251" s="45"/>
      <c r="S251" s="45">
        <f t="shared" si="8"/>
        <v>15575266</v>
      </c>
      <c r="T251" s="45"/>
      <c r="U251" s="44">
        <f t="shared" si="9"/>
        <v>0</v>
      </c>
    </row>
    <row r="252" spans="1:21" s="44" customFormat="1" ht="12.75" customHeight="1">
      <c r="A252" s="44" t="s">
        <v>283</v>
      </c>
      <c r="C252" s="44" t="s">
        <v>43</v>
      </c>
      <c r="E252" s="45">
        <f>2723580+9206007</f>
        <v>11929587</v>
      </c>
      <c r="F252" s="45"/>
      <c r="G252" s="45">
        <v>19950165</v>
      </c>
      <c r="H252" s="45"/>
      <c r="I252" s="45">
        <v>3840157</v>
      </c>
      <c r="J252" s="45"/>
      <c r="K252" s="45">
        <v>6038248</v>
      </c>
      <c r="L252" s="45"/>
      <c r="M252" s="45">
        <f>1284290+83395+857087+210000</f>
        <v>2434772</v>
      </c>
      <c r="N252" s="45"/>
      <c r="O252" s="45">
        <v>0</v>
      </c>
      <c r="P252" s="45"/>
      <c r="Q252" s="45">
        <f>3077845+1319636+7079664</f>
        <v>11477145</v>
      </c>
      <c r="R252" s="45"/>
      <c r="S252" s="45">
        <f t="shared" si="8"/>
        <v>13911917</v>
      </c>
      <c r="T252" s="45"/>
      <c r="U252" s="44">
        <f t="shared" si="9"/>
        <v>0</v>
      </c>
    </row>
    <row r="253" spans="1:21" s="44" customFormat="1" ht="12.75" customHeight="1">
      <c r="A253" s="44" t="s">
        <v>284</v>
      </c>
      <c r="C253" s="44" t="s">
        <v>45</v>
      </c>
      <c r="E253" s="45">
        <f>6029193+39822</f>
        <v>6069015</v>
      </c>
      <c r="F253" s="45"/>
      <c r="G253" s="45">
        <v>12010673</v>
      </c>
      <c r="H253" s="45"/>
      <c r="I253" s="45">
        <v>4013707</v>
      </c>
      <c r="J253" s="45"/>
      <c r="K253" s="45">
        <v>5142707</v>
      </c>
      <c r="L253" s="45"/>
      <c r="M253" s="45">
        <f>768373+31030+19534+84000</f>
        <v>902937</v>
      </c>
      <c r="N253" s="45"/>
      <c r="O253" s="45">
        <v>0</v>
      </c>
      <c r="P253" s="45"/>
      <c r="Q253" s="45">
        <f>1902542+445074+47+3617366</f>
        <v>5965029</v>
      </c>
      <c r="R253" s="45"/>
      <c r="S253" s="45">
        <f t="shared" si="8"/>
        <v>6867966</v>
      </c>
      <c r="T253" s="45"/>
      <c r="U253" s="44">
        <f t="shared" si="9"/>
        <v>0</v>
      </c>
    </row>
    <row r="254" spans="1:21" s="44" customFormat="1" ht="12.75" customHeight="1">
      <c r="A254" s="44" t="s">
        <v>285</v>
      </c>
      <c r="C254" s="44" t="s">
        <v>30</v>
      </c>
      <c r="E254" s="45">
        <f>2616923+4022557</f>
        <v>6639480</v>
      </c>
      <c r="F254" s="45"/>
      <c r="G254" s="45">
        <v>13369991</v>
      </c>
      <c r="H254" s="45"/>
      <c r="I254" s="45">
        <v>3637774</v>
      </c>
      <c r="J254" s="45"/>
      <c r="K254" s="45">
        <v>4567786</v>
      </c>
      <c r="L254" s="45"/>
      <c r="M254" s="45">
        <f>1323936+43884+167903+36056+36141</f>
        <v>1607920</v>
      </c>
      <c r="N254" s="45"/>
      <c r="O254" s="45">
        <v>0</v>
      </c>
      <c r="P254" s="45"/>
      <c r="Q254" s="45">
        <f>1875461+4578277+740547</f>
        <v>7194285</v>
      </c>
      <c r="R254" s="45"/>
      <c r="S254" s="45">
        <f t="shared" si="8"/>
        <v>8802205</v>
      </c>
      <c r="T254" s="45"/>
      <c r="U254" s="44">
        <f t="shared" si="9"/>
        <v>0</v>
      </c>
    </row>
    <row r="255" spans="1:21" s="121" customFormat="1" ht="12.75" hidden="1" customHeight="1">
      <c r="A255" s="121" t="s">
        <v>286</v>
      </c>
      <c r="C255" s="121" t="s">
        <v>61</v>
      </c>
      <c r="E255" s="127">
        <v>0</v>
      </c>
      <c r="F255" s="127"/>
      <c r="G255" s="127">
        <v>0</v>
      </c>
      <c r="H255" s="127"/>
      <c r="I255" s="127">
        <v>0</v>
      </c>
      <c r="J255" s="127"/>
      <c r="K255" s="127">
        <v>0</v>
      </c>
      <c r="L255" s="127"/>
      <c r="M255" s="127">
        <v>0</v>
      </c>
      <c r="N255" s="127"/>
      <c r="O255" s="127">
        <v>0</v>
      </c>
      <c r="P255" s="127"/>
      <c r="Q255" s="127">
        <v>0</v>
      </c>
      <c r="R255" s="127"/>
      <c r="S255" s="127">
        <f t="shared" si="8"/>
        <v>0</v>
      </c>
      <c r="T255" s="127"/>
      <c r="U255" s="121">
        <f t="shared" si="9"/>
        <v>0</v>
      </c>
    </row>
    <row r="256" spans="1:21" s="44" customFormat="1" ht="12.75" customHeight="1">
      <c r="A256" s="44" t="s">
        <v>287</v>
      </c>
      <c r="C256" s="44" t="s">
        <v>288</v>
      </c>
      <c r="E256" s="45">
        <f>4964780+19472</f>
        <v>4984252</v>
      </c>
      <c r="F256" s="45"/>
      <c r="G256" s="45">
        <v>14211501</v>
      </c>
      <c r="H256" s="45"/>
      <c r="I256" s="45">
        <v>5377518</v>
      </c>
      <c r="J256" s="45"/>
      <c r="K256" s="45">
        <v>7503670</v>
      </c>
      <c r="L256" s="45"/>
      <c r="M256" s="45">
        <f>195351+9651+251777</f>
        <v>456779</v>
      </c>
      <c r="N256" s="45"/>
      <c r="O256" s="45">
        <v>0</v>
      </c>
      <c r="P256" s="45"/>
      <c r="Q256" s="45">
        <f>3465062+2371325-212542+627207</f>
        <v>6251052</v>
      </c>
      <c r="R256" s="45"/>
      <c r="S256" s="45">
        <f t="shared" ref="S256" si="10">+Q256+O256+M256</f>
        <v>6707831</v>
      </c>
      <c r="T256" s="45"/>
      <c r="U256" s="44">
        <f t="shared" si="9"/>
        <v>0</v>
      </c>
    </row>
    <row r="257" spans="2:2" s="44" customFormat="1" ht="12.75" customHeight="1"/>
    <row r="258" spans="2:2" s="44" customFormat="1" ht="12.75" customHeight="1"/>
    <row r="259" spans="2:2" s="44" customFormat="1" ht="12.75" customHeight="1">
      <c r="B259" s="51"/>
    </row>
    <row r="260" spans="2:2" s="44" customFormat="1" ht="12.75" customHeight="1">
      <c r="B260" s="51"/>
    </row>
    <row r="261" spans="2:2" s="44" customFormat="1" ht="12.75" customHeight="1">
      <c r="B261" s="51"/>
    </row>
    <row r="262" spans="2:2" s="44" customFormat="1" ht="12.75" customHeight="1">
      <c r="B262" s="51"/>
    </row>
    <row r="263" spans="2:2" s="44" customFormat="1" ht="12.75" customHeight="1">
      <c r="B263" s="51"/>
    </row>
    <row r="264" spans="2:2" s="44" customFormat="1" ht="12.75" customHeight="1">
      <c r="B264" s="51"/>
    </row>
    <row r="265" spans="2:2" s="44" customFormat="1" ht="12.75" customHeight="1">
      <c r="B265" s="51"/>
    </row>
    <row r="266" spans="2:2" s="44" customFormat="1" ht="12.75" customHeight="1">
      <c r="B266" s="51"/>
    </row>
    <row r="267" spans="2:2" s="44" customFormat="1" ht="12.75" customHeight="1">
      <c r="B267" s="51"/>
    </row>
    <row r="268" spans="2:2" s="44" customFormat="1" ht="12.75" customHeight="1">
      <c r="B268" s="51"/>
    </row>
    <row r="269" spans="2:2" s="44" customFormat="1" ht="12.75" customHeight="1">
      <c r="B269" s="51"/>
    </row>
    <row r="270" spans="2:2" s="44" customFormat="1" ht="12.75" customHeight="1">
      <c r="B270" s="51"/>
    </row>
    <row r="271" spans="2:2" s="44" customFormat="1" ht="12.75" customHeight="1">
      <c r="B271" s="51"/>
    </row>
    <row r="272" spans="2:2" s="44" customFormat="1" ht="12.75" customHeight="1">
      <c r="B272" s="51"/>
    </row>
    <row r="273" spans="2:2" s="44" customFormat="1" ht="12.75" customHeight="1">
      <c r="B273" s="51"/>
    </row>
    <row r="274" spans="2:2" s="44" customFormat="1" ht="12.75" customHeight="1">
      <c r="B274" s="51"/>
    </row>
    <row r="275" spans="2:2" s="44" customFormat="1" ht="12.75" customHeight="1">
      <c r="B275" s="51"/>
    </row>
    <row r="276" spans="2:2" s="44" customFormat="1" ht="12.75" customHeight="1">
      <c r="B276" s="51"/>
    </row>
    <row r="277" spans="2:2" s="44" customFormat="1" ht="12.75" customHeight="1">
      <c r="B277" s="51"/>
    </row>
    <row r="278" spans="2:2" s="44" customFormat="1" ht="12.75" customHeight="1">
      <c r="B278" s="51"/>
    </row>
    <row r="279" spans="2:2" s="44" customFormat="1" ht="12.75" customHeight="1">
      <c r="B279" s="51"/>
    </row>
    <row r="280" spans="2:2" s="44" customFormat="1" ht="12.75" customHeight="1">
      <c r="B280" s="51"/>
    </row>
    <row r="281" spans="2:2" s="44" customFormat="1" ht="12.75" customHeight="1">
      <c r="B281" s="51"/>
    </row>
    <row r="282" spans="2:2" s="44" customFormat="1" ht="12.75" customHeight="1">
      <c r="B282" s="51"/>
    </row>
    <row r="283" spans="2:2" s="44" customFormat="1" ht="12.75" customHeight="1">
      <c r="B283" s="51"/>
    </row>
    <row r="284" spans="2:2" s="44" customFormat="1" ht="12.75" customHeight="1">
      <c r="B284" s="51"/>
    </row>
    <row r="285" spans="2:2" s="44" customFormat="1" ht="12.75" customHeight="1">
      <c r="B285" s="51"/>
    </row>
    <row r="286" spans="2:2" s="44" customFormat="1" ht="12.75" customHeight="1">
      <c r="B286" s="51"/>
    </row>
    <row r="287" spans="2:2" s="44" customFormat="1" ht="12.75" customHeight="1">
      <c r="B287" s="51"/>
    </row>
    <row r="288" spans="2:2" s="44" customFormat="1" ht="12.75" customHeight="1">
      <c r="B288" s="51"/>
    </row>
    <row r="289" spans="2:2" s="44" customFormat="1" ht="12.75" customHeight="1">
      <c r="B289" s="51"/>
    </row>
    <row r="290" spans="2:2" s="44" customFormat="1" ht="12.75" customHeight="1">
      <c r="B290" s="51"/>
    </row>
    <row r="291" spans="2:2" s="44" customFormat="1" ht="12.75" customHeight="1">
      <c r="B291" s="51"/>
    </row>
    <row r="292" spans="2:2" s="44" customFormat="1" ht="12.75" customHeight="1">
      <c r="B292" s="51"/>
    </row>
    <row r="293" spans="2:2" s="44" customFormat="1" ht="12.75" customHeight="1">
      <c r="B293" s="51"/>
    </row>
    <row r="294" spans="2:2" s="44" customFormat="1" ht="12.75" customHeight="1">
      <c r="B294" s="51"/>
    </row>
    <row r="295" spans="2:2" s="44" customFormat="1" ht="12.75" customHeight="1">
      <c r="B295" s="51"/>
    </row>
    <row r="296" spans="2:2" s="44" customFormat="1" ht="12.75" customHeight="1">
      <c r="B296" s="51"/>
    </row>
    <row r="297" spans="2:2" s="44" customFormat="1" ht="12.75" customHeight="1">
      <c r="B297" s="51"/>
    </row>
    <row r="298" spans="2:2" s="44" customFormat="1" ht="12.75" customHeight="1">
      <c r="B298" s="51"/>
    </row>
    <row r="299" spans="2:2" s="44" customFormat="1" ht="12.75" customHeight="1">
      <c r="B299" s="51"/>
    </row>
    <row r="300" spans="2:2" s="44" customFormat="1" ht="12.75" customHeight="1">
      <c r="B300" s="51"/>
    </row>
    <row r="301" spans="2:2" s="44" customFormat="1" ht="12.75" customHeight="1">
      <c r="B301" s="51"/>
    </row>
    <row r="302" spans="2:2" s="44" customFormat="1" ht="12.75" customHeight="1">
      <c r="B302" s="51"/>
    </row>
    <row r="303" spans="2:2" s="44" customFormat="1" ht="12.75" customHeight="1">
      <c r="B303" s="51"/>
    </row>
    <row r="304" spans="2:2" s="44" customFormat="1" ht="12.75" customHeight="1">
      <c r="B304" s="51"/>
    </row>
    <row r="305" spans="2:2" s="44" customFormat="1" ht="12.75" customHeight="1">
      <c r="B305" s="51"/>
    </row>
    <row r="306" spans="2:2" s="44" customFormat="1" ht="12.75" customHeight="1">
      <c r="B306" s="51"/>
    </row>
    <row r="307" spans="2:2" s="44" customFormat="1" ht="12.75" customHeight="1">
      <c r="B307" s="51"/>
    </row>
    <row r="308" spans="2:2" s="44" customFormat="1" ht="12.75" customHeight="1">
      <c r="B308" s="51"/>
    </row>
    <row r="309" spans="2:2" s="44" customFormat="1" ht="12.75" customHeight="1">
      <c r="B309" s="51"/>
    </row>
    <row r="310" spans="2:2" s="44" customFormat="1" ht="12.75" customHeight="1">
      <c r="B310" s="51"/>
    </row>
    <row r="311" spans="2:2" s="44" customFormat="1" ht="12.75" customHeight="1">
      <c r="B311" s="51"/>
    </row>
  </sheetData>
  <phoneticPr fontId="4" type="noConversion"/>
  <pageMargins left="0.75" right="0.75" top="0.5" bottom="0.5" header="0" footer="0.25"/>
  <pageSetup firstPageNumber="42" pageOrder="overThenDown" orientation="portrait" useFirstPageNumber="1" r:id="rId1"/>
  <headerFooter alignWithMargins="0">
    <oddFooter>&amp;C&amp;"Times New Roman,Regular"&amp;11&amp;P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Z336"/>
  <sheetViews>
    <sheetView view="pageBreakPreview" zoomScale="75" zoomScaleNormal="100" zoomScaleSheetLayoutView="75" workbookViewId="0">
      <pane xSplit="3" ySplit="8" topLeftCell="D97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defaultColWidth="9.140625" defaultRowHeight="12.75" customHeight="1"/>
  <cols>
    <col min="1" max="1" width="18.140625" style="17" customWidth="1"/>
    <col min="2" max="2" width="1.7109375" customWidth="1"/>
    <col min="3" max="3" width="14.5703125" style="17" customWidth="1"/>
    <col min="4" max="4" width="1.7109375" style="10" customWidth="1"/>
    <col min="5" max="5" width="12.28515625" style="17" customWidth="1"/>
    <col min="6" max="6" width="1.7109375" style="17" customWidth="1"/>
    <col min="7" max="7" width="12.28515625" style="17" customWidth="1"/>
    <col min="8" max="8" width="1.7109375" style="17" customWidth="1"/>
    <col min="9" max="9" width="12.28515625" style="17" customWidth="1"/>
    <col min="10" max="10" width="1.7109375" style="17" customWidth="1"/>
    <col min="11" max="11" width="12.28515625" style="17" customWidth="1"/>
    <col min="12" max="12" width="1.7109375" style="17" customWidth="1"/>
    <col min="13" max="13" width="12.28515625" style="17" customWidth="1"/>
    <col min="14" max="14" width="1.7109375" style="17" customWidth="1"/>
    <col min="15" max="15" width="12.28515625" style="17" customWidth="1"/>
    <col min="16" max="16" width="1.7109375" style="17" customWidth="1"/>
    <col min="17" max="17" width="12.28515625" style="17" customWidth="1"/>
    <col min="18" max="18" width="1.7109375" style="17" customWidth="1"/>
    <col min="19" max="19" width="12.28515625" style="2" customWidth="1"/>
    <col min="20" max="20" width="1.7109375" style="17" customWidth="1"/>
    <col min="21" max="21" width="12.28515625" style="32" customWidth="1"/>
    <col min="22" max="22" width="2.5703125" style="10" customWidth="1"/>
    <col min="23" max="23" width="12.28515625" style="10" customWidth="1"/>
    <col min="24" max="25" width="9.28515625" style="10" bestFit="1" customWidth="1"/>
    <col min="26" max="16384" width="9.140625" style="10"/>
  </cols>
  <sheetData>
    <row r="1" spans="1:23" s="31" customFormat="1" ht="12.75" customHeight="1">
      <c r="A1" s="23" t="s">
        <v>387</v>
      </c>
      <c r="C1" s="23"/>
      <c r="D1" s="10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9"/>
      <c r="T1" s="23"/>
      <c r="U1" s="73"/>
      <c r="V1" s="24"/>
    </row>
    <row r="2" spans="1:23" s="31" customFormat="1" ht="12.75" customHeight="1">
      <c r="A2" s="23" t="s">
        <v>500</v>
      </c>
      <c r="C2" s="23"/>
      <c r="D2" s="10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9"/>
      <c r="T2" s="23"/>
      <c r="U2" s="73"/>
      <c r="V2" s="24"/>
    </row>
    <row r="3" spans="1:23" s="17" customFormat="1" ht="12.75" customHeight="1">
      <c r="A3" s="24" t="s">
        <v>289</v>
      </c>
      <c r="C3" s="11"/>
      <c r="D3" s="10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37"/>
      <c r="V3" s="11"/>
    </row>
    <row r="4" spans="1:23" s="17" customFormat="1" ht="12.75" customHeight="1">
      <c r="A4" s="24"/>
      <c r="C4" s="11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5"/>
      <c r="T4" s="11"/>
      <c r="U4" s="37"/>
      <c r="V4" s="11"/>
    </row>
    <row r="6" spans="1:23" s="30" customFormat="1" ht="12.75" customHeight="1">
      <c r="A6" s="23"/>
      <c r="C6" s="25"/>
      <c r="D6" s="12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25"/>
      <c r="W6" s="30" t="s">
        <v>294</v>
      </c>
    </row>
    <row r="7" spans="1:23" s="30" customFormat="1" ht="12.75" customHeight="1">
      <c r="A7" s="25"/>
      <c r="C7" s="25"/>
      <c r="D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25"/>
      <c r="W7" s="30" t="s">
        <v>434</v>
      </c>
    </row>
    <row r="8" spans="1:23" s="98" customFormat="1" ht="12.75" customHeight="1">
      <c r="A8" s="100" t="s">
        <v>8</v>
      </c>
      <c r="C8" s="100" t="s">
        <v>9</v>
      </c>
      <c r="D8" s="26"/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26"/>
      <c r="W8" s="99" t="s">
        <v>435</v>
      </c>
    </row>
    <row r="9" spans="1:23" s="98" customFormat="1" ht="12.75" customHeight="1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26"/>
    </row>
    <row r="10" spans="1:23" s="46" customFormat="1" ht="12.75" hidden="1" customHeight="1">
      <c r="A10" s="44" t="s">
        <v>12</v>
      </c>
      <c r="B10" s="49"/>
      <c r="C10" s="44" t="s">
        <v>13</v>
      </c>
      <c r="D10" s="35"/>
      <c r="E10" s="94">
        <v>0</v>
      </c>
      <c r="F10" s="94"/>
      <c r="G10" s="94">
        <v>0</v>
      </c>
      <c r="H10" s="94"/>
      <c r="I10" s="94">
        <v>0</v>
      </c>
      <c r="J10" s="94"/>
      <c r="K10" s="94">
        <v>0</v>
      </c>
      <c r="L10" s="94"/>
      <c r="M10" s="94">
        <v>0</v>
      </c>
      <c r="N10" s="94"/>
      <c r="O10" s="94">
        <v>0</v>
      </c>
      <c r="P10" s="94"/>
      <c r="Q10" s="94">
        <v>0</v>
      </c>
      <c r="R10" s="94"/>
      <c r="S10" s="46">
        <f>U10-E10-G10-K10-M10-O10-Q10-I10</f>
        <v>0</v>
      </c>
      <c r="T10" s="94"/>
      <c r="U10" s="94">
        <v>0</v>
      </c>
      <c r="V10" s="64"/>
      <c r="W10" s="46">
        <v>0</v>
      </c>
    </row>
    <row r="11" spans="1:23" s="44" customFormat="1" ht="12.75" customHeight="1">
      <c r="A11" s="44" t="s">
        <v>14</v>
      </c>
      <c r="C11" s="44" t="s">
        <v>15</v>
      </c>
      <c r="D11" s="35"/>
      <c r="E11" s="94">
        <v>818284</v>
      </c>
      <c r="F11" s="94"/>
      <c r="G11" s="94">
        <v>7762088</v>
      </c>
      <c r="H11" s="94"/>
      <c r="I11" s="94">
        <v>0</v>
      </c>
      <c r="J11" s="94"/>
      <c r="K11" s="94">
        <v>224081</v>
      </c>
      <c r="L11" s="94"/>
      <c r="M11" s="94">
        <v>4569955</v>
      </c>
      <c r="N11" s="94"/>
      <c r="O11" s="94">
        <v>0</v>
      </c>
      <c r="P11" s="94"/>
      <c r="Q11" s="94">
        <f>123924+343918</f>
        <v>467842</v>
      </c>
      <c r="R11" s="94"/>
      <c r="S11" s="46">
        <f t="shared" ref="S11:S65" si="0">U11-E11-G11-K11-M11-O11-Q11-I11</f>
        <v>499650</v>
      </c>
      <c r="T11" s="94"/>
      <c r="U11" s="94">
        <v>14341900</v>
      </c>
      <c r="V11" s="64"/>
      <c r="W11" s="94">
        <v>0</v>
      </c>
    </row>
    <row r="12" spans="1:23" s="49" customFormat="1" ht="12.75" customHeight="1">
      <c r="A12" s="44" t="s">
        <v>16</v>
      </c>
      <c r="C12" s="44" t="s">
        <v>17</v>
      </c>
      <c r="D12" s="35"/>
      <c r="E12" s="45">
        <v>880914</v>
      </c>
      <c r="F12" s="45"/>
      <c r="G12" s="45">
        <v>3033460</v>
      </c>
      <c r="H12" s="45"/>
      <c r="I12" s="45">
        <v>0</v>
      </c>
      <c r="J12" s="45"/>
      <c r="K12" s="45">
        <v>97555</v>
      </c>
      <c r="L12" s="45"/>
      <c r="M12" s="45">
        <v>630113</v>
      </c>
      <c r="N12" s="45"/>
      <c r="O12" s="45">
        <v>0</v>
      </c>
      <c r="P12" s="45"/>
      <c r="Q12" s="45">
        <f>156399+70711</f>
        <v>227110</v>
      </c>
      <c r="R12" s="45"/>
      <c r="S12" s="44">
        <f t="shared" si="0"/>
        <v>224902</v>
      </c>
      <c r="T12" s="45"/>
      <c r="U12" s="45">
        <v>5094054</v>
      </c>
      <c r="V12" s="35"/>
      <c r="W12" s="45">
        <v>0</v>
      </c>
    </row>
    <row r="13" spans="1:23" s="49" customFormat="1" ht="12.75" customHeight="1">
      <c r="A13" s="44" t="s">
        <v>18</v>
      </c>
      <c r="C13" s="44" t="s">
        <v>18</v>
      </c>
      <c r="D13" s="35"/>
      <c r="E13" s="45">
        <v>498020</v>
      </c>
      <c r="F13" s="45"/>
      <c r="G13" s="45">
        <v>7141236</v>
      </c>
      <c r="H13" s="45"/>
      <c r="I13" s="45">
        <v>0</v>
      </c>
      <c r="J13" s="45"/>
      <c r="K13" s="45">
        <v>1646703</v>
      </c>
      <c r="L13" s="45"/>
      <c r="M13" s="45">
        <v>1380418</v>
      </c>
      <c r="N13" s="45"/>
      <c r="O13" s="45">
        <v>0</v>
      </c>
      <c r="P13" s="45"/>
      <c r="Q13" s="45">
        <f>27785+619290</f>
        <v>647075</v>
      </c>
      <c r="R13" s="45"/>
      <c r="S13" s="44">
        <f t="shared" si="0"/>
        <v>367511</v>
      </c>
      <c r="T13" s="45"/>
      <c r="U13" s="45">
        <v>11680963</v>
      </c>
      <c r="V13" s="35"/>
      <c r="W13" s="45">
        <v>0</v>
      </c>
    </row>
    <row r="14" spans="1:23" s="49" customFormat="1" ht="12.75" customHeight="1">
      <c r="A14" s="44" t="s">
        <v>19</v>
      </c>
      <c r="C14" s="44" t="s">
        <v>19</v>
      </c>
      <c r="D14" s="35"/>
      <c r="E14" s="45">
        <v>1048840</v>
      </c>
      <c r="F14" s="45"/>
      <c r="G14" s="45">
        <v>5064204</v>
      </c>
      <c r="H14" s="45"/>
      <c r="I14" s="45">
        <v>0</v>
      </c>
      <c r="J14" s="45"/>
      <c r="K14" s="45">
        <v>226824</v>
      </c>
      <c r="L14" s="45"/>
      <c r="M14" s="45">
        <v>1680977</v>
      </c>
      <c r="N14" s="45"/>
      <c r="O14" s="45">
        <v>0</v>
      </c>
      <c r="P14" s="45"/>
      <c r="Q14" s="45">
        <f>76172+636205</f>
        <v>712377</v>
      </c>
      <c r="R14" s="45"/>
      <c r="S14" s="44">
        <f t="shared" si="0"/>
        <v>417245</v>
      </c>
      <c r="T14" s="45"/>
      <c r="U14" s="45">
        <v>9150467</v>
      </c>
      <c r="V14" s="35"/>
      <c r="W14" s="45">
        <v>250000</v>
      </c>
    </row>
    <row r="15" spans="1:23" s="49" customFormat="1" ht="12.75" customHeight="1">
      <c r="A15" s="44" t="s">
        <v>20</v>
      </c>
      <c r="C15" s="44" t="s">
        <v>20</v>
      </c>
      <c r="D15" s="35"/>
      <c r="E15" s="45">
        <v>840947</v>
      </c>
      <c r="F15" s="45"/>
      <c r="G15" s="45">
        <v>6594725</v>
      </c>
      <c r="H15" s="45"/>
      <c r="I15" s="45">
        <v>138192</v>
      </c>
      <c r="J15" s="45"/>
      <c r="K15" s="45">
        <v>931064</v>
      </c>
      <c r="L15" s="45"/>
      <c r="M15" s="45">
        <v>1217622</v>
      </c>
      <c r="N15" s="45"/>
      <c r="O15" s="45">
        <v>3586</v>
      </c>
      <c r="P15" s="45"/>
      <c r="Q15" s="45">
        <f>589563+1255545</f>
        <v>1845108</v>
      </c>
      <c r="R15" s="45"/>
      <c r="S15" s="44">
        <f t="shared" si="0"/>
        <v>91434</v>
      </c>
      <c r="T15" s="45"/>
      <c r="U15" s="45">
        <v>11662678</v>
      </c>
      <c r="V15" s="35"/>
      <c r="W15" s="45">
        <v>0</v>
      </c>
    </row>
    <row r="16" spans="1:23" s="49" customFormat="1" ht="12.75" customHeight="1">
      <c r="A16" s="44" t="s">
        <v>21</v>
      </c>
      <c r="C16" s="44" t="s">
        <v>22</v>
      </c>
      <c r="D16" s="35"/>
      <c r="E16" s="45">
        <v>1433684</v>
      </c>
      <c r="F16" s="45"/>
      <c r="G16" s="45">
        <v>9251187</v>
      </c>
      <c r="H16" s="45"/>
      <c r="I16" s="45">
        <v>1141430</v>
      </c>
      <c r="J16" s="45"/>
      <c r="K16" s="45">
        <v>162918</v>
      </c>
      <c r="L16" s="45"/>
      <c r="M16" s="45">
        <v>514104</v>
      </c>
      <c r="N16" s="45"/>
      <c r="O16" s="45">
        <v>0</v>
      </c>
      <c r="P16" s="45"/>
      <c r="Q16" s="45">
        <f>158739+19842</f>
        <v>178581</v>
      </c>
      <c r="R16" s="45"/>
      <c r="S16" s="44">
        <f t="shared" si="0"/>
        <v>142635</v>
      </c>
      <c r="T16" s="45"/>
      <c r="U16" s="45">
        <v>12824539</v>
      </c>
      <c r="V16" s="35"/>
      <c r="W16" s="45">
        <v>1759</v>
      </c>
    </row>
    <row r="17" spans="1:23" s="49" customFormat="1" ht="12.75" customHeight="1">
      <c r="A17" s="44" t="s">
        <v>23</v>
      </c>
      <c r="C17" s="44" t="s">
        <v>17</v>
      </c>
      <c r="D17" s="35"/>
      <c r="E17" s="45">
        <v>1492802</v>
      </c>
      <c r="F17" s="45"/>
      <c r="G17" s="45">
        <v>4931551</v>
      </c>
      <c r="H17" s="45"/>
      <c r="I17" s="45">
        <v>0</v>
      </c>
      <c r="J17" s="45"/>
      <c r="K17" s="45">
        <v>472696</v>
      </c>
      <c r="L17" s="45"/>
      <c r="M17" s="45">
        <v>1688412</v>
      </c>
      <c r="N17" s="45"/>
      <c r="O17" s="45">
        <v>0</v>
      </c>
      <c r="P17" s="45"/>
      <c r="Q17" s="45">
        <f>913420+140762</f>
        <v>1054182</v>
      </c>
      <c r="R17" s="45"/>
      <c r="S17" s="44">
        <f t="shared" si="0"/>
        <v>210465</v>
      </c>
      <c r="T17" s="45"/>
      <c r="U17" s="45">
        <v>9850108</v>
      </c>
      <c r="V17" s="35"/>
      <c r="W17" s="45">
        <v>1505669</v>
      </c>
    </row>
    <row r="18" spans="1:23" s="49" customFormat="1" ht="12.75" hidden="1" customHeight="1">
      <c r="A18" s="44" t="s">
        <v>24</v>
      </c>
      <c r="C18" s="44" t="s">
        <v>17</v>
      </c>
      <c r="D18" s="35"/>
      <c r="E18" s="45">
        <v>0</v>
      </c>
      <c r="F18" s="45"/>
      <c r="G18" s="45">
        <v>0</v>
      </c>
      <c r="H18" s="45"/>
      <c r="I18" s="45">
        <v>0</v>
      </c>
      <c r="J18" s="45"/>
      <c r="K18" s="45">
        <v>0</v>
      </c>
      <c r="L18" s="45"/>
      <c r="M18" s="45">
        <v>0</v>
      </c>
      <c r="N18" s="45"/>
      <c r="O18" s="45">
        <v>0</v>
      </c>
      <c r="P18" s="45"/>
      <c r="Q18" s="45">
        <v>0</v>
      </c>
      <c r="R18" s="45"/>
      <c r="S18" s="44">
        <f t="shared" si="0"/>
        <v>0</v>
      </c>
      <c r="T18" s="45"/>
      <c r="U18" s="45">
        <v>0</v>
      </c>
      <c r="V18" s="35"/>
      <c r="W18" s="45">
        <v>0</v>
      </c>
    </row>
    <row r="19" spans="1:23" s="49" customFormat="1" ht="12.75" customHeight="1">
      <c r="A19" s="44" t="s">
        <v>25</v>
      </c>
      <c r="C19" s="44" t="s">
        <v>13</v>
      </c>
      <c r="D19" s="35"/>
      <c r="E19" s="45">
        <v>1225917</v>
      </c>
      <c r="F19" s="45"/>
      <c r="G19" s="45">
        <v>11310138</v>
      </c>
      <c r="H19" s="45"/>
      <c r="I19" s="45">
        <v>0</v>
      </c>
      <c r="J19" s="45"/>
      <c r="K19" s="45">
        <v>1843966</v>
      </c>
      <c r="L19" s="45"/>
      <c r="M19" s="45">
        <v>2763810</v>
      </c>
      <c r="N19" s="45"/>
      <c r="O19" s="45">
        <v>0</v>
      </c>
      <c r="P19" s="45"/>
      <c r="Q19" s="45">
        <f>197126+76057</f>
        <v>273183</v>
      </c>
      <c r="R19" s="45"/>
      <c r="S19" s="44">
        <f t="shared" si="0"/>
        <v>555488</v>
      </c>
      <c r="T19" s="45"/>
      <c r="U19" s="45">
        <v>17972502</v>
      </c>
      <c r="V19" s="35"/>
      <c r="W19" s="45">
        <v>25252</v>
      </c>
    </row>
    <row r="20" spans="1:23" s="49" customFormat="1" ht="12.75" customHeight="1">
      <c r="A20" s="44" t="s">
        <v>26</v>
      </c>
      <c r="C20" s="44" t="s">
        <v>27</v>
      </c>
      <c r="D20" s="35"/>
      <c r="E20" s="45">
        <v>3636944</v>
      </c>
      <c r="F20" s="45"/>
      <c r="G20" s="45">
        <v>4672462</v>
      </c>
      <c r="H20" s="45"/>
      <c r="I20" s="45">
        <v>0</v>
      </c>
      <c r="J20" s="45"/>
      <c r="K20" s="45">
        <v>214439</v>
      </c>
      <c r="L20" s="45"/>
      <c r="M20" s="45">
        <v>1756760</v>
      </c>
      <c r="N20" s="45"/>
      <c r="O20" s="45">
        <v>20613</v>
      </c>
      <c r="P20" s="45"/>
      <c r="Q20" s="45">
        <f>214439+715137</f>
        <v>929576</v>
      </c>
      <c r="R20" s="45"/>
      <c r="S20" s="44">
        <f t="shared" si="0"/>
        <v>234138</v>
      </c>
      <c r="T20" s="45"/>
      <c r="U20" s="45">
        <v>11464932</v>
      </c>
      <c r="V20" s="35"/>
      <c r="W20" s="45">
        <v>0</v>
      </c>
    </row>
    <row r="21" spans="1:23" s="49" customFormat="1" ht="12.75" customHeight="1">
      <c r="A21" s="44" t="s">
        <v>28</v>
      </c>
      <c r="C21" s="44" t="s">
        <v>27</v>
      </c>
      <c r="D21" s="35"/>
      <c r="E21" s="45">
        <v>2572961</v>
      </c>
      <c r="F21" s="45"/>
      <c r="G21" s="45">
        <v>17821568</v>
      </c>
      <c r="H21" s="45"/>
      <c r="I21" s="45">
        <f>1969753+342934+677536</f>
        <v>2990223</v>
      </c>
      <c r="J21" s="45"/>
      <c r="K21" s="45">
        <v>2051510</v>
      </c>
      <c r="L21" s="45"/>
      <c r="M21" s="45">
        <v>667634</v>
      </c>
      <c r="N21" s="45"/>
      <c r="O21" s="45">
        <v>0</v>
      </c>
      <c r="P21" s="45"/>
      <c r="Q21" s="45">
        <v>895602</v>
      </c>
      <c r="R21" s="45"/>
      <c r="S21" s="44">
        <f t="shared" si="0"/>
        <v>1103704</v>
      </c>
      <c r="T21" s="45"/>
      <c r="U21" s="45">
        <v>28103202</v>
      </c>
      <c r="V21" s="35"/>
      <c r="W21" s="45">
        <v>0</v>
      </c>
    </row>
    <row r="22" spans="1:23" s="49" customFormat="1" ht="12.75" customHeight="1">
      <c r="A22" s="44" t="s">
        <v>29</v>
      </c>
      <c r="C22" s="44" t="s">
        <v>30</v>
      </c>
      <c r="D22" s="35"/>
      <c r="E22" s="45">
        <v>1344354</v>
      </c>
      <c r="F22" s="45"/>
      <c r="G22" s="45">
        <v>0</v>
      </c>
      <c r="H22" s="45"/>
      <c r="I22" s="45">
        <v>0</v>
      </c>
      <c r="J22" s="45"/>
      <c r="K22" s="45">
        <v>177899</v>
      </c>
      <c r="L22" s="45"/>
      <c r="M22" s="45">
        <v>1878039</v>
      </c>
      <c r="N22" s="45"/>
      <c r="O22" s="45">
        <v>144479</v>
      </c>
      <c r="P22" s="45"/>
      <c r="Q22" s="45">
        <v>929325</v>
      </c>
      <c r="R22" s="45"/>
      <c r="S22" s="44">
        <f t="shared" si="0"/>
        <v>136045</v>
      </c>
      <c r="T22" s="45"/>
      <c r="U22" s="45">
        <v>4610141</v>
      </c>
      <c r="V22" s="35"/>
      <c r="W22" s="45">
        <v>0</v>
      </c>
    </row>
    <row r="23" spans="1:23" s="49" customFormat="1" ht="12.75" customHeight="1">
      <c r="A23" s="44" t="s">
        <v>31</v>
      </c>
      <c r="C23" s="44" t="s">
        <v>27</v>
      </c>
      <c r="D23" s="35"/>
      <c r="E23" s="45">
        <v>2242109</v>
      </c>
      <c r="F23" s="45"/>
      <c r="G23" s="45">
        <v>8162205</v>
      </c>
      <c r="H23" s="45"/>
      <c r="I23" s="45">
        <v>0</v>
      </c>
      <c r="J23" s="45"/>
      <c r="K23" s="45">
        <v>747357</v>
      </c>
      <c r="L23" s="45"/>
      <c r="M23" s="45">
        <v>1902432</v>
      </c>
      <c r="N23" s="45"/>
      <c r="O23" s="45">
        <v>0</v>
      </c>
      <c r="P23" s="45"/>
      <c r="Q23" s="45">
        <f>211037+1424293</f>
        <v>1635330</v>
      </c>
      <c r="R23" s="45"/>
      <c r="S23" s="44">
        <f t="shared" si="0"/>
        <v>57734</v>
      </c>
      <c r="T23" s="45"/>
      <c r="U23" s="45">
        <v>14747167</v>
      </c>
      <c r="V23" s="35"/>
      <c r="W23" s="45">
        <f>2439+3575</f>
        <v>6014</v>
      </c>
    </row>
    <row r="24" spans="1:23" s="49" customFormat="1" ht="12.75" customHeight="1">
      <c r="A24" s="44" t="s">
        <v>32</v>
      </c>
      <c r="C24" s="44" t="s">
        <v>27</v>
      </c>
      <c r="D24" s="35"/>
      <c r="E24" s="45">
        <v>1422955</v>
      </c>
      <c r="F24" s="45"/>
      <c r="G24" s="45">
        <v>7453724</v>
      </c>
      <c r="H24" s="45"/>
      <c r="I24" s="45">
        <v>0</v>
      </c>
      <c r="J24" s="45"/>
      <c r="K24" s="45">
        <v>2602009</v>
      </c>
      <c r="L24" s="45"/>
      <c r="M24" s="45">
        <v>936981</v>
      </c>
      <c r="N24" s="45"/>
      <c r="O24" s="45">
        <v>0</v>
      </c>
      <c r="P24" s="45"/>
      <c r="Q24" s="45">
        <f>436331+174344</f>
        <v>610675</v>
      </c>
      <c r="R24" s="45"/>
      <c r="S24" s="44">
        <f t="shared" si="0"/>
        <v>161704</v>
      </c>
      <c r="T24" s="45"/>
      <c r="U24" s="45">
        <v>13188048</v>
      </c>
      <c r="V24" s="35"/>
      <c r="W24" s="45">
        <v>0</v>
      </c>
    </row>
    <row r="25" spans="1:23" s="49" customFormat="1" ht="12.75" customHeight="1">
      <c r="A25" s="46" t="s">
        <v>34</v>
      </c>
      <c r="B25" s="46"/>
      <c r="C25" s="46" t="s">
        <v>30</v>
      </c>
      <c r="D25" s="64"/>
      <c r="E25" s="45">
        <v>588035</v>
      </c>
      <c r="F25" s="45"/>
      <c r="G25" s="45">
        <v>0</v>
      </c>
      <c r="H25" s="45"/>
      <c r="I25" s="45">
        <v>0</v>
      </c>
      <c r="J25" s="45"/>
      <c r="K25" s="45">
        <v>31452</v>
      </c>
      <c r="L25" s="45"/>
      <c r="M25" s="45">
        <v>305363</v>
      </c>
      <c r="N25" s="45"/>
      <c r="O25" s="45">
        <v>525</v>
      </c>
      <c r="P25" s="45"/>
      <c r="Q25" s="45">
        <v>145311</v>
      </c>
      <c r="R25" s="45"/>
      <c r="S25" s="44">
        <f t="shared" si="0"/>
        <v>12401</v>
      </c>
      <c r="T25" s="45"/>
      <c r="U25" s="45">
        <v>1083087</v>
      </c>
      <c r="V25" s="35"/>
      <c r="W25" s="45">
        <v>0</v>
      </c>
    </row>
    <row r="26" spans="1:23" s="49" customFormat="1" ht="12.75" customHeight="1">
      <c r="A26" s="44" t="s">
        <v>35</v>
      </c>
      <c r="C26" s="44" t="s">
        <v>36</v>
      </c>
      <c r="D26" s="35"/>
      <c r="E26" s="45">
        <v>460137</v>
      </c>
      <c r="F26" s="45"/>
      <c r="G26" s="45">
        <v>4991092</v>
      </c>
      <c r="H26" s="45"/>
      <c r="I26" s="45">
        <v>22491</v>
      </c>
      <c r="J26" s="45"/>
      <c r="K26" s="45">
        <v>32050</v>
      </c>
      <c r="L26" s="45"/>
      <c r="M26" s="45">
        <v>656420</v>
      </c>
      <c r="N26" s="45"/>
      <c r="O26" s="45">
        <v>0</v>
      </c>
      <c r="P26" s="45"/>
      <c r="Q26" s="45">
        <f>66087+489600</f>
        <v>555687</v>
      </c>
      <c r="R26" s="45"/>
      <c r="S26" s="44">
        <f t="shared" si="0"/>
        <v>105598</v>
      </c>
      <c r="T26" s="45"/>
      <c r="U26" s="45">
        <v>6823475</v>
      </c>
      <c r="V26" s="35"/>
      <c r="W26" s="45">
        <v>0</v>
      </c>
    </row>
    <row r="27" spans="1:23" s="49" customFormat="1" ht="12.75" customHeight="1">
      <c r="A27" s="44" t="s">
        <v>37</v>
      </c>
      <c r="C27" s="44" t="s">
        <v>38</v>
      </c>
      <c r="D27" s="35"/>
      <c r="E27" s="45">
        <v>701333</v>
      </c>
      <c r="F27" s="45"/>
      <c r="G27" s="45">
        <v>3254559</v>
      </c>
      <c r="H27" s="45"/>
      <c r="I27" s="45">
        <v>0</v>
      </c>
      <c r="J27" s="45"/>
      <c r="K27" s="45">
        <v>960</v>
      </c>
      <c r="L27" s="45"/>
      <c r="M27" s="45">
        <v>227811</v>
      </c>
      <c r="N27" s="45"/>
      <c r="O27" s="45">
        <v>0</v>
      </c>
      <c r="P27" s="45"/>
      <c r="Q27" s="45">
        <f>53926+98440</f>
        <v>152366</v>
      </c>
      <c r="R27" s="45"/>
      <c r="S27" s="44">
        <f t="shared" si="0"/>
        <v>67886</v>
      </c>
      <c r="T27" s="45"/>
      <c r="U27" s="45">
        <v>4404915</v>
      </c>
      <c r="V27" s="35"/>
      <c r="W27" s="45">
        <v>0</v>
      </c>
    </row>
    <row r="28" spans="1:23" s="49" customFormat="1" ht="12.75" customHeight="1">
      <c r="A28" s="46" t="s">
        <v>39</v>
      </c>
      <c r="B28" s="46"/>
      <c r="C28" s="46" t="s">
        <v>40</v>
      </c>
      <c r="D28" s="64"/>
      <c r="E28" s="45">
        <v>238503</v>
      </c>
      <c r="F28" s="45"/>
      <c r="G28" s="45">
        <v>1020429</v>
      </c>
      <c r="H28" s="45"/>
      <c r="I28" s="45">
        <v>0</v>
      </c>
      <c r="J28" s="45"/>
      <c r="K28" s="45">
        <v>355040</v>
      </c>
      <c r="L28" s="45"/>
      <c r="M28" s="45">
        <v>404080</v>
      </c>
      <c r="N28" s="45"/>
      <c r="O28" s="45">
        <v>0</v>
      </c>
      <c r="P28" s="45"/>
      <c r="Q28" s="45">
        <v>274689</v>
      </c>
      <c r="R28" s="45"/>
      <c r="S28" s="44">
        <f t="shared" si="0"/>
        <v>33689</v>
      </c>
      <c r="T28" s="45"/>
      <c r="U28" s="45">
        <v>2326430</v>
      </c>
      <c r="V28" s="35"/>
      <c r="W28" s="45">
        <v>3721</v>
      </c>
    </row>
    <row r="29" spans="1:23" s="49" customFormat="1" ht="12.75" customHeight="1">
      <c r="A29" s="44" t="s">
        <v>41</v>
      </c>
      <c r="C29" s="44" t="s">
        <v>27</v>
      </c>
      <c r="D29" s="35"/>
      <c r="E29" s="45">
        <v>1573174</v>
      </c>
      <c r="F29" s="45"/>
      <c r="G29" s="45">
        <v>10922715</v>
      </c>
      <c r="H29" s="45"/>
      <c r="I29" s="45">
        <v>283047</v>
      </c>
      <c r="J29" s="45"/>
      <c r="K29" s="45">
        <v>573563</v>
      </c>
      <c r="L29" s="45"/>
      <c r="M29" s="45">
        <v>1464417</v>
      </c>
      <c r="N29" s="45"/>
      <c r="O29" s="45">
        <v>2683</v>
      </c>
      <c r="P29" s="45"/>
      <c r="Q29" s="45">
        <f>456359+1414350</f>
        <v>1870709</v>
      </c>
      <c r="R29" s="45"/>
      <c r="S29" s="44">
        <f t="shared" si="0"/>
        <v>266511</v>
      </c>
      <c r="T29" s="45"/>
      <c r="U29" s="45">
        <v>16956819</v>
      </c>
      <c r="V29" s="35"/>
      <c r="W29" s="45">
        <v>1817</v>
      </c>
    </row>
    <row r="30" spans="1:23" s="49" customFormat="1" ht="12.75" customHeight="1">
      <c r="A30" s="44" t="s">
        <v>42</v>
      </c>
      <c r="C30" s="44" t="s">
        <v>43</v>
      </c>
      <c r="D30" s="35"/>
      <c r="E30" s="45">
        <v>669003</v>
      </c>
      <c r="F30" s="45"/>
      <c r="G30" s="45">
        <v>5771846</v>
      </c>
      <c r="H30" s="45"/>
      <c r="I30" s="45">
        <v>172768</v>
      </c>
      <c r="J30" s="45"/>
      <c r="K30" s="45">
        <v>0</v>
      </c>
      <c r="L30" s="45"/>
      <c r="M30" s="45">
        <v>3398858</v>
      </c>
      <c r="N30" s="45"/>
      <c r="O30" s="45">
        <v>0</v>
      </c>
      <c r="P30" s="45"/>
      <c r="Q30" s="45">
        <f>243394+82236</f>
        <v>325630</v>
      </c>
      <c r="R30" s="45"/>
      <c r="S30" s="44">
        <f t="shared" si="0"/>
        <v>195516</v>
      </c>
      <c r="T30" s="45"/>
      <c r="U30" s="45">
        <v>10533621</v>
      </c>
      <c r="V30" s="35"/>
      <c r="W30" s="45">
        <f>5701+43668+20605+6875000</f>
        <v>6944974</v>
      </c>
    </row>
    <row r="31" spans="1:23" s="49" customFormat="1" ht="12.75" customHeight="1">
      <c r="A31" s="44" t="s">
        <v>44</v>
      </c>
      <c r="C31" s="44" t="s">
        <v>45</v>
      </c>
      <c r="D31" s="35"/>
      <c r="E31" s="45">
        <v>2122642</v>
      </c>
      <c r="F31" s="45"/>
      <c r="G31" s="45">
        <v>27411890</v>
      </c>
      <c r="H31" s="45"/>
      <c r="I31" s="45">
        <v>875608</v>
      </c>
      <c r="J31" s="45"/>
      <c r="K31" s="45">
        <v>721373</v>
      </c>
      <c r="L31" s="45"/>
      <c r="M31" s="45">
        <v>3165614</v>
      </c>
      <c r="N31" s="45"/>
      <c r="O31" s="45">
        <v>0</v>
      </c>
      <c r="P31" s="45"/>
      <c r="Q31" s="45">
        <f>367608+99687</f>
        <v>467295</v>
      </c>
      <c r="R31" s="45"/>
      <c r="S31" s="44">
        <f t="shared" si="0"/>
        <v>142297</v>
      </c>
      <c r="T31" s="45"/>
      <c r="U31" s="45">
        <v>34906719</v>
      </c>
      <c r="V31" s="35"/>
      <c r="W31" s="45">
        <f>13134+36734</f>
        <v>49868</v>
      </c>
    </row>
    <row r="32" spans="1:23" s="49" customFormat="1" ht="12.75" customHeight="1">
      <c r="A32" s="44" t="s">
        <v>46</v>
      </c>
      <c r="C32" s="44" t="s">
        <v>47</v>
      </c>
      <c r="D32" s="35"/>
      <c r="E32" s="45">
        <v>1633543</v>
      </c>
      <c r="F32" s="45"/>
      <c r="G32" s="45">
        <v>5824843</v>
      </c>
      <c r="H32" s="45"/>
      <c r="I32" s="45">
        <v>2227602</v>
      </c>
      <c r="J32" s="45"/>
      <c r="K32" s="45">
        <v>1721612</v>
      </c>
      <c r="L32" s="45"/>
      <c r="M32" s="45">
        <v>2139777</v>
      </c>
      <c r="N32" s="45"/>
      <c r="O32" s="45">
        <v>0</v>
      </c>
      <c r="P32" s="45"/>
      <c r="Q32" s="45">
        <f>21129+841182</f>
        <v>862311</v>
      </c>
      <c r="R32" s="45"/>
      <c r="S32" s="44">
        <f t="shared" si="0"/>
        <v>619115</v>
      </c>
      <c r="T32" s="45"/>
      <c r="U32" s="45">
        <v>15028803</v>
      </c>
      <c r="V32" s="35"/>
      <c r="W32" s="45">
        <v>0</v>
      </c>
    </row>
    <row r="33" spans="1:23" s="49" customFormat="1" ht="12.75" customHeight="1">
      <c r="A33" s="44" t="s">
        <v>48</v>
      </c>
      <c r="C33" s="44" t="s">
        <v>27</v>
      </c>
      <c r="D33" s="35"/>
      <c r="E33" s="45">
        <v>1834145</v>
      </c>
      <c r="F33" s="45"/>
      <c r="G33" s="45">
        <v>12145759</v>
      </c>
      <c r="H33" s="45"/>
      <c r="I33" s="45">
        <v>0</v>
      </c>
      <c r="J33" s="45"/>
      <c r="K33" s="45">
        <v>37063</v>
      </c>
      <c r="L33" s="45"/>
      <c r="M33" s="45">
        <v>1067176</v>
      </c>
      <c r="N33" s="45"/>
      <c r="O33" s="45">
        <v>0</v>
      </c>
      <c r="P33" s="45"/>
      <c r="Q33" s="45">
        <v>697301</v>
      </c>
      <c r="R33" s="45"/>
      <c r="S33" s="44">
        <f t="shared" si="0"/>
        <v>425179</v>
      </c>
      <c r="T33" s="45"/>
      <c r="U33" s="45">
        <v>16206623</v>
      </c>
      <c r="V33" s="35"/>
      <c r="W33" s="45">
        <v>13733</v>
      </c>
    </row>
    <row r="34" spans="1:23" s="49" customFormat="1" ht="12.75" customHeight="1">
      <c r="A34" s="44" t="s">
        <v>49</v>
      </c>
      <c r="C34" s="44" t="s">
        <v>27</v>
      </c>
      <c r="D34" s="35"/>
      <c r="E34" s="45">
        <v>8729257</v>
      </c>
      <c r="F34" s="45"/>
      <c r="G34" s="45">
        <v>0</v>
      </c>
      <c r="H34" s="45"/>
      <c r="I34" s="45">
        <v>0</v>
      </c>
      <c r="J34" s="45"/>
      <c r="K34" s="45">
        <v>398932</v>
      </c>
      <c r="L34" s="45"/>
      <c r="M34" s="45">
        <v>990942</v>
      </c>
      <c r="N34" s="45"/>
      <c r="O34" s="45">
        <v>13779</v>
      </c>
      <c r="P34" s="45"/>
      <c r="Q34" s="45">
        <f>584987+247953</f>
        <v>832940</v>
      </c>
      <c r="R34" s="45"/>
      <c r="S34" s="44">
        <f t="shared" si="0"/>
        <v>1080317</v>
      </c>
      <c r="T34" s="45"/>
      <c r="U34" s="45">
        <v>12046167</v>
      </c>
      <c r="V34" s="35"/>
      <c r="W34" s="45">
        <v>1080</v>
      </c>
    </row>
    <row r="35" spans="1:23" s="49" customFormat="1" ht="12.75" customHeight="1">
      <c r="A35" s="44" t="s">
        <v>50</v>
      </c>
      <c r="C35" s="44" t="s">
        <v>27</v>
      </c>
      <c r="D35" s="35"/>
      <c r="E35" s="45">
        <v>1684274</v>
      </c>
      <c r="F35" s="45"/>
      <c r="G35" s="45">
        <v>15676613</v>
      </c>
      <c r="H35" s="45"/>
      <c r="I35" s="45">
        <v>271452</v>
      </c>
      <c r="J35" s="45"/>
      <c r="K35" s="45">
        <v>2360691</v>
      </c>
      <c r="L35" s="45"/>
      <c r="M35" s="45">
        <v>1831304</v>
      </c>
      <c r="N35" s="45"/>
      <c r="O35" s="45">
        <v>0</v>
      </c>
      <c r="P35" s="45"/>
      <c r="Q35" s="45">
        <f>547492+324171</f>
        <v>871663</v>
      </c>
      <c r="R35" s="45"/>
      <c r="S35" s="44">
        <f t="shared" si="0"/>
        <v>246301</v>
      </c>
      <c r="T35" s="45"/>
      <c r="U35" s="45">
        <v>22942298</v>
      </c>
      <c r="V35" s="35"/>
      <c r="W35" s="45">
        <v>8660</v>
      </c>
    </row>
    <row r="36" spans="1:23" s="49" customFormat="1" ht="12.75" customHeight="1">
      <c r="A36" s="44" t="s">
        <v>51</v>
      </c>
      <c r="C36" s="44" t="s">
        <v>27</v>
      </c>
      <c r="D36" s="35"/>
      <c r="E36" s="45">
        <v>660488</v>
      </c>
      <c r="F36" s="45"/>
      <c r="G36" s="45">
        <v>14058354</v>
      </c>
      <c r="H36" s="45"/>
      <c r="I36" s="45">
        <v>240105</v>
      </c>
      <c r="J36" s="45"/>
      <c r="K36" s="45">
        <v>955357</v>
      </c>
      <c r="L36" s="45"/>
      <c r="M36" s="45">
        <v>1213423</v>
      </c>
      <c r="N36" s="45"/>
      <c r="O36" s="45">
        <v>0</v>
      </c>
      <c r="P36" s="45"/>
      <c r="Q36" s="45">
        <v>535159</v>
      </c>
      <c r="R36" s="45"/>
      <c r="S36" s="44">
        <f t="shared" si="0"/>
        <v>146206</v>
      </c>
      <c r="T36" s="45"/>
      <c r="U36" s="45">
        <v>17809092</v>
      </c>
      <c r="V36" s="35"/>
      <c r="W36" s="45">
        <v>0</v>
      </c>
    </row>
    <row r="37" spans="1:23" s="49" customFormat="1" ht="12.75" customHeight="1">
      <c r="A37" s="44" t="s">
        <v>462</v>
      </c>
      <c r="C37" s="44" t="s">
        <v>66</v>
      </c>
      <c r="D37" s="35"/>
      <c r="E37" s="45">
        <v>138560</v>
      </c>
      <c r="F37" s="45"/>
      <c r="G37" s="45">
        <v>2483510</v>
      </c>
      <c r="H37" s="45"/>
      <c r="I37" s="45">
        <v>0</v>
      </c>
      <c r="J37" s="45"/>
      <c r="K37" s="45">
        <v>767161</v>
      </c>
      <c r="L37" s="45"/>
      <c r="M37" s="45">
        <v>354223</v>
      </c>
      <c r="N37" s="45"/>
      <c r="O37" s="45">
        <v>0</v>
      </c>
      <c r="P37" s="45"/>
      <c r="Q37" s="45">
        <v>86249</v>
      </c>
      <c r="R37" s="45"/>
      <c r="S37" s="44">
        <f t="shared" si="0"/>
        <v>38438</v>
      </c>
      <c r="T37" s="45"/>
      <c r="U37" s="45">
        <v>3868141</v>
      </c>
      <c r="V37" s="35"/>
      <c r="W37" s="45">
        <v>9672</v>
      </c>
    </row>
    <row r="38" spans="1:23" s="49" customFormat="1" ht="12.75" customHeight="1">
      <c r="A38" s="44" t="s">
        <v>52</v>
      </c>
      <c r="C38" s="44" t="s">
        <v>53</v>
      </c>
      <c r="D38" s="35"/>
      <c r="E38" s="45">
        <v>1602507</v>
      </c>
      <c r="F38" s="45"/>
      <c r="G38" s="45">
        <v>1138168</v>
      </c>
      <c r="H38" s="45"/>
      <c r="I38" s="45">
        <v>0</v>
      </c>
      <c r="J38" s="45"/>
      <c r="K38" s="45">
        <v>132105</v>
      </c>
      <c r="L38" s="45"/>
      <c r="M38" s="45">
        <v>1282348</v>
      </c>
      <c r="N38" s="45"/>
      <c r="O38" s="45">
        <v>0</v>
      </c>
      <c r="P38" s="45"/>
      <c r="Q38" s="45">
        <f>804130+4942</f>
        <v>809072</v>
      </c>
      <c r="R38" s="45"/>
      <c r="S38" s="44">
        <f t="shared" si="0"/>
        <v>53067</v>
      </c>
      <c r="T38" s="45"/>
      <c r="U38" s="45">
        <v>5017267</v>
      </c>
      <c r="V38" s="35"/>
      <c r="W38" s="45">
        <v>0</v>
      </c>
    </row>
    <row r="39" spans="1:23" s="49" customFormat="1" ht="12.75" customHeight="1">
      <c r="A39" s="44" t="s">
        <v>54</v>
      </c>
      <c r="C39" s="44" t="s">
        <v>55</v>
      </c>
      <c r="D39" s="35"/>
      <c r="E39" s="45">
        <v>6619112</v>
      </c>
      <c r="F39" s="45"/>
      <c r="G39" s="45">
        <v>0</v>
      </c>
      <c r="H39" s="45"/>
      <c r="I39" s="45">
        <v>0</v>
      </c>
      <c r="J39" s="45"/>
      <c r="K39" s="45">
        <v>118087</v>
      </c>
      <c r="L39" s="45"/>
      <c r="M39" s="45">
        <v>701717</v>
      </c>
      <c r="N39" s="45"/>
      <c r="O39" s="45">
        <v>0</v>
      </c>
      <c r="P39" s="45"/>
      <c r="Q39" s="45">
        <f>5735+537634</f>
        <v>543369</v>
      </c>
      <c r="R39" s="45"/>
      <c r="S39" s="44">
        <f t="shared" si="0"/>
        <v>390917</v>
      </c>
      <c r="T39" s="45"/>
      <c r="U39" s="45">
        <v>8373202</v>
      </c>
      <c r="V39" s="35"/>
      <c r="W39" s="45">
        <v>1570</v>
      </c>
    </row>
    <row r="40" spans="1:23" s="49" customFormat="1" ht="12.75" customHeight="1">
      <c r="A40" s="44" t="s">
        <v>56</v>
      </c>
      <c r="C40" s="44" t="s">
        <v>57</v>
      </c>
      <c r="D40" s="35"/>
      <c r="E40" s="45">
        <v>503846</v>
      </c>
      <c r="F40" s="45"/>
      <c r="G40" s="45">
        <v>2614656</v>
      </c>
      <c r="H40" s="45"/>
      <c r="I40" s="45">
        <v>37255</v>
      </c>
      <c r="J40" s="45"/>
      <c r="K40" s="45">
        <v>381091</v>
      </c>
      <c r="L40" s="45"/>
      <c r="M40" s="45">
        <v>700737</v>
      </c>
      <c r="N40" s="45"/>
      <c r="O40" s="45">
        <v>0</v>
      </c>
      <c r="P40" s="45"/>
      <c r="Q40" s="45">
        <f>61758+22170</f>
        <v>83928</v>
      </c>
      <c r="R40" s="45"/>
      <c r="S40" s="44">
        <f t="shared" si="0"/>
        <v>166816</v>
      </c>
      <c r="T40" s="45"/>
      <c r="U40" s="45">
        <v>4488329</v>
      </c>
      <c r="V40" s="35"/>
      <c r="W40" s="45">
        <v>750</v>
      </c>
    </row>
    <row r="41" spans="1:23" s="49" customFormat="1" ht="12.75" customHeight="1">
      <c r="A41" s="44" t="s">
        <v>58</v>
      </c>
      <c r="C41" s="44" t="s">
        <v>59</v>
      </c>
      <c r="D41" s="35"/>
      <c r="E41" s="45">
        <v>291225</v>
      </c>
      <c r="F41" s="45"/>
      <c r="G41" s="45">
        <v>4367833</v>
      </c>
      <c r="H41" s="45"/>
      <c r="I41" s="45">
        <v>0</v>
      </c>
      <c r="J41" s="45"/>
      <c r="K41" s="45">
        <v>4400</v>
      </c>
      <c r="L41" s="45"/>
      <c r="M41" s="45">
        <v>912004</v>
      </c>
      <c r="N41" s="45"/>
      <c r="O41" s="45">
        <v>0</v>
      </c>
      <c r="P41" s="45"/>
      <c r="Q41" s="45">
        <f>537982+140449</f>
        <v>678431</v>
      </c>
      <c r="R41" s="45"/>
      <c r="S41" s="44">
        <f t="shared" si="0"/>
        <v>197423</v>
      </c>
      <c r="T41" s="45"/>
      <c r="U41" s="45">
        <v>6451316</v>
      </c>
      <c r="V41" s="35"/>
      <c r="W41" s="45">
        <v>0</v>
      </c>
    </row>
    <row r="42" spans="1:23" s="49" customFormat="1" ht="12.75" customHeight="1">
      <c r="A42" s="46" t="s">
        <v>476</v>
      </c>
      <c r="B42" s="46"/>
      <c r="C42" s="46" t="s">
        <v>15</v>
      </c>
      <c r="D42" s="64"/>
      <c r="E42" s="45">
        <v>208175</v>
      </c>
      <c r="F42" s="45"/>
      <c r="G42" s="45">
        <v>1758266</v>
      </c>
      <c r="H42" s="45"/>
      <c r="I42" s="45">
        <v>0</v>
      </c>
      <c r="J42" s="45"/>
      <c r="K42" s="45">
        <v>3903</v>
      </c>
      <c r="L42" s="45"/>
      <c r="M42" s="45">
        <v>291376</v>
      </c>
      <c r="N42" s="45"/>
      <c r="O42" s="45">
        <v>0</v>
      </c>
      <c r="P42" s="45"/>
      <c r="Q42" s="45">
        <v>25773</v>
      </c>
      <c r="R42" s="45"/>
      <c r="S42" s="44">
        <f t="shared" si="0"/>
        <v>16995</v>
      </c>
      <c r="T42" s="45"/>
      <c r="U42" s="45">
        <v>2304488</v>
      </c>
      <c r="V42" s="35"/>
      <c r="W42" s="45">
        <v>0</v>
      </c>
    </row>
    <row r="43" spans="1:23" s="49" customFormat="1" ht="12.75" customHeight="1">
      <c r="A43" s="44" t="s">
        <v>60</v>
      </c>
      <c r="C43" s="44" t="s">
        <v>61</v>
      </c>
      <c r="D43" s="35"/>
      <c r="E43" s="45">
        <v>0</v>
      </c>
      <c r="F43" s="45"/>
      <c r="G43" s="45">
        <v>2308433</v>
      </c>
      <c r="H43" s="45"/>
      <c r="I43" s="45">
        <v>0</v>
      </c>
      <c r="J43" s="45"/>
      <c r="K43" s="45">
        <v>243066</v>
      </c>
      <c r="L43" s="45"/>
      <c r="M43" s="45">
        <v>678062</v>
      </c>
      <c r="N43" s="45"/>
      <c r="O43" s="45">
        <v>3477</v>
      </c>
      <c r="P43" s="45"/>
      <c r="Q43" s="45">
        <f>61917+62644</f>
        <v>124561</v>
      </c>
      <c r="R43" s="45"/>
      <c r="S43" s="44">
        <f t="shared" si="0"/>
        <v>50443</v>
      </c>
      <c r="T43" s="45"/>
      <c r="U43" s="45">
        <v>3408042</v>
      </c>
      <c r="V43" s="35"/>
      <c r="W43" s="45">
        <v>1</v>
      </c>
    </row>
    <row r="44" spans="1:23" s="49" customFormat="1" ht="12.75" customHeight="1">
      <c r="A44" s="46" t="s">
        <v>62</v>
      </c>
      <c r="B44" s="46"/>
      <c r="C44" s="46" t="s">
        <v>15</v>
      </c>
      <c r="D44" s="64"/>
      <c r="E44" s="45">
        <v>3692536</v>
      </c>
      <c r="F44" s="45"/>
      <c r="G44" s="45">
        <v>30310752</v>
      </c>
      <c r="H44" s="45"/>
      <c r="I44" s="45">
        <v>0</v>
      </c>
      <c r="J44" s="45"/>
      <c r="K44" s="45">
        <v>10834094</v>
      </c>
      <c r="L44" s="45"/>
      <c r="M44" s="45">
        <v>6110500</v>
      </c>
      <c r="N44" s="45"/>
      <c r="O44" s="45">
        <v>0</v>
      </c>
      <c r="P44" s="45"/>
      <c r="Q44" s="45">
        <f>1290592+387372</f>
        <v>1677964</v>
      </c>
      <c r="R44" s="45"/>
      <c r="S44" s="44">
        <f t="shared" si="0"/>
        <v>2082890</v>
      </c>
      <c r="T44" s="45"/>
      <c r="U44" s="45">
        <v>54708736</v>
      </c>
      <c r="V44" s="35"/>
      <c r="W44" s="45">
        <v>1800000</v>
      </c>
    </row>
    <row r="45" spans="1:23" s="49" customFormat="1" ht="12.75" customHeight="1">
      <c r="A45" s="44" t="s">
        <v>485</v>
      </c>
      <c r="C45" s="44" t="s">
        <v>111</v>
      </c>
      <c r="D45" s="35"/>
      <c r="E45" s="45">
        <v>70820</v>
      </c>
      <c r="F45" s="45"/>
      <c r="G45" s="45">
        <v>590930</v>
      </c>
      <c r="H45" s="45"/>
      <c r="I45" s="45">
        <v>0</v>
      </c>
      <c r="J45" s="45"/>
      <c r="K45" s="45">
        <v>0</v>
      </c>
      <c r="L45" s="45"/>
      <c r="M45" s="45">
        <v>101942</v>
      </c>
      <c r="N45" s="45"/>
      <c r="O45" s="45">
        <v>36109</v>
      </c>
      <c r="P45" s="45"/>
      <c r="Q45" s="45">
        <f>40384+62972</f>
        <v>103356</v>
      </c>
      <c r="R45" s="45"/>
      <c r="S45" s="44">
        <f t="shared" si="0"/>
        <v>37912</v>
      </c>
      <c r="T45" s="45"/>
      <c r="U45" s="45">
        <v>941069</v>
      </c>
      <c r="V45" s="35"/>
      <c r="W45" s="45">
        <v>0</v>
      </c>
    </row>
    <row r="46" spans="1:23" s="49" customFormat="1" ht="12.75" customHeight="1">
      <c r="A46" s="44" t="s">
        <v>63</v>
      </c>
      <c r="C46" s="44" t="s">
        <v>64</v>
      </c>
      <c r="D46" s="35"/>
      <c r="E46" s="45">
        <v>287764</v>
      </c>
      <c r="F46" s="45"/>
      <c r="G46" s="45">
        <v>2704711</v>
      </c>
      <c r="H46" s="45"/>
      <c r="I46" s="45">
        <v>546811</v>
      </c>
      <c r="J46" s="45"/>
      <c r="K46" s="45">
        <v>286730</v>
      </c>
      <c r="L46" s="45"/>
      <c r="M46" s="45">
        <v>1009514</v>
      </c>
      <c r="N46" s="45"/>
      <c r="O46" s="45">
        <v>0</v>
      </c>
      <c r="P46" s="45"/>
      <c r="Q46" s="45">
        <f>103737+300917</f>
        <v>404654</v>
      </c>
      <c r="R46" s="45"/>
      <c r="S46" s="44">
        <f t="shared" si="0"/>
        <v>155173</v>
      </c>
      <c r="T46" s="45"/>
      <c r="U46" s="45">
        <v>5395357</v>
      </c>
      <c r="V46" s="35"/>
      <c r="W46" s="45">
        <f>6599+300000</f>
        <v>306599</v>
      </c>
    </row>
    <row r="47" spans="1:23" s="49" customFormat="1" ht="12.75" customHeight="1">
      <c r="A47" s="44" t="s">
        <v>65</v>
      </c>
      <c r="C47" s="44" t="s">
        <v>66</v>
      </c>
      <c r="D47" s="35"/>
      <c r="E47" s="45">
        <v>12415470</v>
      </c>
      <c r="F47" s="45"/>
      <c r="G47" s="45">
        <v>0</v>
      </c>
      <c r="H47" s="45"/>
      <c r="I47" s="45">
        <v>0</v>
      </c>
      <c r="J47" s="45"/>
      <c r="K47" s="45">
        <v>282212</v>
      </c>
      <c r="L47" s="45"/>
      <c r="M47" s="45">
        <v>2946098</v>
      </c>
      <c r="N47" s="45"/>
      <c r="O47" s="45">
        <v>21623</v>
      </c>
      <c r="P47" s="45"/>
      <c r="Q47" s="45">
        <v>237961</v>
      </c>
      <c r="R47" s="45"/>
      <c r="S47" s="44">
        <f t="shared" si="0"/>
        <v>146090</v>
      </c>
      <c r="T47" s="45"/>
      <c r="U47" s="45">
        <v>16049454</v>
      </c>
      <c r="V47" s="35"/>
      <c r="W47" s="45">
        <v>0</v>
      </c>
    </row>
    <row r="48" spans="1:23" s="49" customFormat="1" ht="12.75" customHeight="1">
      <c r="A48" s="44" t="s">
        <v>67</v>
      </c>
      <c r="C48" s="44" t="s">
        <v>375</v>
      </c>
      <c r="D48" s="35"/>
      <c r="E48" s="45">
        <v>392882</v>
      </c>
      <c r="F48" s="45"/>
      <c r="G48" s="45">
        <v>4893513</v>
      </c>
      <c r="H48" s="45"/>
      <c r="I48" s="45">
        <v>0</v>
      </c>
      <c r="J48" s="45"/>
      <c r="K48" s="45">
        <v>75897</v>
      </c>
      <c r="L48" s="45"/>
      <c r="M48" s="45">
        <v>429830</v>
      </c>
      <c r="N48" s="45"/>
      <c r="O48" s="45">
        <v>0</v>
      </c>
      <c r="P48" s="45"/>
      <c r="Q48" s="45">
        <f>108534+896439</f>
        <v>1004973</v>
      </c>
      <c r="R48" s="45"/>
      <c r="S48" s="44">
        <f t="shared" si="0"/>
        <v>311031</v>
      </c>
      <c r="T48" s="45"/>
      <c r="U48" s="45">
        <v>7108126</v>
      </c>
      <c r="V48" s="35"/>
      <c r="W48" s="45">
        <v>57121</v>
      </c>
    </row>
    <row r="49" spans="1:23" s="49" customFormat="1" ht="12.75" customHeight="1">
      <c r="A49" s="44" t="s">
        <v>68</v>
      </c>
      <c r="C49" s="44" t="s">
        <v>45</v>
      </c>
      <c r="D49" s="35"/>
      <c r="E49" s="45">
        <v>1702795</v>
      </c>
      <c r="F49" s="45"/>
      <c r="G49" s="45">
        <v>1682172</v>
      </c>
      <c r="H49" s="45"/>
      <c r="I49" s="45">
        <v>74765</v>
      </c>
      <c r="J49" s="45"/>
      <c r="K49" s="45">
        <v>177843</v>
      </c>
      <c r="L49" s="45"/>
      <c r="M49" s="45">
        <v>610299</v>
      </c>
      <c r="N49" s="45"/>
      <c r="O49" s="45">
        <v>0</v>
      </c>
      <c r="P49" s="45"/>
      <c r="Q49" s="45">
        <f>27893+101483</f>
        <v>129376</v>
      </c>
      <c r="R49" s="45"/>
      <c r="S49" s="44">
        <f t="shared" si="0"/>
        <v>85080</v>
      </c>
      <c r="T49" s="45"/>
      <c r="U49" s="45">
        <v>4462330</v>
      </c>
      <c r="V49" s="35"/>
      <c r="W49" s="45">
        <v>0</v>
      </c>
    </row>
    <row r="50" spans="1:23" s="49" customFormat="1" ht="12.75" customHeight="1">
      <c r="A50" s="44" t="s">
        <v>69</v>
      </c>
      <c r="C50" s="44" t="s">
        <v>70</v>
      </c>
      <c r="D50" s="35"/>
      <c r="E50" s="45">
        <v>937381</v>
      </c>
      <c r="F50" s="45"/>
      <c r="G50" s="45">
        <v>8611759</v>
      </c>
      <c r="H50" s="45"/>
      <c r="I50" s="45">
        <v>230591</v>
      </c>
      <c r="J50" s="45"/>
      <c r="K50" s="45">
        <v>3219514</v>
      </c>
      <c r="L50" s="45"/>
      <c r="M50" s="45">
        <v>1871482</v>
      </c>
      <c r="N50" s="45"/>
      <c r="O50" s="45">
        <v>50186</v>
      </c>
      <c r="P50" s="45"/>
      <c r="Q50" s="45">
        <v>1505729</v>
      </c>
      <c r="R50" s="45"/>
      <c r="S50" s="44">
        <f t="shared" si="0"/>
        <v>327282</v>
      </c>
      <c r="T50" s="45"/>
      <c r="U50" s="45">
        <v>16753924</v>
      </c>
      <c r="V50" s="35"/>
      <c r="W50" s="45">
        <f>5639+42285+613342</f>
        <v>661266</v>
      </c>
    </row>
    <row r="51" spans="1:23" s="49" customFormat="1" ht="12.75" customHeight="1">
      <c r="A51" s="46" t="s">
        <v>71</v>
      </c>
      <c r="B51" s="46"/>
      <c r="C51" s="46" t="s">
        <v>45</v>
      </c>
      <c r="D51" s="64"/>
      <c r="E51" s="45">
        <v>249799000</v>
      </c>
      <c r="F51" s="45"/>
      <c r="G51" s="45">
        <v>0</v>
      </c>
      <c r="H51" s="45"/>
      <c r="I51" s="45">
        <v>0</v>
      </c>
      <c r="J51" s="45"/>
      <c r="K51" s="45">
        <v>18652000</v>
      </c>
      <c r="L51" s="45"/>
      <c r="M51" s="45">
        <v>45393000</v>
      </c>
      <c r="N51" s="45"/>
      <c r="O51" s="45">
        <v>0</v>
      </c>
      <c r="P51" s="45"/>
      <c r="Q51" s="45">
        <v>7400000</v>
      </c>
      <c r="R51" s="45"/>
      <c r="S51" s="44">
        <f t="shared" si="0"/>
        <v>16958000</v>
      </c>
      <c r="T51" s="45"/>
      <c r="U51" s="45">
        <v>338202000</v>
      </c>
      <c r="V51" s="35"/>
      <c r="W51" s="45">
        <v>12167000</v>
      </c>
    </row>
    <row r="52" spans="1:23" s="49" customFormat="1" ht="12.75" customHeight="1">
      <c r="A52" s="44" t="s">
        <v>463</v>
      </c>
      <c r="C52" s="44" t="s">
        <v>464</v>
      </c>
      <c r="D52" s="35"/>
      <c r="E52" s="45">
        <v>768950</v>
      </c>
      <c r="F52" s="45"/>
      <c r="G52" s="45">
        <v>1349333</v>
      </c>
      <c r="H52" s="45"/>
      <c r="I52" s="45">
        <v>160355</v>
      </c>
      <c r="J52" s="45"/>
      <c r="K52" s="45">
        <v>211192</v>
      </c>
      <c r="L52" s="45"/>
      <c r="M52" s="45">
        <v>2057540</v>
      </c>
      <c r="N52" s="45"/>
      <c r="O52" s="45">
        <v>0</v>
      </c>
      <c r="P52" s="45"/>
      <c r="Q52" s="45">
        <f>14448+520834</f>
        <v>535282</v>
      </c>
      <c r="R52" s="45"/>
      <c r="S52" s="44">
        <f t="shared" si="0"/>
        <v>208464</v>
      </c>
      <c r="T52" s="45"/>
      <c r="U52" s="45">
        <v>5291116</v>
      </c>
      <c r="V52" s="35"/>
      <c r="W52" s="45">
        <v>0</v>
      </c>
    </row>
    <row r="53" spans="1:23" s="49" customFormat="1" ht="12.75" customHeight="1">
      <c r="A53" s="44" t="s">
        <v>72</v>
      </c>
      <c r="C53" s="44" t="s">
        <v>66</v>
      </c>
      <c r="D53" s="35"/>
      <c r="E53" s="45">
        <v>366512</v>
      </c>
      <c r="F53" s="45"/>
      <c r="G53" s="45">
        <v>1395724</v>
      </c>
      <c r="H53" s="45"/>
      <c r="I53" s="45">
        <v>117105</v>
      </c>
      <c r="J53" s="45"/>
      <c r="K53" s="45">
        <v>640924</v>
      </c>
      <c r="L53" s="45"/>
      <c r="M53" s="45">
        <v>1009584</v>
      </c>
      <c r="N53" s="45"/>
      <c r="O53" s="45">
        <v>0</v>
      </c>
      <c r="P53" s="45"/>
      <c r="Q53" s="45">
        <v>4778</v>
      </c>
      <c r="R53" s="45"/>
      <c r="S53" s="44">
        <f t="shared" si="0"/>
        <v>31698</v>
      </c>
      <c r="T53" s="45"/>
      <c r="U53" s="45">
        <v>3566325</v>
      </c>
      <c r="V53" s="35"/>
      <c r="W53" s="45">
        <v>31390</v>
      </c>
    </row>
    <row r="54" spans="1:23" s="49" customFormat="1" ht="12.75" customHeight="1">
      <c r="A54" s="44" t="s">
        <v>73</v>
      </c>
      <c r="C54" s="44" t="s">
        <v>27</v>
      </c>
      <c r="D54" s="35"/>
      <c r="E54" s="45">
        <v>38568000</v>
      </c>
      <c r="F54" s="45"/>
      <c r="G54" s="45">
        <v>267355000</v>
      </c>
      <c r="H54" s="45"/>
      <c r="I54" s="45">
        <v>0</v>
      </c>
      <c r="J54" s="45"/>
      <c r="K54" s="45">
        <v>25826000</v>
      </c>
      <c r="L54" s="45"/>
      <c r="M54" s="45">
        <f>47972000+44143000</f>
        <v>92115000</v>
      </c>
      <c r="N54" s="45"/>
      <c r="O54" s="45">
        <v>0</v>
      </c>
      <c r="P54" s="45"/>
      <c r="Q54" s="45">
        <v>23714000</v>
      </c>
      <c r="R54" s="45"/>
      <c r="S54" s="44">
        <f t="shared" si="0"/>
        <v>24832000</v>
      </c>
      <c r="T54" s="45"/>
      <c r="U54" s="45">
        <v>472410000</v>
      </c>
      <c r="V54" s="35"/>
      <c r="W54" s="45">
        <f>18887000+70000</f>
        <v>18957000</v>
      </c>
    </row>
    <row r="55" spans="1:23" s="49" customFormat="1" ht="12.75" customHeight="1">
      <c r="A55" s="44" t="s">
        <v>74</v>
      </c>
      <c r="C55" s="44" t="s">
        <v>27</v>
      </c>
      <c r="D55" s="35"/>
      <c r="E55" s="45">
        <v>6996690</v>
      </c>
      <c r="F55" s="45"/>
      <c r="G55" s="45">
        <v>20623037</v>
      </c>
      <c r="H55" s="45"/>
      <c r="I55" s="45">
        <v>0</v>
      </c>
      <c r="J55" s="45"/>
      <c r="K55" s="45">
        <v>2885716</v>
      </c>
      <c r="L55" s="45"/>
      <c r="M55" s="45">
        <v>5404568</v>
      </c>
      <c r="N55" s="45"/>
      <c r="O55" s="45">
        <v>15233</v>
      </c>
      <c r="P55" s="45"/>
      <c r="Q55" s="45">
        <f>1432220+2485171</f>
        <v>3917391</v>
      </c>
      <c r="R55" s="45"/>
      <c r="S55" s="44">
        <f t="shared" si="0"/>
        <v>1664044</v>
      </c>
      <c r="T55" s="45"/>
      <c r="U55" s="45">
        <v>41506679</v>
      </c>
      <c r="V55" s="35"/>
      <c r="W55" s="45">
        <v>24273</v>
      </c>
    </row>
    <row r="56" spans="1:23" s="49" customFormat="1" ht="12.75" customHeight="1">
      <c r="A56" s="44" t="s">
        <v>75</v>
      </c>
      <c r="C56" s="44" t="s">
        <v>76</v>
      </c>
      <c r="D56" s="35"/>
      <c r="E56" s="45">
        <v>611245</v>
      </c>
      <c r="F56" s="45"/>
      <c r="G56" s="45">
        <v>2977094</v>
      </c>
      <c r="H56" s="45"/>
      <c r="I56" s="45">
        <v>0</v>
      </c>
      <c r="J56" s="45"/>
      <c r="K56" s="45">
        <v>188459</v>
      </c>
      <c r="L56" s="45"/>
      <c r="M56" s="45">
        <v>346758</v>
      </c>
      <c r="N56" s="45"/>
      <c r="O56" s="45">
        <v>26148</v>
      </c>
      <c r="P56" s="45"/>
      <c r="Q56" s="45">
        <f>45050+20060</f>
        <v>65110</v>
      </c>
      <c r="R56" s="45"/>
      <c r="S56" s="44">
        <f t="shared" si="0"/>
        <v>164683</v>
      </c>
      <c r="T56" s="45"/>
      <c r="U56" s="45">
        <v>4379497</v>
      </c>
      <c r="V56" s="35"/>
      <c r="W56" s="45">
        <f>72817+103500</f>
        <v>176317</v>
      </c>
    </row>
    <row r="57" spans="1:23" s="49" customFormat="1" ht="12.75" customHeight="1">
      <c r="A57" s="44" t="s">
        <v>77</v>
      </c>
      <c r="C57" s="44" t="s">
        <v>43</v>
      </c>
      <c r="D57" s="35"/>
      <c r="E57" s="45">
        <v>52567000</v>
      </c>
      <c r="F57" s="45"/>
      <c r="G57" s="45">
        <v>487243000</v>
      </c>
      <c r="H57" s="45"/>
      <c r="I57" s="45">
        <v>0</v>
      </c>
      <c r="J57" s="45"/>
      <c r="K57" s="45">
        <v>55401000</v>
      </c>
      <c r="L57" s="45"/>
      <c r="M57" s="45">
        <v>49619000</v>
      </c>
      <c r="N57" s="45"/>
      <c r="O57" s="45">
        <v>0</v>
      </c>
      <c r="P57" s="45"/>
      <c r="Q57" s="45">
        <f>9958000+19376000</f>
        <v>29334000</v>
      </c>
      <c r="R57" s="45"/>
      <c r="S57" s="44">
        <f t="shared" si="0"/>
        <v>14569000</v>
      </c>
      <c r="T57" s="45"/>
      <c r="U57" s="45">
        <v>688733000</v>
      </c>
      <c r="V57" s="35"/>
      <c r="W57" s="45">
        <v>15582000</v>
      </c>
    </row>
    <row r="58" spans="1:23" s="49" customFormat="1" ht="12.75" customHeight="1">
      <c r="A58" s="44" t="s">
        <v>471</v>
      </c>
      <c r="B58" s="46"/>
      <c r="C58" s="46"/>
      <c r="D58" s="64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4"/>
      <c r="T58" s="45"/>
      <c r="U58" s="45"/>
      <c r="V58" s="35"/>
      <c r="W58" s="48" t="s">
        <v>484</v>
      </c>
    </row>
    <row r="59" spans="1:23" s="49" customFormat="1" ht="12.75" customHeight="1">
      <c r="A59" s="44" t="s">
        <v>94</v>
      </c>
      <c r="C59" s="44" t="s">
        <v>94</v>
      </c>
      <c r="D59" s="35"/>
      <c r="E59" s="94">
        <v>341131</v>
      </c>
      <c r="F59" s="94"/>
      <c r="G59" s="94">
        <v>0</v>
      </c>
      <c r="H59" s="94"/>
      <c r="I59" s="94">
        <v>0</v>
      </c>
      <c r="J59" s="94"/>
      <c r="K59" s="94">
        <v>57733</v>
      </c>
      <c r="L59" s="94"/>
      <c r="M59" s="94">
        <v>583931</v>
      </c>
      <c r="N59" s="94"/>
      <c r="O59" s="94">
        <v>0</v>
      </c>
      <c r="P59" s="94"/>
      <c r="Q59" s="94">
        <f>113562+31931</f>
        <v>145493</v>
      </c>
      <c r="R59" s="94"/>
      <c r="S59" s="46">
        <f t="shared" si="0"/>
        <v>177600</v>
      </c>
      <c r="T59" s="94"/>
      <c r="U59" s="94">
        <v>1305888</v>
      </c>
      <c r="V59" s="64"/>
      <c r="W59" s="94">
        <v>690000</v>
      </c>
    </row>
    <row r="60" spans="1:23" s="46" customFormat="1" ht="12.75" customHeight="1">
      <c r="A60" s="44" t="s">
        <v>78</v>
      </c>
      <c r="B60" s="49"/>
      <c r="C60" s="44" t="s">
        <v>19</v>
      </c>
      <c r="D60" s="35"/>
      <c r="E60" s="45">
        <v>375163</v>
      </c>
      <c r="F60" s="45"/>
      <c r="G60" s="45">
        <v>1943175</v>
      </c>
      <c r="H60" s="45"/>
      <c r="I60" s="45">
        <f>15925+125799</f>
        <v>141724</v>
      </c>
      <c r="J60" s="45"/>
      <c r="K60" s="45">
        <v>0</v>
      </c>
      <c r="L60" s="45"/>
      <c r="M60" s="45">
        <v>943457</v>
      </c>
      <c r="N60" s="45"/>
      <c r="O60" s="45">
        <v>369</v>
      </c>
      <c r="P60" s="45"/>
      <c r="Q60" s="45">
        <f>508477+189034</f>
        <v>697511</v>
      </c>
      <c r="R60" s="45"/>
      <c r="S60" s="44">
        <f t="shared" si="0"/>
        <v>66339</v>
      </c>
      <c r="T60" s="45"/>
      <c r="U60" s="45">
        <v>4167738</v>
      </c>
      <c r="V60" s="35"/>
      <c r="W60" s="45">
        <v>0</v>
      </c>
    </row>
    <row r="61" spans="1:23" s="49" customFormat="1" ht="12.75" customHeight="1">
      <c r="A61" s="44" t="s">
        <v>79</v>
      </c>
      <c r="C61" s="44" t="s">
        <v>80</v>
      </c>
      <c r="D61" s="35"/>
      <c r="E61" s="45">
        <v>501510</v>
      </c>
      <c r="F61" s="45"/>
      <c r="G61" s="45">
        <v>0</v>
      </c>
      <c r="H61" s="45"/>
      <c r="I61" s="45">
        <v>0</v>
      </c>
      <c r="J61" s="45"/>
      <c r="K61" s="45">
        <v>9179</v>
      </c>
      <c r="L61" s="45"/>
      <c r="M61" s="45">
        <v>348021</v>
      </c>
      <c r="N61" s="45"/>
      <c r="O61" s="45">
        <v>0</v>
      </c>
      <c r="P61" s="45"/>
      <c r="Q61" s="45">
        <f>136080+4014</f>
        <v>140094</v>
      </c>
      <c r="R61" s="45"/>
      <c r="S61" s="44">
        <f t="shared" si="0"/>
        <v>30081</v>
      </c>
      <c r="T61" s="45"/>
      <c r="U61" s="45">
        <v>1028885</v>
      </c>
      <c r="V61" s="35"/>
      <c r="W61" s="45">
        <v>0</v>
      </c>
    </row>
    <row r="62" spans="1:23" s="49" customFormat="1" ht="12.75" customHeight="1">
      <c r="A62" s="44" t="s">
        <v>81</v>
      </c>
      <c r="C62" s="44" t="s">
        <v>81</v>
      </c>
      <c r="D62" s="35"/>
      <c r="E62" s="45">
        <v>401736</v>
      </c>
      <c r="F62" s="45"/>
      <c r="G62" s="45">
        <v>2065444</v>
      </c>
      <c r="H62" s="45"/>
      <c r="I62" s="45">
        <v>47276</v>
      </c>
      <c r="J62" s="45"/>
      <c r="K62" s="45">
        <v>312419</v>
      </c>
      <c r="L62" s="45"/>
      <c r="M62" s="45">
        <v>1169683</v>
      </c>
      <c r="N62" s="45"/>
      <c r="O62" s="45">
        <v>0</v>
      </c>
      <c r="P62" s="45"/>
      <c r="Q62" s="45">
        <f>8242+2743</f>
        <v>10985</v>
      </c>
      <c r="R62" s="45"/>
      <c r="S62" s="44">
        <f t="shared" si="0"/>
        <v>158690</v>
      </c>
      <c r="T62" s="45"/>
      <c r="U62" s="45">
        <v>4166233</v>
      </c>
      <c r="V62" s="35"/>
      <c r="W62" s="45">
        <v>147765</v>
      </c>
    </row>
    <row r="63" spans="1:23" s="123" customFormat="1" ht="12.75" hidden="1" customHeight="1">
      <c r="A63" s="122" t="s">
        <v>465</v>
      </c>
      <c r="B63" s="122"/>
      <c r="C63" s="122" t="s">
        <v>57</v>
      </c>
      <c r="D63" s="126"/>
      <c r="E63" s="127">
        <v>0</v>
      </c>
      <c r="F63" s="127"/>
      <c r="G63" s="127">
        <v>0</v>
      </c>
      <c r="H63" s="127"/>
      <c r="I63" s="127">
        <v>0</v>
      </c>
      <c r="J63" s="127"/>
      <c r="K63" s="127">
        <v>0</v>
      </c>
      <c r="L63" s="127"/>
      <c r="M63" s="127">
        <v>0</v>
      </c>
      <c r="N63" s="127"/>
      <c r="O63" s="127">
        <v>0</v>
      </c>
      <c r="P63" s="127"/>
      <c r="Q63" s="127">
        <v>0</v>
      </c>
      <c r="R63" s="127"/>
      <c r="S63" s="121">
        <f t="shared" si="0"/>
        <v>0</v>
      </c>
      <c r="T63" s="127"/>
      <c r="U63" s="127">
        <v>0</v>
      </c>
      <c r="V63" s="126"/>
      <c r="W63" s="127">
        <v>0</v>
      </c>
    </row>
    <row r="64" spans="1:23" s="49" customFormat="1" ht="12.75" customHeight="1">
      <c r="A64" s="44" t="s">
        <v>82</v>
      </c>
      <c r="C64" s="44" t="s">
        <v>13</v>
      </c>
      <c r="D64" s="35"/>
      <c r="E64" s="45">
        <v>10104436</v>
      </c>
      <c r="F64" s="45"/>
      <c r="G64" s="45">
        <v>0</v>
      </c>
      <c r="H64" s="45"/>
      <c r="I64" s="45">
        <v>255081</v>
      </c>
      <c r="J64" s="45"/>
      <c r="K64" s="45">
        <v>3527113</v>
      </c>
      <c r="L64" s="45"/>
      <c r="M64" s="45">
        <f>4759088-97241</f>
        <v>4661847</v>
      </c>
      <c r="N64" s="45"/>
      <c r="O64" s="45">
        <v>0</v>
      </c>
      <c r="P64" s="45"/>
      <c r="Q64" s="45">
        <f>351355+200492</f>
        <v>551847</v>
      </c>
      <c r="R64" s="45"/>
      <c r="S64" s="44">
        <f t="shared" si="0"/>
        <v>489884</v>
      </c>
      <c r="T64" s="45"/>
      <c r="U64" s="45">
        <v>19590208</v>
      </c>
      <c r="V64" s="35"/>
      <c r="W64" s="45">
        <v>13432458</v>
      </c>
    </row>
    <row r="65" spans="1:24" s="49" customFormat="1" ht="12.75" customHeight="1">
      <c r="A65" s="44" t="s">
        <v>83</v>
      </c>
      <c r="C65" s="44" t="s">
        <v>66</v>
      </c>
      <c r="D65" s="35"/>
      <c r="E65" s="45">
        <v>8933194</v>
      </c>
      <c r="F65" s="45"/>
      <c r="G65" s="45">
        <v>98824027</v>
      </c>
      <c r="H65" s="45"/>
      <c r="I65" s="45">
        <v>14456090</v>
      </c>
      <c r="J65" s="45"/>
      <c r="K65" s="45">
        <v>25345718</v>
      </c>
      <c r="L65" s="45"/>
      <c r="M65" s="45">
        <v>1013517</v>
      </c>
      <c r="N65" s="45"/>
      <c r="O65" s="45">
        <v>156559</v>
      </c>
      <c r="P65" s="45"/>
      <c r="Q65" s="45">
        <f>1189378+1451898</f>
        <v>2641276</v>
      </c>
      <c r="R65" s="45"/>
      <c r="S65" s="44">
        <f t="shared" si="0"/>
        <v>4541564</v>
      </c>
      <c r="T65" s="45"/>
      <c r="U65" s="45">
        <v>155911945</v>
      </c>
      <c r="V65" s="35"/>
      <c r="W65" s="45">
        <v>69863</v>
      </c>
    </row>
    <row r="66" spans="1:24" s="46" customFormat="1" ht="12.75" customHeight="1">
      <c r="A66" s="44" t="s">
        <v>84</v>
      </c>
      <c r="B66" s="49"/>
      <c r="C66" s="44" t="s">
        <v>45</v>
      </c>
      <c r="D66" s="35"/>
      <c r="E66" s="45">
        <v>2229088</v>
      </c>
      <c r="F66" s="45"/>
      <c r="G66" s="45">
        <v>0</v>
      </c>
      <c r="H66" s="45"/>
      <c r="I66" s="45">
        <v>0</v>
      </c>
      <c r="J66" s="45"/>
      <c r="K66" s="45">
        <v>76285</v>
      </c>
      <c r="L66" s="45"/>
      <c r="M66" s="45">
        <v>435963</v>
      </c>
      <c r="N66" s="45"/>
      <c r="O66" s="45">
        <v>0</v>
      </c>
      <c r="P66" s="45"/>
      <c r="Q66" s="45">
        <v>87944</v>
      </c>
      <c r="R66" s="45"/>
      <c r="S66" s="44">
        <f t="shared" ref="S66" si="1">U66-E66-G66-K66-M66-O66-Q66-I66</f>
        <v>6491</v>
      </c>
      <c r="T66" s="45"/>
      <c r="U66" s="45">
        <v>2835771</v>
      </c>
      <c r="V66" s="35"/>
      <c r="W66" s="45">
        <v>0</v>
      </c>
    </row>
    <row r="67" spans="1:24" s="49" customFormat="1" ht="12.75" customHeight="1">
      <c r="A67" s="44" t="s">
        <v>85</v>
      </c>
      <c r="C67" s="44" t="s">
        <v>85</v>
      </c>
      <c r="D67" s="35"/>
      <c r="E67" s="45">
        <v>547500</v>
      </c>
      <c r="F67" s="45"/>
      <c r="G67" s="45">
        <v>5339037</v>
      </c>
      <c r="H67" s="45"/>
      <c r="I67" s="45">
        <v>0</v>
      </c>
      <c r="J67" s="45"/>
      <c r="K67" s="45">
        <v>694839</v>
      </c>
      <c r="L67" s="45"/>
      <c r="M67" s="45">
        <v>975877</v>
      </c>
      <c r="N67" s="45"/>
      <c r="O67" s="45">
        <v>0</v>
      </c>
      <c r="P67" s="45"/>
      <c r="Q67" s="45">
        <f>124110+573556</f>
        <v>697666</v>
      </c>
      <c r="R67" s="45"/>
      <c r="S67" s="44">
        <f>U67-E67-G67-K67-M67-O67-Q67-I67</f>
        <v>226016</v>
      </c>
      <c r="T67" s="45"/>
      <c r="U67" s="45">
        <v>8480935</v>
      </c>
      <c r="V67" s="35"/>
      <c r="W67" s="44">
        <v>0</v>
      </c>
    </row>
    <row r="68" spans="1:24" s="49" customFormat="1" ht="12.75" customHeight="1">
      <c r="A68" s="44" t="s">
        <v>86</v>
      </c>
      <c r="C68" s="44" t="s">
        <v>86</v>
      </c>
      <c r="D68" s="35"/>
      <c r="E68" s="45">
        <v>1354383</v>
      </c>
      <c r="F68" s="45"/>
      <c r="G68" s="45">
        <v>10078590</v>
      </c>
      <c r="H68" s="45"/>
      <c r="I68" s="45">
        <v>54465</v>
      </c>
      <c r="J68" s="45"/>
      <c r="K68" s="45">
        <v>980732</v>
      </c>
      <c r="L68" s="45"/>
      <c r="M68" s="45">
        <v>2530991</v>
      </c>
      <c r="N68" s="45"/>
      <c r="O68" s="45">
        <v>0</v>
      </c>
      <c r="P68" s="45"/>
      <c r="Q68" s="45">
        <f>716014+59268</f>
        <v>775282</v>
      </c>
      <c r="R68" s="45"/>
      <c r="S68" s="44">
        <f t="shared" ref="S68:S125" si="2">U68-E68-G68-K68-M68-O68-Q68-I68</f>
        <v>410800</v>
      </c>
      <c r="T68" s="45"/>
      <c r="U68" s="45">
        <v>16185243</v>
      </c>
      <c r="V68" s="35"/>
      <c r="W68" s="45">
        <f>10988+2492</f>
        <v>13480</v>
      </c>
    </row>
    <row r="69" spans="1:24" s="49" customFormat="1" ht="12.75" customHeight="1">
      <c r="A69" s="46" t="s">
        <v>87</v>
      </c>
      <c r="B69" s="46"/>
      <c r="C69" s="46" t="s">
        <v>88</v>
      </c>
      <c r="D69" s="64"/>
      <c r="E69" s="45">
        <v>324613</v>
      </c>
      <c r="F69" s="45"/>
      <c r="G69" s="45">
        <v>1593492</v>
      </c>
      <c r="H69" s="45"/>
      <c r="I69" s="45">
        <v>0</v>
      </c>
      <c r="J69" s="45"/>
      <c r="K69" s="45">
        <v>400235</v>
      </c>
      <c r="L69" s="45"/>
      <c r="M69" s="45">
        <v>619269</v>
      </c>
      <c r="N69" s="45"/>
      <c r="O69" s="45">
        <v>0</v>
      </c>
      <c r="P69" s="45"/>
      <c r="Q69" s="45">
        <v>87410</v>
      </c>
      <c r="R69" s="45"/>
      <c r="S69" s="44">
        <f t="shared" si="2"/>
        <v>121361</v>
      </c>
      <c r="T69" s="45"/>
      <c r="U69" s="45">
        <v>3146380</v>
      </c>
      <c r="V69" s="35"/>
      <c r="W69" s="45">
        <v>0</v>
      </c>
    </row>
    <row r="70" spans="1:24" s="49" customFormat="1" ht="12.75" customHeight="1">
      <c r="A70" s="44" t="s">
        <v>394</v>
      </c>
      <c r="C70" s="44" t="s">
        <v>89</v>
      </c>
      <c r="D70" s="35"/>
      <c r="E70" s="45">
        <v>787830</v>
      </c>
      <c r="F70" s="45"/>
      <c r="G70" s="45">
        <v>3520457</v>
      </c>
      <c r="H70" s="45"/>
      <c r="I70" s="45">
        <v>0</v>
      </c>
      <c r="J70" s="45"/>
      <c r="K70" s="45">
        <v>813825</v>
      </c>
      <c r="L70" s="45"/>
      <c r="M70" s="45">
        <v>1599584</v>
      </c>
      <c r="N70" s="45"/>
      <c r="O70" s="45">
        <v>0</v>
      </c>
      <c r="P70" s="45"/>
      <c r="Q70" s="45">
        <v>49639</v>
      </c>
      <c r="R70" s="45"/>
      <c r="S70" s="44">
        <f t="shared" si="2"/>
        <v>167623</v>
      </c>
      <c r="T70" s="45"/>
      <c r="U70" s="45">
        <v>6938958</v>
      </c>
      <c r="V70" s="35"/>
      <c r="W70" s="45">
        <v>0</v>
      </c>
      <c r="X70" s="46"/>
    </row>
    <row r="71" spans="1:24" s="49" customFormat="1" ht="12.75" customHeight="1">
      <c r="A71" s="44" t="s">
        <v>90</v>
      </c>
      <c r="C71" s="44" t="s">
        <v>43</v>
      </c>
      <c r="D71" s="35"/>
      <c r="E71" s="45">
        <v>0</v>
      </c>
      <c r="F71" s="45"/>
      <c r="G71" s="45">
        <v>49864696</v>
      </c>
      <c r="H71" s="45"/>
      <c r="I71" s="45">
        <v>0</v>
      </c>
      <c r="J71" s="45"/>
      <c r="K71" s="45">
        <v>864008</v>
      </c>
      <c r="L71" s="45"/>
      <c r="M71" s="45">
        <v>1688998</v>
      </c>
      <c r="N71" s="45"/>
      <c r="O71" s="45">
        <v>0</v>
      </c>
      <c r="P71" s="45"/>
      <c r="Q71" s="45">
        <v>1786600</v>
      </c>
      <c r="R71" s="45"/>
      <c r="S71" s="44">
        <f t="shared" si="2"/>
        <v>1129623</v>
      </c>
      <c r="T71" s="45"/>
      <c r="U71" s="45">
        <v>55333925</v>
      </c>
      <c r="V71" s="35"/>
      <c r="W71" s="45">
        <v>0</v>
      </c>
    </row>
    <row r="72" spans="1:24" s="129" customFormat="1" ht="12.75" hidden="1" customHeight="1">
      <c r="A72" s="122" t="s">
        <v>488</v>
      </c>
      <c r="B72" s="122"/>
      <c r="C72" s="122" t="s">
        <v>27</v>
      </c>
      <c r="D72" s="126"/>
      <c r="E72" s="127">
        <v>0</v>
      </c>
      <c r="F72" s="127"/>
      <c r="G72" s="127">
        <v>0</v>
      </c>
      <c r="H72" s="127"/>
      <c r="I72" s="127">
        <v>0</v>
      </c>
      <c r="J72" s="127"/>
      <c r="K72" s="127">
        <v>0</v>
      </c>
      <c r="L72" s="127"/>
      <c r="M72" s="127">
        <v>0</v>
      </c>
      <c r="N72" s="127"/>
      <c r="O72" s="127">
        <v>0</v>
      </c>
      <c r="P72" s="127"/>
      <c r="Q72" s="127">
        <v>0</v>
      </c>
      <c r="R72" s="127"/>
      <c r="S72" s="121">
        <f t="shared" si="2"/>
        <v>0</v>
      </c>
      <c r="T72" s="127"/>
      <c r="U72" s="127">
        <v>0</v>
      </c>
      <c r="V72" s="126"/>
      <c r="W72" s="127">
        <v>0</v>
      </c>
    </row>
    <row r="73" spans="1:24" s="49" customFormat="1" ht="12.75" customHeight="1">
      <c r="A73" s="44" t="s">
        <v>93</v>
      </c>
      <c r="B73" s="47"/>
      <c r="C73" s="44" t="s">
        <v>94</v>
      </c>
      <c r="D73" s="35"/>
      <c r="E73" s="45">
        <v>170728</v>
      </c>
      <c r="F73" s="45"/>
      <c r="G73" s="45">
        <v>2531678</v>
      </c>
      <c r="H73" s="45"/>
      <c r="I73" s="45">
        <v>0</v>
      </c>
      <c r="J73" s="45"/>
      <c r="K73" s="45">
        <v>0</v>
      </c>
      <c r="L73" s="45"/>
      <c r="M73" s="45">
        <v>378642</v>
      </c>
      <c r="N73" s="45"/>
      <c r="O73" s="45">
        <v>0</v>
      </c>
      <c r="P73" s="45"/>
      <c r="Q73" s="45">
        <f>536502+105256</f>
        <v>641758</v>
      </c>
      <c r="R73" s="45"/>
      <c r="S73" s="44">
        <f t="shared" si="2"/>
        <v>4694</v>
      </c>
      <c r="T73" s="45"/>
      <c r="U73" s="45">
        <v>3727500</v>
      </c>
      <c r="V73" s="35"/>
      <c r="W73" s="45">
        <v>0</v>
      </c>
    </row>
    <row r="74" spans="1:24" s="46" customFormat="1" ht="12.75" customHeight="1">
      <c r="A74" s="46" t="s">
        <v>95</v>
      </c>
      <c r="C74" s="46" t="s">
        <v>94</v>
      </c>
      <c r="D74" s="64"/>
      <c r="E74" s="45">
        <v>950018</v>
      </c>
      <c r="F74" s="45"/>
      <c r="G74" s="45">
        <v>0</v>
      </c>
      <c r="H74" s="45"/>
      <c r="I74" s="45">
        <v>0</v>
      </c>
      <c r="J74" s="45"/>
      <c r="K74" s="45">
        <v>263573</v>
      </c>
      <c r="L74" s="45"/>
      <c r="M74" s="45">
        <v>129111</v>
      </c>
      <c r="N74" s="45"/>
      <c r="O74" s="45">
        <v>0</v>
      </c>
      <c r="P74" s="45"/>
      <c r="Q74" s="45">
        <f>81505+6298</f>
        <v>87803</v>
      </c>
      <c r="R74" s="45"/>
      <c r="S74" s="44">
        <f t="shared" si="2"/>
        <v>69308</v>
      </c>
      <c r="T74" s="45"/>
      <c r="U74" s="45">
        <v>1499813</v>
      </c>
      <c r="V74" s="35"/>
      <c r="W74" s="45">
        <v>0</v>
      </c>
    </row>
    <row r="75" spans="1:24" s="49" customFormat="1" ht="12.75" hidden="1" customHeight="1">
      <c r="A75" s="44" t="s">
        <v>91</v>
      </c>
      <c r="C75" s="44" t="s">
        <v>92</v>
      </c>
      <c r="D75" s="35"/>
      <c r="E75" s="45">
        <v>0</v>
      </c>
      <c r="F75" s="45"/>
      <c r="G75" s="45">
        <v>0</v>
      </c>
      <c r="H75" s="45"/>
      <c r="I75" s="45">
        <v>0</v>
      </c>
      <c r="J75" s="45"/>
      <c r="K75" s="45">
        <v>0</v>
      </c>
      <c r="L75" s="45"/>
      <c r="M75" s="45">
        <v>0</v>
      </c>
      <c r="N75" s="45"/>
      <c r="O75" s="45">
        <v>0</v>
      </c>
      <c r="P75" s="45"/>
      <c r="Q75" s="45">
        <v>0</v>
      </c>
      <c r="R75" s="45"/>
      <c r="S75" s="44">
        <f t="shared" si="2"/>
        <v>0</v>
      </c>
      <c r="T75" s="45"/>
      <c r="U75" s="45">
        <v>0</v>
      </c>
      <c r="V75" s="35"/>
      <c r="W75" s="45">
        <v>0</v>
      </c>
    </row>
    <row r="76" spans="1:24" s="49" customFormat="1" ht="12.75" customHeight="1">
      <c r="A76" s="44" t="s">
        <v>96</v>
      </c>
      <c r="C76" s="44" t="s">
        <v>97</v>
      </c>
      <c r="D76" s="35"/>
      <c r="E76" s="45">
        <v>555171</v>
      </c>
      <c r="F76" s="45"/>
      <c r="G76" s="45">
        <v>945541</v>
      </c>
      <c r="H76" s="45"/>
      <c r="I76" s="45">
        <v>0</v>
      </c>
      <c r="J76" s="45"/>
      <c r="K76" s="45">
        <v>68950</v>
      </c>
      <c r="L76" s="45"/>
      <c r="M76" s="45">
        <v>615855</v>
      </c>
      <c r="N76" s="45"/>
      <c r="O76" s="45">
        <v>0</v>
      </c>
      <c r="P76" s="45"/>
      <c r="Q76" s="45">
        <f>95633+530992</f>
        <v>626625</v>
      </c>
      <c r="R76" s="45"/>
      <c r="S76" s="44">
        <f t="shared" si="2"/>
        <v>73390</v>
      </c>
      <c r="T76" s="45"/>
      <c r="U76" s="45">
        <v>2885532</v>
      </c>
      <c r="V76" s="35"/>
      <c r="W76" s="45">
        <v>0</v>
      </c>
    </row>
    <row r="77" spans="1:24" s="49" customFormat="1" ht="12.75" customHeight="1">
      <c r="A77" s="44" t="s">
        <v>98</v>
      </c>
      <c r="C77" s="44" t="s">
        <v>17</v>
      </c>
      <c r="D77" s="35"/>
      <c r="E77" s="45">
        <v>1330979</v>
      </c>
      <c r="F77" s="45"/>
      <c r="G77" s="45">
        <v>17584638</v>
      </c>
      <c r="H77" s="45"/>
      <c r="I77" s="45">
        <v>707350</v>
      </c>
      <c r="J77" s="45"/>
      <c r="K77" s="45">
        <v>1730309</v>
      </c>
      <c r="L77" s="45"/>
      <c r="M77" s="45">
        <v>3699802</v>
      </c>
      <c r="N77" s="45"/>
      <c r="O77" s="45">
        <v>15712</v>
      </c>
      <c r="P77" s="45"/>
      <c r="Q77" s="45">
        <f>424133+401136</f>
        <v>825269</v>
      </c>
      <c r="R77" s="45"/>
      <c r="S77" s="44">
        <f t="shared" si="2"/>
        <v>27106</v>
      </c>
      <c r="T77" s="45"/>
      <c r="U77" s="45">
        <v>25921165</v>
      </c>
      <c r="V77" s="35"/>
      <c r="W77" s="45">
        <v>200000</v>
      </c>
    </row>
    <row r="78" spans="1:24" s="49" customFormat="1" ht="12.75" customHeight="1">
      <c r="A78" s="44" t="s">
        <v>99</v>
      </c>
      <c r="C78" s="44" t="s">
        <v>66</v>
      </c>
      <c r="D78" s="35"/>
      <c r="E78" s="45">
        <v>812136</v>
      </c>
      <c r="F78" s="45"/>
      <c r="G78" s="45">
        <v>5908774</v>
      </c>
      <c r="H78" s="45"/>
      <c r="I78" s="45">
        <v>0</v>
      </c>
      <c r="J78" s="45"/>
      <c r="K78" s="45">
        <v>172852</v>
      </c>
      <c r="L78" s="45"/>
      <c r="M78" s="45">
        <v>711474</v>
      </c>
      <c r="N78" s="45"/>
      <c r="O78" s="45">
        <v>30075</v>
      </c>
      <c r="P78" s="45"/>
      <c r="Q78" s="45">
        <f>220+83052</f>
        <v>83272</v>
      </c>
      <c r="R78" s="45"/>
      <c r="S78" s="44">
        <f t="shared" si="2"/>
        <v>235850</v>
      </c>
      <c r="T78" s="45"/>
      <c r="U78" s="45">
        <v>7954433</v>
      </c>
      <c r="V78" s="35"/>
      <c r="W78" s="45">
        <v>670</v>
      </c>
    </row>
    <row r="79" spans="1:24" s="49" customFormat="1" ht="12.75" customHeight="1">
      <c r="A79" s="44" t="s">
        <v>100</v>
      </c>
      <c r="C79" s="44" t="s">
        <v>27</v>
      </c>
      <c r="D79" s="35"/>
      <c r="E79" s="45">
        <v>1608748</v>
      </c>
      <c r="F79" s="45"/>
      <c r="G79" s="45">
        <v>22165312</v>
      </c>
      <c r="H79" s="45"/>
      <c r="I79" s="45">
        <v>0</v>
      </c>
      <c r="J79" s="45"/>
      <c r="K79" s="45">
        <v>5662863</v>
      </c>
      <c r="L79" s="45"/>
      <c r="M79" s="45">
        <v>5514651</v>
      </c>
      <c r="N79" s="45"/>
      <c r="O79" s="45">
        <v>0</v>
      </c>
      <c r="P79" s="45"/>
      <c r="Q79" s="45">
        <f>148341+1593077</f>
        <v>1741418</v>
      </c>
      <c r="R79" s="45"/>
      <c r="S79" s="44">
        <f t="shared" si="2"/>
        <v>421853</v>
      </c>
      <c r="T79" s="45"/>
      <c r="U79" s="45">
        <v>37114845</v>
      </c>
      <c r="V79" s="35"/>
      <c r="W79" s="45">
        <f>110000+3876</f>
        <v>113876</v>
      </c>
    </row>
    <row r="80" spans="1:24" s="49" customFormat="1" ht="12.75" customHeight="1">
      <c r="A80" s="44" t="s">
        <v>101</v>
      </c>
      <c r="C80" s="44" t="s">
        <v>30</v>
      </c>
      <c r="D80" s="35"/>
      <c r="E80" s="45">
        <v>1639047</v>
      </c>
      <c r="F80" s="45"/>
      <c r="G80" s="45">
        <v>7640379</v>
      </c>
      <c r="H80" s="45"/>
      <c r="I80" s="45">
        <v>654225</v>
      </c>
      <c r="J80" s="45"/>
      <c r="K80" s="45">
        <v>2748052</v>
      </c>
      <c r="L80" s="45"/>
      <c r="M80" s="45">
        <v>2258933</v>
      </c>
      <c r="N80" s="45"/>
      <c r="O80" s="45">
        <v>0</v>
      </c>
      <c r="P80" s="45"/>
      <c r="Q80" s="45">
        <v>1200685</v>
      </c>
      <c r="R80" s="45"/>
      <c r="S80" s="44">
        <f t="shared" si="2"/>
        <v>226900</v>
      </c>
      <c r="T80" s="45"/>
      <c r="U80" s="45">
        <v>16368221</v>
      </c>
      <c r="V80" s="35"/>
      <c r="W80" s="45">
        <f>3640+203700</f>
        <v>207340</v>
      </c>
    </row>
    <row r="81" spans="1:23" s="49" customFormat="1" ht="12.75" customHeight="1">
      <c r="A81" s="44" t="s">
        <v>102</v>
      </c>
      <c r="C81" s="44" t="s">
        <v>103</v>
      </c>
      <c r="D81" s="35"/>
      <c r="E81" s="45">
        <v>18311333</v>
      </c>
      <c r="F81" s="45"/>
      <c r="G81" s="45">
        <v>22165312</v>
      </c>
      <c r="H81" s="45"/>
      <c r="I81" s="45">
        <v>0</v>
      </c>
      <c r="J81" s="45"/>
      <c r="K81" s="45">
        <v>660289</v>
      </c>
      <c r="L81" s="45"/>
      <c r="M81" s="45">
        <v>2257935</v>
      </c>
      <c r="N81" s="45"/>
      <c r="O81" s="45">
        <v>19631</v>
      </c>
      <c r="P81" s="45"/>
      <c r="Q81" s="45">
        <v>1417664</v>
      </c>
      <c r="R81" s="45"/>
      <c r="S81" s="44">
        <f t="shared" si="2"/>
        <v>-21598876</v>
      </c>
      <c r="T81" s="45"/>
      <c r="U81" s="45">
        <v>23233288</v>
      </c>
      <c r="V81" s="35"/>
      <c r="W81" s="45">
        <v>17115</v>
      </c>
    </row>
    <row r="82" spans="1:23" s="49" customFormat="1" ht="12.75" customHeight="1">
      <c r="A82" s="44" t="s">
        <v>104</v>
      </c>
      <c r="C82" s="44" t="s">
        <v>13</v>
      </c>
      <c r="D82" s="35"/>
      <c r="E82" s="45">
        <v>819090</v>
      </c>
      <c r="F82" s="45"/>
      <c r="G82" s="45">
        <v>6708686</v>
      </c>
      <c r="H82" s="45"/>
      <c r="I82" s="45">
        <v>0</v>
      </c>
      <c r="J82" s="45"/>
      <c r="K82" s="45">
        <v>364532</v>
      </c>
      <c r="L82" s="45"/>
      <c r="M82" s="45">
        <v>1367781</v>
      </c>
      <c r="N82" s="45"/>
      <c r="O82" s="45">
        <v>0</v>
      </c>
      <c r="P82" s="45"/>
      <c r="Q82" s="45">
        <f>210198+177787</f>
        <v>387985</v>
      </c>
      <c r="R82" s="45"/>
      <c r="S82" s="44">
        <f t="shared" si="2"/>
        <v>3104256</v>
      </c>
      <c r="T82" s="45"/>
      <c r="U82" s="45">
        <v>12752330</v>
      </c>
      <c r="V82" s="35"/>
      <c r="W82" s="45">
        <v>0</v>
      </c>
    </row>
    <row r="83" spans="1:23" s="49" customFormat="1" ht="12.75" customHeight="1">
      <c r="A83" s="44" t="s">
        <v>105</v>
      </c>
      <c r="C83" s="44" t="s">
        <v>27</v>
      </c>
      <c r="D83" s="35"/>
      <c r="E83" s="45">
        <v>2672416</v>
      </c>
      <c r="F83" s="45"/>
      <c r="G83" s="45">
        <v>4663957</v>
      </c>
      <c r="H83" s="45"/>
      <c r="I83" s="45">
        <v>0</v>
      </c>
      <c r="J83" s="45"/>
      <c r="K83" s="45">
        <v>528987</v>
      </c>
      <c r="L83" s="45"/>
      <c r="M83" s="45">
        <v>1961792</v>
      </c>
      <c r="N83" s="45"/>
      <c r="O83" s="45">
        <v>0</v>
      </c>
      <c r="P83" s="45"/>
      <c r="Q83" s="45">
        <v>0</v>
      </c>
      <c r="R83" s="45"/>
      <c r="S83" s="44">
        <f t="shared" si="2"/>
        <v>429661</v>
      </c>
      <c r="T83" s="45"/>
      <c r="U83" s="45">
        <v>10256813</v>
      </c>
      <c r="V83" s="35"/>
      <c r="W83" s="45">
        <v>5400</v>
      </c>
    </row>
    <row r="84" spans="1:23" s="49" customFormat="1" ht="12.75" customHeight="1">
      <c r="A84" s="44" t="s">
        <v>106</v>
      </c>
      <c r="C84" s="44" t="s">
        <v>107</v>
      </c>
      <c r="D84" s="35"/>
      <c r="E84" s="45">
        <v>2159097</v>
      </c>
      <c r="F84" s="45"/>
      <c r="G84" s="45">
        <v>0</v>
      </c>
      <c r="H84" s="45"/>
      <c r="I84" s="45">
        <v>0</v>
      </c>
      <c r="J84" s="45"/>
      <c r="K84" s="45">
        <v>321919</v>
      </c>
      <c r="L84" s="45"/>
      <c r="M84" s="45">
        <v>4987489</v>
      </c>
      <c r="N84" s="45"/>
      <c r="O84" s="45">
        <v>0</v>
      </c>
      <c r="P84" s="45"/>
      <c r="Q84" s="45">
        <f>321919+1199929</f>
        <v>1521848</v>
      </c>
      <c r="R84" s="45"/>
      <c r="S84" s="44">
        <f t="shared" si="2"/>
        <v>3003708</v>
      </c>
      <c r="T84" s="45"/>
      <c r="U84" s="45">
        <v>11994061</v>
      </c>
      <c r="V84" s="35"/>
      <c r="W84" s="45">
        <f>10797+16686577</f>
        <v>16697374</v>
      </c>
    </row>
    <row r="85" spans="1:23" s="49" customFormat="1" ht="12.75" customHeight="1">
      <c r="A85" s="44" t="s">
        <v>108</v>
      </c>
      <c r="C85" s="44" t="s">
        <v>45</v>
      </c>
      <c r="D85" s="35"/>
      <c r="E85" s="45">
        <v>8915521</v>
      </c>
      <c r="F85" s="45"/>
      <c r="G85" s="45">
        <v>0</v>
      </c>
      <c r="H85" s="45"/>
      <c r="I85" s="45">
        <v>0</v>
      </c>
      <c r="J85" s="45"/>
      <c r="K85" s="45">
        <v>94353</v>
      </c>
      <c r="L85" s="45"/>
      <c r="M85" s="45">
        <v>581551</v>
      </c>
      <c r="N85" s="45"/>
      <c r="O85" s="45">
        <v>10659</v>
      </c>
      <c r="P85" s="45"/>
      <c r="Q85" s="45">
        <v>271890</v>
      </c>
      <c r="R85" s="45"/>
      <c r="S85" s="44">
        <f t="shared" si="2"/>
        <v>176466</v>
      </c>
      <c r="T85" s="45"/>
      <c r="U85" s="45">
        <v>10050440</v>
      </c>
      <c r="V85" s="35"/>
      <c r="W85" s="45">
        <v>25000</v>
      </c>
    </row>
    <row r="86" spans="1:23" s="44" customFormat="1" ht="12.75" customHeight="1">
      <c r="A86" s="44" t="s">
        <v>109</v>
      </c>
      <c r="C86" s="44" t="s">
        <v>110</v>
      </c>
      <c r="D86" s="35"/>
      <c r="E86" s="45">
        <v>644703</v>
      </c>
      <c r="F86" s="45"/>
      <c r="G86" s="45">
        <v>4599590</v>
      </c>
      <c r="H86" s="45"/>
      <c r="I86" s="45">
        <v>0</v>
      </c>
      <c r="J86" s="45"/>
      <c r="K86" s="45">
        <v>506754</v>
      </c>
      <c r="L86" s="45"/>
      <c r="M86" s="45">
        <v>702750</v>
      </c>
      <c r="N86" s="45"/>
      <c r="O86" s="45">
        <v>0</v>
      </c>
      <c r="P86" s="45"/>
      <c r="Q86" s="45">
        <f>22435+7694</f>
        <v>30129</v>
      </c>
      <c r="R86" s="45"/>
      <c r="S86" s="44">
        <f t="shared" si="2"/>
        <v>245871</v>
      </c>
      <c r="T86" s="45"/>
      <c r="U86" s="45">
        <v>6729797</v>
      </c>
      <c r="V86" s="35"/>
      <c r="W86" s="45">
        <v>2614</v>
      </c>
    </row>
    <row r="87" spans="1:23" s="49" customFormat="1" ht="12.75" customHeight="1">
      <c r="A87" s="44" t="s">
        <v>43</v>
      </c>
      <c r="C87" s="44" t="s">
        <v>111</v>
      </c>
      <c r="D87" s="35"/>
      <c r="E87" s="45">
        <v>390791</v>
      </c>
      <c r="F87" s="45"/>
      <c r="G87" s="45">
        <v>5844404</v>
      </c>
      <c r="H87" s="45"/>
      <c r="I87" s="45">
        <v>172307</v>
      </c>
      <c r="J87" s="45"/>
      <c r="K87" s="45">
        <v>103370</v>
      </c>
      <c r="L87" s="45"/>
      <c r="M87" s="45">
        <v>601961</v>
      </c>
      <c r="N87" s="45"/>
      <c r="O87" s="45">
        <v>0</v>
      </c>
      <c r="P87" s="45"/>
      <c r="Q87" s="45">
        <v>612176</v>
      </c>
      <c r="R87" s="45"/>
      <c r="S87" s="44">
        <f t="shared" si="2"/>
        <v>219544</v>
      </c>
      <c r="T87" s="45"/>
      <c r="U87" s="45">
        <v>7944553</v>
      </c>
      <c r="V87" s="35"/>
      <c r="W87" s="45">
        <v>197000</v>
      </c>
    </row>
    <row r="88" spans="1:23" s="49" customFormat="1" ht="12.75" customHeight="1">
      <c r="A88" s="44" t="s">
        <v>112</v>
      </c>
      <c r="C88" s="44" t="s">
        <v>76</v>
      </c>
      <c r="D88" s="35"/>
      <c r="E88" s="45">
        <v>844499</v>
      </c>
      <c r="F88" s="45"/>
      <c r="G88" s="45">
        <v>0</v>
      </c>
      <c r="H88" s="45"/>
      <c r="I88" s="45">
        <v>0</v>
      </c>
      <c r="J88" s="45"/>
      <c r="K88" s="45">
        <v>18985</v>
      </c>
      <c r="L88" s="45"/>
      <c r="M88" s="45">
        <v>1213885</v>
      </c>
      <c r="N88" s="45"/>
      <c r="O88" s="45">
        <v>0</v>
      </c>
      <c r="P88" s="45"/>
      <c r="Q88" s="45">
        <f>8152+233971</f>
        <v>242123</v>
      </c>
      <c r="R88" s="45"/>
      <c r="S88" s="44">
        <f t="shared" si="2"/>
        <v>205978</v>
      </c>
      <c r="T88" s="45"/>
      <c r="U88" s="45">
        <v>2525470</v>
      </c>
      <c r="V88" s="35"/>
      <c r="W88" s="45">
        <v>5510000</v>
      </c>
    </row>
    <row r="89" spans="1:23" s="49" customFormat="1" ht="12.75" customHeight="1">
      <c r="A89" s="44" t="s">
        <v>113</v>
      </c>
      <c r="C89" s="44" t="s">
        <v>43</v>
      </c>
      <c r="D89" s="35"/>
      <c r="E89" s="45">
        <v>1615358</v>
      </c>
      <c r="F89" s="45"/>
      <c r="G89" s="45">
        <v>13838380</v>
      </c>
      <c r="H89" s="45"/>
      <c r="I89" s="45">
        <v>901175</v>
      </c>
      <c r="J89" s="45"/>
      <c r="K89" s="45">
        <v>3542692</v>
      </c>
      <c r="L89" s="45"/>
      <c r="M89" s="45">
        <v>4091337</v>
      </c>
      <c r="N89" s="45"/>
      <c r="O89" s="45">
        <v>0</v>
      </c>
      <c r="P89" s="45"/>
      <c r="Q89" s="45">
        <f>313701+433818</f>
        <v>747519</v>
      </c>
      <c r="R89" s="45"/>
      <c r="S89" s="44">
        <f t="shared" si="2"/>
        <v>1165626</v>
      </c>
      <c r="T89" s="45"/>
      <c r="U89" s="45">
        <v>25902087</v>
      </c>
      <c r="V89" s="35"/>
      <c r="W89" s="45">
        <v>43957</v>
      </c>
    </row>
    <row r="90" spans="1:23" s="49" customFormat="1" ht="12.75" customHeight="1">
      <c r="A90" s="44" t="s">
        <v>489</v>
      </c>
      <c r="C90" s="44" t="s">
        <v>57</v>
      </c>
      <c r="D90" s="35"/>
      <c r="E90" s="45">
        <v>369422</v>
      </c>
      <c r="F90" s="45"/>
      <c r="G90" s="45">
        <v>1940434</v>
      </c>
      <c r="H90" s="45"/>
      <c r="I90" s="45">
        <v>460074</v>
      </c>
      <c r="J90" s="45"/>
      <c r="K90" s="45">
        <v>1042117</v>
      </c>
      <c r="L90" s="45"/>
      <c r="M90" s="45">
        <v>561148</v>
      </c>
      <c r="N90" s="45"/>
      <c r="O90" s="45">
        <v>0</v>
      </c>
      <c r="P90" s="45"/>
      <c r="Q90" s="45">
        <f>165934+21851</f>
        <v>187785</v>
      </c>
      <c r="R90" s="45"/>
      <c r="S90" s="44">
        <f t="shared" si="2"/>
        <v>42786</v>
      </c>
      <c r="T90" s="45"/>
      <c r="U90" s="45">
        <v>4603766</v>
      </c>
      <c r="V90" s="35"/>
      <c r="W90" s="45">
        <v>0</v>
      </c>
    </row>
    <row r="91" spans="1:23" s="49" customFormat="1" ht="12.75" customHeight="1">
      <c r="A91" s="44" t="s">
        <v>114</v>
      </c>
      <c r="C91" s="44" t="s">
        <v>27</v>
      </c>
      <c r="D91" s="35"/>
      <c r="E91" s="45">
        <v>8776523</v>
      </c>
      <c r="F91" s="45"/>
      <c r="G91" s="45">
        <v>6764220</v>
      </c>
      <c r="H91" s="45"/>
      <c r="I91" s="45">
        <v>0</v>
      </c>
      <c r="J91" s="45"/>
      <c r="K91" s="45">
        <v>2712993</v>
      </c>
      <c r="L91" s="45"/>
      <c r="M91" s="45">
        <v>3230585</v>
      </c>
      <c r="N91" s="45"/>
      <c r="O91" s="45">
        <v>0</v>
      </c>
      <c r="P91" s="45"/>
      <c r="Q91" s="45">
        <f>409288+1141775</f>
        <v>1551063</v>
      </c>
      <c r="R91" s="45"/>
      <c r="S91" s="44">
        <f t="shared" si="2"/>
        <v>496766</v>
      </c>
      <c r="T91" s="45"/>
      <c r="U91" s="45">
        <v>23532150</v>
      </c>
      <c r="V91" s="35"/>
      <c r="W91" s="45">
        <v>929671</v>
      </c>
    </row>
    <row r="92" spans="1:23" s="49" customFormat="1" ht="12.75" customHeight="1">
      <c r="A92" s="44" t="s">
        <v>115</v>
      </c>
      <c r="C92" s="44" t="s">
        <v>19</v>
      </c>
      <c r="D92" s="35"/>
      <c r="E92" s="45">
        <v>523272</v>
      </c>
      <c r="F92" s="45"/>
      <c r="G92" s="45">
        <v>2588397</v>
      </c>
      <c r="H92" s="45"/>
      <c r="I92" s="45">
        <v>0</v>
      </c>
      <c r="J92" s="45"/>
      <c r="K92" s="45">
        <v>275207</v>
      </c>
      <c r="L92" s="45"/>
      <c r="M92" s="45">
        <v>342577</v>
      </c>
      <c r="N92" s="45"/>
      <c r="O92" s="45">
        <v>0</v>
      </c>
      <c r="P92" s="45"/>
      <c r="Q92" s="45">
        <v>212665</v>
      </c>
      <c r="R92" s="45"/>
      <c r="S92" s="44">
        <f t="shared" si="2"/>
        <v>18171</v>
      </c>
      <c r="T92" s="45"/>
      <c r="U92" s="45">
        <v>3960289</v>
      </c>
      <c r="V92" s="35"/>
      <c r="W92" s="45">
        <v>0</v>
      </c>
    </row>
    <row r="93" spans="1:23" s="49" customFormat="1" ht="12.75" customHeight="1">
      <c r="A93" s="44" t="s">
        <v>116</v>
      </c>
      <c r="C93" s="44" t="s">
        <v>80</v>
      </c>
      <c r="D93" s="35"/>
      <c r="E93" s="45">
        <v>239559</v>
      </c>
      <c r="F93" s="45"/>
      <c r="G93" s="45">
        <v>2679041</v>
      </c>
      <c r="H93" s="45"/>
      <c r="I93" s="45">
        <v>0</v>
      </c>
      <c r="J93" s="45"/>
      <c r="K93" s="45">
        <v>0</v>
      </c>
      <c r="L93" s="45"/>
      <c r="M93" s="45">
        <v>398050</v>
      </c>
      <c r="N93" s="45"/>
      <c r="O93" s="45">
        <v>64</v>
      </c>
      <c r="P93" s="45"/>
      <c r="Q93" s="45">
        <f>205167+827876</f>
        <v>1033043</v>
      </c>
      <c r="R93" s="45"/>
      <c r="S93" s="44">
        <f t="shared" si="2"/>
        <v>121969</v>
      </c>
      <c r="T93" s="45"/>
      <c r="U93" s="45">
        <v>4471726</v>
      </c>
      <c r="V93" s="35"/>
      <c r="W93" s="45">
        <v>0</v>
      </c>
    </row>
    <row r="94" spans="1:23" s="49" customFormat="1" ht="12.75" customHeight="1">
      <c r="A94" s="44" t="s">
        <v>117</v>
      </c>
      <c r="C94" s="44" t="s">
        <v>43</v>
      </c>
      <c r="D94" s="35"/>
      <c r="E94" s="45">
        <v>1470348</v>
      </c>
      <c r="F94" s="45"/>
      <c r="G94" s="45">
        <v>4617126</v>
      </c>
      <c r="H94" s="45"/>
      <c r="I94" s="45">
        <v>0</v>
      </c>
      <c r="J94" s="45"/>
      <c r="K94" s="45">
        <v>919255</v>
      </c>
      <c r="L94" s="45"/>
      <c r="M94" s="45">
        <v>1027701</v>
      </c>
      <c r="N94" s="45"/>
      <c r="O94" s="45">
        <v>0</v>
      </c>
      <c r="P94" s="45"/>
      <c r="Q94" s="45">
        <f>169856+110600</f>
        <v>280456</v>
      </c>
      <c r="R94" s="45"/>
      <c r="S94" s="44">
        <f t="shared" si="2"/>
        <v>141602</v>
      </c>
      <c r="T94" s="45"/>
      <c r="U94" s="45">
        <v>8456488</v>
      </c>
      <c r="V94" s="35"/>
      <c r="W94" s="45">
        <v>0</v>
      </c>
    </row>
    <row r="95" spans="1:23" s="49" customFormat="1" ht="12.75" customHeight="1">
      <c r="A95" s="44" t="s">
        <v>118</v>
      </c>
      <c r="C95" s="44" t="s">
        <v>13</v>
      </c>
      <c r="D95" s="35"/>
      <c r="E95" s="45">
        <v>1508806</v>
      </c>
      <c r="F95" s="45"/>
      <c r="G95" s="45">
        <v>15992617</v>
      </c>
      <c r="H95" s="45"/>
      <c r="I95" s="45">
        <v>373103</v>
      </c>
      <c r="J95" s="45"/>
      <c r="K95" s="45">
        <v>0</v>
      </c>
      <c r="L95" s="45"/>
      <c r="M95" s="45">
        <v>1442671</v>
      </c>
      <c r="N95" s="45"/>
      <c r="O95" s="45">
        <v>0</v>
      </c>
      <c r="P95" s="45"/>
      <c r="Q95" s="45">
        <f>203129+28814</f>
        <v>231943</v>
      </c>
      <c r="R95" s="45"/>
      <c r="S95" s="44">
        <f t="shared" si="2"/>
        <v>712103</v>
      </c>
      <c r="T95" s="45"/>
      <c r="U95" s="45">
        <v>20261243</v>
      </c>
      <c r="V95" s="35"/>
      <c r="W95" s="45">
        <f>165892+1320832</f>
        <v>1486724</v>
      </c>
    </row>
    <row r="96" spans="1:23" s="49" customFormat="1" ht="12.75" customHeight="1">
      <c r="A96" s="44" t="s">
        <v>120</v>
      </c>
      <c r="C96" s="44" t="s">
        <v>121</v>
      </c>
      <c r="D96" s="35"/>
      <c r="E96" s="45">
        <v>1367505</v>
      </c>
      <c r="F96" s="45"/>
      <c r="G96" s="45">
        <v>5528801</v>
      </c>
      <c r="H96" s="45"/>
      <c r="I96" s="45">
        <v>0</v>
      </c>
      <c r="J96" s="45"/>
      <c r="K96" s="45">
        <v>40395</v>
      </c>
      <c r="L96" s="45"/>
      <c r="M96" s="45">
        <v>846861</v>
      </c>
      <c r="N96" s="45"/>
      <c r="O96" s="45">
        <v>13225</v>
      </c>
      <c r="P96" s="45"/>
      <c r="Q96" s="45">
        <f>102079+112698</f>
        <v>214777</v>
      </c>
      <c r="R96" s="45"/>
      <c r="S96" s="44">
        <f t="shared" si="2"/>
        <v>113657</v>
      </c>
      <c r="T96" s="45"/>
      <c r="U96" s="45">
        <v>8125221</v>
      </c>
      <c r="V96" s="35"/>
      <c r="W96" s="45">
        <v>0</v>
      </c>
    </row>
    <row r="97" spans="1:23" s="49" customFormat="1" ht="12.75" customHeight="1">
      <c r="A97" s="44" t="s">
        <v>122</v>
      </c>
      <c r="C97" s="44" t="s">
        <v>43</v>
      </c>
      <c r="D97" s="35"/>
      <c r="E97" s="45">
        <v>1048879</v>
      </c>
      <c r="F97" s="45"/>
      <c r="G97" s="45">
        <v>17569012</v>
      </c>
      <c r="H97" s="45"/>
      <c r="I97" s="45">
        <v>894654</v>
      </c>
      <c r="J97" s="45"/>
      <c r="K97" s="45">
        <v>185754</v>
      </c>
      <c r="L97" s="45"/>
      <c r="M97" s="45">
        <v>6587375</v>
      </c>
      <c r="N97" s="45"/>
      <c r="O97" s="45">
        <v>51290</v>
      </c>
      <c r="P97" s="45"/>
      <c r="Q97" s="45">
        <f>474343+332239</f>
        <v>806582</v>
      </c>
      <c r="R97" s="45"/>
      <c r="S97" s="44">
        <f t="shared" si="2"/>
        <v>845863</v>
      </c>
      <c r="T97" s="45"/>
      <c r="U97" s="45">
        <v>27989409</v>
      </c>
      <c r="V97" s="35"/>
      <c r="W97" s="45">
        <v>25196</v>
      </c>
    </row>
    <row r="98" spans="1:23" s="49" customFormat="1" ht="12.75" customHeight="1">
      <c r="A98" s="44" t="s">
        <v>45</v>
      </c>
      <c r="C98" s="44" t="s">
        <v>103</v>
      </c>
      <c r="D98" s="35"/>
      <c r="E98" s="45">
        <v>6005841</v>
      </c>
      <c r="F98" s="45"/>
      <c r="G98" s="45">
        <v>17060639</v>
      </c>
      <c r="H98" s="45"/>
      <c r="I98" s="45">
        <v>0</v>
      </c>
      <c r="J98" s="45"/>
      <c r="K98" s="45">
        <v>2870523</v>
      </c>
      <c r="L98" s="45"/>
      <c r="M98" s="45">
        <v>5304002</v>
      </c>
      <c r="N98" s="45"/>
      <c r="O98" s="45">
        <v>0</v>
      </c>
      <c r="P98" s="45"/>
      <c r="Q98" s="45">
        <f>658022+765615</f>
        <v>1423637</v>
      </c>
      <c r="R98" s="45"/>
      <c r="S98" s="44">
        <f t="shared" si="2"/>
        <v>408192</v>
      </c>
      <c r="T98" s="45"/>
      <c r="U98" s="45">
        <v>33072834</v>
      </c>
      <c r="V98" s="35"/>
      <c r="W98" s="45">
        <v>811025</v>
      </c>
    </row>
    <row r="99" spans="1:23" s="49" customFormat="1" ht="12.75" customHeight="1">
      <c r="A99" s="44" t="s">
        <v>123</v>
      </c>
      <c r="C99" s="44" t="s">
        <v>45</v>
      </c>
      <c r="D99" s="35"/>
      <c r="E99" s="45">
        <v>1112413</v>
      </c>
      <c r="F99" s="45"/>
      <c r="G99" s="45">
        <v>2927922</v>
      </c>
      <c r="H99" s="45"/>
      <c r="I99" s="45">
        <v>0</v>
      </c>
      <c r="J99" s="45"/>
      <c r="K99" s="45">
        <v>0</v>
      </c>
      <c r="L99" s="45"/>
      <c r="M99" s="45">
        <v>796346</v>
      </c>
      <c r="N99" s="45"/>
      <c r="O99" s="45">
        <v>0</v>
      </c>
      <c r="P99" s="45"/>
      <c r="Q99" s="45">
        <f>229666+177223</f>
        <v>406889</v>
      </c>
      <c r="R99" s="45"/>
      <c r="S99" s="44">
        <f t="shared" si="2"/>
        <v>97663</v>
      </c>
      <c r="T99" s="45"/>
      <c r="U99" s="45">
        <v>5341233</v>
      </c>
      <c r="V99" s="35"/>
      <c r="W99" s="45">
        <v>0</v>
      </c>
    </row>
    <row r="100" spans="1:23" s="49" customFormat="1" ht="12.75" customHeight="1">
      <c r="A100" s="44" t="s">
        <v>124</v>
      </c>
      <c r="C100" s="44" t="s">
        <v>125</v>
      </c>
      <c r="D100" s="35"/>
      <c r="E100" s="45">
        <v>5069187</v>
      </c>
      <c r="F100" s="45"/>
      <c r="G100" s="45">
        <v>0</v>
      </c>
      <c r="H100" s="45"/>
      <c r="I100" s="45">
        <v>0</v>
      </c>
      <c r="J100" s="45"/>
      <c r="K100" s="45">
        <v>395060</v>
      </c>
      <c r="L100" s="45"/>
      <c r="M100" s="45">
        <v>773167</v>
      </c>
      <c r="N100" s="45"/>
      <c r="O100" s="45">
        <v>0</v>
      </c>
      <c r="P100" s="45"/>
      <c r="Q100" s="45">
        <f>40464+158364</f>
        <v>198828</v>
      </c>
      <c r="R100" s="45"/>
      <c r="S100" s="44">
        <f t="shared" si="2"/>
        <v>135969</v>
      </c>
      <c r="T100" s="45"/>
      <c r="U100" s="45">
        <v>6572211</v>
      </c>
      <c r="V100" s="35"/>
      <c r="W100" s="45">
        <v>0</v>
      </c>
    </row>
    <row r="101" spans="1:23" s="49" customFormat="1" ht="12.75" customHeight="1">
      <c r="A101" s="44" t="s">
        <v>126</v>
      </c>
      <c r="C101" s="44" t="s">
        <v>27</v>
      </c>
      <c r="D101" s="35"/>
      <c r="E101" s="45">
        <v>758573</v>
      </c>
      <c r="F101" s="45"/>
      <c r="G101" s="45">
        <v>9254887</v>
      </c>
      <c r="H101" s="45"/>
      <c r="I101" s="45">
        <v>35579</v>
      </c>
      <c r="J101" s="45"/>
      <c r="K101" s="45">
        <v>332111</v>
      </c>
      <c r="L101" s="45"/>
      <c r="M101" s="45">
        <v>799945</v>
      </c>
      <c r="N101" s="45"/>
      <c r="O101" s="45">
        <v>2005</v>
      </c>
      <c r="P101" s="45"/>
      <c r="Q101" s="45">
        <v>376288</v>
      </c>
      <c r="R101" s="45"/>
      <c r="S101" s="44">
        <f t="shared" si="2"/>
        <v>160159</v>
      </c>
      <c r="T101" s="45"/>
      <c r="U101" s="45">
        <v>11719547</v>
      </c>
      <c r="V101" s="35"/>
      <c r="W101" s="45">
        <v>9404</v>
      </c>
    </row>
    <row r="102" spans="1:23" s="49" customFormat="1" ht="12.75" customHeight="1">
      <c r="A102" s="44" t="s">
        <v>127</v>
      </c>
      <c r="C102" s="44" t="s">
        <v>43</v>
      </c>
      <c r="D102" s="35"/>
      <c r="E102" s="45">
        <v>1936497</v>
      </c>
      <c r="F102" s="45"/>
      <c r="G102" s="45">
        <v>11404940</v>
      </c>
      <c r="H102" s="45"/>
      <c r="I102" s="45">
        <v>0</v>
      </c>
      <c r="J102" s="45"/>
      <c r="K102" s="45">
        <v>2353383</v>
      </c>
      <c r="L102" s="45"/>
      <c r="M102" s="45">
        <v>1290467</v>
      </c>
      <c r="N102" s="45"/>
      <c r="O102" s="45">
        <v>0</v>
      </c>
      <c r="P102" s="45"/>
      <c r="Q102" s="45">
        <f>831429+274588</f>
        <v>1106017</v>
      </c>
      <c r="R102" s="45"/>
      <c r="S102" s="44">
        <f t="shared" si="2"/>
        <v>197201</v>
      </c>
      <c r="T102" s="45"/>
      <c r="U102" s="45">
        <v>18288505</v>
      </c>
      <c r="V102" s="35"/>
      <c r="W102" s="45">
        <v>53767</v>
      </c>
    </row>
    <row r="103" spans="1:23" s="49" customFormat="1" ht="12.75" customHeight="1">
      <c r="A103" s="44" t="s">
        <v>128</v>
      </c>
      <c r="C103" s="44" t="s">
        <v>119</v>
      </c>
      <c r="D103" s="35"/>
      <c r="E103" s="45">
        <v>3069264</v>
      </c>
      <c r="F103" s="45"/>
      <c r="G103" s="45">
        <v>0</v>
      </c>
      <c r="H103" s="45"/>
      <c r="I103" s="45">
        <v>0</v>
      </c>
      <c r="J103" s="45"/>
      <c r="K103" s="45">
        <v>634500</v>
      </c>
      <c r="L103" s="45"/>
      <c r="M103" s="45">
        <v>387137</v>
      </c>
      <c r="N103" s="45"/>
      <c r="O103" s="45">
        <v>0</v>
      </c>
      <c r="P103" s="45"/>
      <c r="Q103" s="45">
        <f>13252+213425</f>
        <v>226677</v>
      </c>
      <c r="R103" s="45"/>
      <c r="S103" s="44">
        <f t="shared" si="2"/>
        <v>46661</v>
      </c>
      <c r="T103" s="45"/>
      <c r="U103" s="45">
        <v>4364239</v>
      </c>
      <c r="V103" s="35"/>
      <c r="W103" s="45">
        <v>89840</v>
      </c>
    </row>
    <row r="104" spans="1:23" s="49" customFormat="1" ht="12.75" customHeight="1">
      <c r="A104" s="44" t="s">
        <v>129</v>
      </c>
      <c r="C104" s="44" t="s">
        <v>80</v>
      </c>
      <c r="D104" s="35"/>
      <c r="E104" s="45">
        <v>282874</v>
      </c>
      <c r="F104" s="45"/>
      <c r="G104" s="45">
        <v>1936008</v>
      </c>
      <c r="H104" s="45"/>
      <c r="I104" s="45">
        <v>0</v>
      </c>
      <c r="J104" s="45"/>
      <c r="K104" s="45">
        <v>1226</v>
      </c>
      <c r="L104" s="45"/>
      <c r="M104" s="45">
        <v>216848</v>
      </c>
      <c r="N104" s="45"/>
      <c r="O104" s="45">
        <v>0</v>
      </c>
      <c r="P104" s="45"/>
      <c r="Q104" s="45">
        <f>107927+31074</f>
        <v>139001</v>
      </c>
      <c r="R104" s="45"/>
      <c r="S104" s="44">
        <f t="shared" si="2"/>
        <v>162038</v>
      </c>
      <c r="T104" s="45"/>
      <c r="U104" s="45">
        <v>2737995</v>
      </c>
      <c r="V104" s="35"/>
      <c r="W104" s="45">
        <v>0</v>
      </c>
    </row>
    <row r="105" spans="1:23" s="49" customFormat="1" ht="12.75" customHeight="1">
      <c r="A105" s="44" t="s">
        <v>130</v>
      </c>
      <c r="C105" s="44" t="s">
        <v>66</v>
      </c>
      <c r="D105" s="35"/>
      <c r="E105" s="45">
        <v>1565400</v>
      </c>
      <c r="F105" s="45"/>
      <c r="G105" s="45">
        <v>5231579</v>
      </c>
      <c r="H105" s="45"/>
      <c r="I105" s="45">
        <v>0</v>
      </c>
      <c r="J105" s="45"/>
      <c r="K105" s="45">
        <v>1192364</v>
      </c>
      <c r="L105" s="45"/>
      <c r="M105" s="45">
        <v>1387512</v>
      </c>
      <c r="N105" s="45"/>
      <c r="O105" s="45">
        <v>0</v>
      </c>
      <c r="P105" s="45"/>
      <c r="Q105" s="45">
        <v>206162</v>
      </c>
      <c r="R105" s="45"/>
      <c r="S105" s="44">
        <f t="shared" si="2"/>
        <v>395992</v>
      </c>
      <c r="T105" s="45"/>
      <c r="U105" s="45">
        <v>9979009</v>
      </c>
      <c r="V105" s="35"/>
      <c r="W105" s="45">
        <f>5192+53799</f>
        <v>58991</v>
      </c>
    </row>
    <row r="106" spans="1:23" s="46" customFormat="1" ht="12.75" customHeight="1">
      <c r="A106" s="44" t="s">
        <v>131</v>
      </c>
      <c r="B106" s="49"/>
      <c r="C106" s="44" t="s">
        <v>13</v>
      </c>
      <c r="D106" s="35"/>
      <c r="E106" s="45">
        <v>2419572</v>
      </c>
      <c r="F106" s="45"/>
      <c r="G106" s="45">
        <v>12319000</v>
      </c>
      <c r="H106" s="45"/>
      <c r="I106" s="45">
        <v>0</v>
      </c>
      <c r="J106" s="45"/>
      <c r="K106" s="45">
        <v>340480</v>
      </c>
      <c r="L106" s="45"/>
      <c r="M106" s="45">
        <v>3179703</v>
      </c>
      <c r="N106" s="45"/>
      <c r="O106" s="45">
        <v>51139</v>
      </c>
      <c r="P106" s="45"/>
      <c r="Q106" s="45">
        <v>69563</v>
      </c>
      <c r="R106" s="45"/>
      <c r="S106" s="44">
        <f t="shared" si="2"/>
        <v>1126609</v>
      </c>
      <c r="T106" s="45"/>
      <c r="U106" s="45">
        <v>19506066</v>
      </c>
      <c r="V106" s="35"/>
      <c r="W106" s="45">
        <v>20825</v>
      </c>
    </row>
    <row r="107" spans="1:23" s="46" customFormat="1" ht="12.75" customHeight="1">
      <c r="A107" s="44" t="s">
        <v>38</v>
      </c>
      <c r="B107" s="49"/>
      <c r="C107" s="44" t="s">
        <v>132</v>
      </c>
      <c r="D107" s="35"/>
      <c r="E107" s="45">
        <v>278171</v>
      </c>
      <c r="F107" s="45"/>
      <c r="G107" s="45">
        <v>2001129</v>
      </c>
      <c r="H107" s="45"/>
      <c r="I107" s="45">
        <v>0</v>
      </c>
      <c r="J107" s="45"/>
      <c r="K107" s="45">
        <v>642858</v>
      </c>
      <c r="L107" s="45"/>
      <c r="M107" s="45">
        <v>415968</v>
      </c>
      <c r="N107" s="45"/>
      <c r="O107" s="45">
        <v>0</v>
      </c>
      <c r="P107" s="45"/>
      <c r="Q107" s="45">
        <f>98940+315403</f>
        <v>414343</v>
      </c>
      <c r="R107" s="45"/>
      <c r="S107" s="44">
        <f t="shared" si="2"/>
        <v>144668</v>
      </c>
      <c r="T107" s="45"/>
      <c r="U107" s="45">
        <v>3897137</v>
      </c>
      <c r="V107" s="35"/>
      <c r="W107" s="45">
        <v>0</v>
      </c>
    </row>
    <row r="108" spans="1:23" s="49" customFormat="1" ht="12.75" customHeight="1">
      <c r="A108" s="44" t="s">
        <v>471</v>
      </c>
      <c r="C108" s="44"/>
      <c r="D108" s="3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4"/>
      <c r="T108" s="45"/>
      <c r="U108" s="45"/>
      <c r="V108" s="35"/>
      <c r="W108" s="48" t="s">
        <v>484</v>
      </c>
    </row>
    <row r="109" spans="1:23" s="49" customFormat="1" ht="12.75" customHeight="1">
      <c r="A109" s="44" t="s">
        <v>133</v>
      </c>
      <c r="C109" s="44" t="s">
        <v>27</v>
      </c>
      <c r="D109" s="35"/>
      <c r="E109" s="94">
        <v>859490</v>
      </c>
      <c r="F109" s="94"/>
      <c r="G109" s="94">
        <v>22251649</v>
      </c>
      <c r="H109" s="94"/>
      <c r="I109" s="94">
        <f>981164+15273</f>
        <v>996437</v>
      </c>
      <c r="J109" s="94"/>
      <c r="K109" s="94">
        <v>364168</v>
      </c>
      <c r="L109" s="94"/>
      <c r="M109" s="94">
        <v>1253182</v>
      </c>
      <c r="N109" s="94"/>
      <c r="O109" s="94">
        <v>0</v>
      </c>
      <c r="P109" s="94"/>
      <c r="Q109" s="94">
        <f>402891+421062</f>
        <v>823953</v>
      </c>
      <c r="R109" s="94"/>
      <c r="S109" s="46">
        <f t="shared" si="2"/>
        <v>681636</v>
      </c>
      <c r="T109" s="94"/>
      <c r="U109" s="94">
        <v>27230515</v>
      </c>
      <c r="V109" s="64"/>
      <c r="W109" s="94">
        <v>0</v>
      </c>
    </row>
    <row r="110" spans="1:23" s="49" customFormat="1" ht="12.75" customHeight="1">
      <c r="A110" s="44" t="s">
        <v>482</v>
      </c>
      <c r="C110" s="44" t="s">
        <v>45</v>
      </c>
      <c r="D110" s="35"/>
      <c r="E110" s="45">
        <v>835064</v>
      </c>
      <c r="F110" s="45"/>
      <c r="G110" s="45">
        <v>0</v>
      </c>
      <c r="H110" s="45"/>
      <c r="I110" s="45">
        <v>0</v>
      </c>
      <c r="J110" s="45"/>
      <c r="K110" s="45">
        <v>416649</v>
      </c>
      <c r="L110" s="45"/>
      <c r="M110" s="45">
        <v>4688492</v>
      </c>
      <c r="N110" s="45"/>
      <c r="O110" s="45">
        <v>0</v>
      </c>
      <c r="P110" s="45"/>
      <c r="Q110" s="45">
        <f>400+33908</f>
        <v>34308</v>
      </c>
      <c r="R110" s="45"/>
      <c r="S110" s="44">
        <f t="shared" si="2"/>
        <v>258060</v>
      </c>
      <c r="T110" s="45"/>
      <c r="U110" s="45">
        <v>6232573</v>
      </c>
      <c r="V110" s="35"/>
      <c r="W110" s="45">
        <v>3859107</v>
      </c>
    </row>
    <row r="111" spans="1:23" s="49" customFormat="1" ht="12.75" customHeight="1">
      <c r="A111" s="44" t="s">
        <v>136</v>
      </c>
      <c r="C111" s="44" t="s">
        <v>136</v>
      </c>
      <c r="D111" s="35"/>
      <c r="E111" s="45">
        <v>425219</v>
      </c>
      <c r="F111" s="45"/>
      <c r="G111" s="45">
        <v>0</v>
      </c>
      <c r="H111" s="45"/>
      <c r="I111" s="45">
        <v>669828</v>
      </c>
      <c r="J111" s="45"/>
      <c r="K111" s="45">
        <v>1854678</v>
      </c>
      <c r="L111" s="45"/>
      <c r="M111" s="45">
        <v>404607</v>
      </c>
      <c r="N111" s="45"/>
      <c r="O111" s="45">
        <v>0</v>
      </c>
      <c r="P111" s="45"/>
      <c r="Q111" s="45">
        <f>50910+91840</f>
        <v>142750</v>
      </c>
      <c r="R111" s="45"/>
      <c r="S111" s="44">
        <f t="shared" si="2"/>
        <v>485630</v>
      </c>
      <c r="T111" s="45"/>
      <c r="U111" s="45">
        <v>3982712</v>
      </c>
      <c r="V111" s="35"/>
      <c r="W111" s="45">
        <v>0</v>
      </c>
    </row>
    <row r="112" spans="1:23" s="49" customFormat="1" ht="12.75" customHeight="1">
      <c r="A112" s="44" t="s">
        <v>137</v>
      </c>
      <c r="C112" s="44" t="s">
        <v>22</v>
      </c>
      <c r="D112" s="35"/>
      <c r="E112" s="45">
        <v>1616692</v>
      </c>
      <c r="F112" s="45"/>
      <c r="G112" s="45">
        <v>0</v>
      </c>
      <c r="H112" s="45"/>
      <c r="I112" s="45">
        <v>0</v>
      </c>
      <c r="J112" s="45"/>
      <c r="K112" s="45">
        <v>1191232</v>
      </c>
      <c r="L112" s="45"/>
      <c r="M112" s="45">
        <v>2261702</v>
      </c>
      <c r="N112" s="45"/>
      <c r="O112" s="45">
        <v>0</v>
      </c>
      <c r="P112" s="45"/>
      <c r="Q112" s="45">
        <f>76814+198619</f>
        <v>275433</v>
      </c>
      <c r="R112" s="45"/>
      <c r="S112" s="44">
        <f t="shared" si="2"/>
        <v>218665</v>
      </c>
      <c r="T112" s="45"/>
      <c r="U112" s="45">
        <v>5563724</v>
      </c>
      <c r="V112" s="35"/>
      <c r="W112" s="45">
        <f>6365+2200000</f>
        <v>2206365</v>
      </c>
    </row>
    <row r="113" spans="1:23" s="49" customFormat="1" ht="12.75" hidden="1" customHeight="1">
      <c r="A113" s="44" t="s">
        <v>138</v>
      </c>
      <c r="C113" s="44" t="s">
        <v>139</v>
      </c>
      <c r="D113" s="35"/>
      <c r="E113" s="45">
        <v>0</v>
      </c>
      <c r="F113" s="45"/>
      <c r="G113" s="45">
        <v>0</v>
      </c>
      <c r="H113" s="45"/>
      <c r="I113" s="45">
        <v>0</v>
      </c>
      <c r="J113" s="45"/>
      <c r="K113" s="45">
        <v>0</v>
      </c>
      <c r="L113" s="45"/>
      <c r="M113" s="45">
        <v>0</v>
      </c>
      <c r="N113" s="45"/>
      <c r="O113" s="45">
        <v>0</v>
      </c>
      <c r="P113" s="45"/>
      <c r="Q113" s="45">
        <v>0</v>
      </c>
      <c r="R113" s="45"/>
      <c r="S113" s="44">
        <f t="shared" si="2"/>
        <v>0</v>
      </c>
      <c r="T113" s="45"/>
      <c r="U113" s="45">
        <v>0</v>
      </c>
      <c r="V113" s="35"/>
      <c r="W113" s="45">
        <v>0</v>
      </c>
    </row>
    <row r="114" spans="1:23" s="49" customFormat="1" ht="12.75" customHeight="1">
      <c r="A114" s="44" t="s">
        <v>140</v>
      </c>
      <c r="C114" s="44" t="s">
        <v>66</v>
      </c>
      <c r="D114" s="35"/>
      <c r="E114" s="45">
        <v>7579402</v>
      </c>
      <c r="F114" s="45"/>
      <c r="G114" s="45">
        <v>36417018</v>
      </c>
      <c r="H114" s="45"/>
      <c r="I114" s="45">
        <v>0</v>
      </c>
      <c r="J114" s="45"/>
      <c r="K114" s="45">
        <v>147385</v>
      </c>
      <c r="L114" s="45"/>
      <c r="M114" s="45">
        <v>1637842</v>
      </c>
      <c r="N114" s="45"/>
      <c r="O114" s="45">
        <v>410113</v>
      </c>
      <c r="P114" s="45"/>
      <c r="Q114" s="45">
        <f>483762+1379744</f>
        <v>1863506</v>
      </c>
      <c r="R114" s="45"/>
      <c r="S114" s="44">
        <f t="shared" si="2"/>
        <v>2786572</v>
      </c>
      <c r="T114" s="45"/>
      <c r="U114" s="45">
        <v>50841838</v>
      </c>
      <c r="V114" s="35"/>
      <c r="W114" s="45">
        <v>66511</v>
      </c>
    </row>
    <row r="115" spans="1:23" s="49" customFormat="1" ht="12.75" customHeight="1">
      <c r="A115" s="44" t="s">
        <v>478</v>
      </c>
      <c r="C115" s="44" t="s">
        <v>92</v>
      </c>
      <c r="D115" s="35"/>
      <c r="E115" s="45">
        <v>602013</v>
      </c>
      <c r="F115" s="45"/>
      <c r="G115" s="45">
        <v>2917190</v>
      </c>
      <c r="H115" s="45"/>
      <c r="I115" s="45">
        <v>0</v>
      </c>
      <c r="J115" s="45"/>
      <c r="K115" s="45">
        <v>133121</v>
      </c>
      <c r="L115" s="45"/>
      <c r="M115" s="45">
        <v>677096</v>
      </c>
      <c r="N115" s="45"/>
      <c r="O115" s="45">
        <v>0</v>
      </c>
      <c r="P115" s="45"/>
      <c r="Q115" s="45">
        <f>19638+20747</f>
        <v>40385</v>
      </c>
      <c r="R115" s="45"/>
      <c r="S115" s="44">
        <f t="shared" si="2"/>
        <v>237521</v>
      </c>
      <c r="T115" s="45"/>
      <c r="U115" s="45">
        <v>4607326</v>
      </c>
      <c r="V115" s="35"/>
      <c r="W115" s="45">
        <f>3750+135000+75000+92391</f>
        <v>306141</v>
      </c>
    </row>
    <row r="116" spans="1:23" s="46" customFormat="1" ht="12.75" customHeight="1">
      <c r="A116" s="44" t="s">
        <v>141</v>
      </c>
      <c r="B116" s="49"/>
      <c r="C116" s="44" t="s">
        <v>27</v>
      </c>
      <c r="D116" s="35"/>
      <c r="E116" s="45">
        <v>6907886</v>
      </c>
      <c r="F116" s="45"/>
      <c r="G116" s="45">
        <v>17850439</v>
      </c>
      <c r="H116" s="45"/>
      <c r="I116" s="45">
        <v>0</v>
      </c>
      <c r="J116" s="45"/>
      <c r="K116" s="45">
        <v>1084946</v>
      </c>
      <c r="L116" s="45"/>
      <c r="M116" s="45">
        <v>6884590</v>
      </c>
      <c r="N116" s="45"/>
      <c r="O116" s="45">
        <v>0</v>
      </c>
      <c r="P116" s="45"/>
      <c r="Q116" s="45">
        <f>1883518+1425460</f>
        <v>3308978</v>
      </c>
      <c r="R116" s="45"/>
      <c r="S116" s="44">
        <f t="shared" si="2"/>
        <v>119806</v>
      </c>
      <c r="T116" s="45"/>
      <c r="U116" s="45">
        <v>36156645</v>
      </c>
      <c r="V116" s="35"/>
      <c r="W116" s="45">
        <v>1155498</v>
      </c>
    </row>
    <row r="117" spans="1:23" s="129" customFormat="1" ht="12.75" hidden="1" customHeight="1">
      <c r="A117" s="121" t="s">
        <v>142</v>
      </c>
      <c r="C117" s="121" t="s">
        <v>102</v>
      </c>
      <c r="D117" s="126"/>
      <c r="E117" s="127">
        <v>0</v>
      </c>
      <c r="F117" s="127"/>
      <c r="G117" s="127">
        <v>0</v>
      </c>
      <c r="H117" s="127"/>
      <c r="I117" s="127">
        <v>0</v>
      </c>
      <c r="J117" s="127"/>
      <c r="K117" s="127">
        <v>0</v>
      </c>
      <c r="L117" s="127"/>
      <c r="M117" s="127">
        <v>0</v>
      </c>
      <c r="N117" s="127"/>
      <c r="O117" s="127">
        <v>0</v>
      </c>
      <c r="P117" s="127"/>
      <c r="Q117" s="127">
        <v>0</v>
      </c>
      <c r="R117" s="127"/>
      <c r="S117" s="121">
        <f t="shared" si="2"/>
        <v>0</v>
      </c>
      <c r="T117" s="127"/>
      <c r="U117" s="127">
        <v>0</v>
      </c>
      <c r="V117" s="126"/>
      <c r="W117" s="127">
        <v>0</v>
      </c>
    </row>
    <row r="118" spans="1:23" s="49" customFormat="1" ht="12.75" customHeight="1">
      <c r="A118" s="44" t="s">
        <v>143</v>
      </c>
      <c r="C118" s="44" t="s">
        <v>111</v>
      </c>
      <c r="D118" s="35"/>
      <c r="E118" s="45">
        <v>1206503</v>
      </c>
      <c r="F118" s="45"/>
      <c r="G118" s="45">
        <v>3239733</v>
      </c>
      <c r="H118" s="45"/>
      <c r="I118" s="45">
        <v>1307668</v>
      </c>
      <c r="J118" s="45"/>
      <c r="K118" s="45">
        <v>628958</v>
      </c>
      <c r="L118" s="45"/>
      <c r="M118" s="45">
        <v>1795285</v>
      </c>
      <c r="N118" s="45"/>
      <c r="O118" s="45">
        <v>0</v>
      </c>
      <c r="P118" s="45"/>
      <c r="Q118" s="45">
        <v>683650</v>
      </c>
      <c r="R118" s="45"/>
      <c r="S118" s="44">
        <f t="shared" si="2"/>
        <v>225105</v>
      </c>
      <c r="T118" s="45"/>
      <c r="U118" s="45">
        <v>9086902</v>
      </c>
      <c r="V118" s="35"/>
      <c r="W118" s="45">
        <f>6850+57495</f>
        <v>64345</v>
      </c>
    </row>
    <row r="119" spans="1:23" s="49" customFormat="1" ht="12.75" customHeight="1">
      <c r="A119" s="44" t="s">
        <v>144</v>
      </c>
      <c r="C119" s="44" t="s">
        <v>88</v>
      </c>
      <c r="D119" s="35"/>
      <c r="E119" s="45">
        <v>1387801</v>
      </c>
      <c r="F119" s="45"/>
      <c r="G119" s="45">
        <v>14750034</v>
      </c>
      <c r="H119" s="45"/>
      <c r="I119" s="45">
        <v>0</v>
      </c>
      <c r="J119" s="45"/>
      <c r="K119" s="45">
        <v>5310397</v>
      </c>
      <c r="L119" s="45"/>
      <c r="M119" s="45">
        <v>2940217</v>
      </c>
      <c r="N119" s="45"/>
      <c r="O119" s="45">
        <v>0</v>
      </c>
      <c r="P119" s="45"/>
      <c r="Q119" s="45">
        <f>757283+1004575</f>
        <v>1761858</v>
      </c>
      <c r="R119" s="45"/>
      <c r="S119" s="44">
        <f t="shared" si="2"/>
        <v>55533</v>
      </c>
      <c r="T119" s="45"/>
      <c r="U119" s="45">
        <v>26205840</v>
      </c>
      <c r="V119" s="35"/>
      <c r="W119" s="45">
        <v>764828</v>
      </c>
    </row>
    <row r="120" spans="1:23" s="49" customFormat="1" ht="12.75" customHeight="1">
      <c r="A120" s="44" t="s">
        <v>36</v>
      </c>
      <c r="C120" s="44" t="s">
        <v>145</v>
      </c>
      <c r="D120" s="35"/>
      <c r="E120" s="45">
        <v>217285</v>
      </c>
      <c r="F120" s="45"/>
      <c r="G120" s="45">
        <v>2375880</v>
      </c>
      <c r="H120" s="45"/>
      <c r="I120" s="45">
        <v>0</v>
      </c>
      <c r="J120" s="45"/>
      <c r="K120" s="45">
        <v>150401</v>
      </c>
      <c r="L120" s="45"/>
      <c r="M120" s="45">
        <v>525760</v>
      </c>
      <c r="N120" s="45"/>
      <c r="O120" s="45">
        <v>0</v>
      </c>
      <c r="P120" s="45"/>
      <c r="Q120" s="45">
        <v>57208</v>
      </c>
      <c r="R120" s="45"/>
      <c r="S120" s="44">
        <f t="shared" si="2"/>
        <v>73405</v>
      </c>
      <c r="T120" s="45"/>
      <c r="U120" s="45">
        <v>3399939</v>
      </c>
      <c r="V120" s="35"/>
      <c r="W120" s="45">
        <v>247576</v>
      </c>
    </row>
    <row r="121" spans="1:23" s="46" customFormat="1" ht="12.75" customHeight="1">
      <c r="A121" s="44" t="s">
        <v>146</v>
      </c>
      <c r="B121" s="49"/>
      <c r="C121" s="44" t="s">
        <v>147</v>
      </c>
      <c r="D121" s="35"/>
      <c r="E121" s="45">
        <v>3442731</v>
      </c>
      <c r="F121" s="45"/>
      <c r="G121" s="45">
        <v>0</v>
      </c>
      <c r="H121" s="45"/>
      <c r="I121" s="45">
        <v>0</v>
      </c>
      <c r="J121" s="45"/>
      <c r="K121" s="45">
        <v>233284</v>
      </c>
      <c r="L121" s="45"/>
      <c r="M121" s="45">
        <v>345851</v>
      </c>
      <c r="N121" s="45"/>
      <c r="O121" s="45">
        <v>9816</v>
      </c>
      <c r="P121" s="45"/>
      <c r="Q121" s="45">
        <v>112590</v>
      </c>
      <c r="R121" s="45"/>
      <c r="S121" s="44">
        <f t="shared" si="2"/>
        <v>63509</v>
      </c>
      <c r="T121" s="45"/>
      <c r="U121" s="45">
        <v>4207781</v>
      </c>
      <c r="V121" s="35"/>
      <c r="W121" s="45">
        <v>0</v>
      </c>
    </row>
    <row r="122" spans="1:23" s="49" customFormat="1" ht="12.75" customHeight="1">
      <c r="A122" s="44" t="s">
        <v>17</v>
      </c>
      <c r="C122" s="44" t="s">
        <v>17</v>
      </c>
      <c r="D122" s="35"/>
      <c r="E122" s="45">
        <v>2581689</v>
      </c>
      <c r="F122" s="45"/>
      <c r="G122" s="45">
        <v>1493002</v>
      </c>
      <c r="H122" s="45"/>
      <c r="I122" s="45">
        <v>0</v>
      </c>
      <c r="J122" s="45"/>
      <c r="K122" s="45">
        <v>777677</v>
      </c>
      <c r="L122" s="45"/>
      <c r="M122" s="45">
        <v>7898016</v>
      </c>
      <c r="N122" s="45"/>
      <c r="O122" s="45">
        <v>0</v>
      </c>
      <c r="P122" s="45"/>
      <c r="Q122" s="45">
        <f>835719+1376105</f>
        <v>2211824</v>
      </c>
      <c r="R122" s="45"/>
      <c r="S122" s="44">
        <f t="shared" si="2"/>
        <v>15317283</v>
      </c>
      <c r="T122" s="45"/>
      <c r="U122" s="45">
        <v>30279491</v>
      </c>
      <c r="V122" s="35"/>
      <c r="W122" s="45">
        <f>16716+300000+9697+50000</f>
        <v>376413</v>
      </c>
    </row>
    <row r="123" spans="1:23" s="49" customFormat="1" ht="12.75" customHeight="1">
      <c r="A123" s="44" t="s">
        <v>148</v>
      </c>
      <c r="C123" s="44" t="s">
        <v>15</v>
      </c>
      <c r="D123" s="35"/>
      <c r="E123" s="45">
        <v>467592</v>
      </c>
      <c r="F123" s="45"/>
      <c r="G123" s="45">
        <v>2491850</v>
      </c>
      <c r="H123" s="45"/>
      <c r="I123" s="45">
        <v>0</v>
      </c>
      <c r="J123" s="45"/>
      <c r="K123" s="45">
        <v>235554</v>
      </c>
      <c r="L123" s="45"/>
      <c r="M123" s="45">
        <v>366425</v>
      </c>
      <c r="N123" s="45"/>
      <c r="O123" s="45">
        <v>0</v>
      </c>
      <c r="P123" s="45"/>
      <c r="Q123" s="45">
        <f>95826+3699</f>
        <v>99525</v>
      </c>
      <c r="R123" s="45"/>
      <c r="S123" s="44">
        <f t="shared" si="2"/>
        <v>78303</v>
      </c>
      <c r="T123" s="45"/>
      <c r="U123" s="45">
        <v>3739249</v>
      </c>
      <c r="V123" s="35"/>
      <c r="W123" s="45">
        <v>0</v>
      </c>
    </row>
    <row r="124" spans="1:23" s="49" customFormat="1" ht="12.75" customHeight="1">
      <c r="A124" s="44" t="s">
        <v>149</v>
      </c>
      <c r="C124" s="44" t="s">
        <v>45</v>
      </c>
      <c r="D124" s="35"/>
      <c r="E124" s="45">
        <v>1013205</v>
      </c>
      <c r="F124" s="45"/>
      <c r="G124" s="45">
        <v>3483522</v>
      </c>
      <c r="H124" s="45"/>
      <c r="I124" s="45">
        <v>0</v>
      </c>
      <c r="J124" s="45"/>
      <c r="K124" s="45">
        <v>668500</v>
      </c>
      <c r="L124" s="45"/>
      <c r="M124" s="45">
        <v>821482</v>
      </c>
      <c r="N124" s="45"/>
      <c r="O124" s="45">
        <v>0</v>
      </c>
      <c r="P124" s="45"/>
      <c r="Q124" s="45">
        <f>81992+133548</f>
        <v>215540</v>
      </c>
      <c r="R124" s="45"/>
      <c r="S124" s="44">
        <f t="shared" si="2"/>
        <v>101658</v>
      </c>
      <c r="T124" s="45"/>
      <c r="U124" s="45">
        <v>6303907</v>
      </c>
      <c r="V124" s="35"/>
      <c r="W124" s="45">
        <v>0</v>
      </c>
    </row>
    <row r="125" spans="1:23" s="49" customFormat="1" ht="12.75" customHeight="1">
      <c r="A125" s="44" t="s">
        <v>150</v>
      </c>
      <c r="C125" s="44" t="s">
        <v>27</v>
      </c>
      <c r="D125" s="35"/>
      <c r="E125" s="45">
        <v>2806261</v>
      </c>
      <c r="F125" s="45"/>
      <c r="G125" s="45">
        <v>6164594</v>
      </c>
      <c r="H125" s="45"/>
      <c r="I125" s="45">
        <v>0</v>
      </c>
      <c r="J125" s="45"/>
      <c r="K125" s="45">
        <v>531591</v>
      </c>
      <c r="L125" s="45"/>
      <c r="M125" s="45">
        <v>2729797</v>
      </c>
      <c r="N125" s="45"/>
      <c r="O125" s="45">
        <v>0</v>
      </c>
      <c r="P125" s="45"/>
      <c r="Q125" s="45">
        <f>34602+1307745</f>
        <v>1342347</v>
      </c>
      <c r="R125" s="45"/>
      <c r="S125" s="44">
        <f t="shared" si="2"/>
        <v>282948</v>
      </c>
      <c r="T125" s="45"/>
      <c r="U125" s="45">
        <v>13857538</v>
      </c>
      <c r="V125" s="35"/>
      <c r="W125" s="45">
        <v>0</v>
      </c>
    </row>
    <row r="126" spans="1:23" s="49" customFormat="1" ht="12.75" customHeight="1">
      <c r="A126" s="44" t="s">
        <v>151</v>
      </c>
      <c r="C126" s="44" t="s">
        <v>13</v>
      </c>
      <c r="D126" s="35"/>
      <c r="E126" s="45">
        <v>1806294</v>
      </c>
      <c r="F126" s="45"/>
      <c r="G126" s="45">
        <v>5466417</v>
      </c>
      <c r="H126" s="45"/>
      <c r="I126" s="45">
        <v>0</v>
      </c>
      <c r="J126" s="45"/>
      <c r="K126" s="45">
        <v>687557</v>
      </c>
      <c r="L126" s="45"/>
      <c r="M126" s="45">
        <v>1289224</v>
      </c>
      <c r="N126" s="45"/>
      <c r="O126" s="45">
        <v>44113</v>
      </c>
      <c r="P126" s="45"/>
      <c r="Q126" s="45">
        <f>327398+399430</f>
        <v>726828</v>
      </c>
      <c r="R126" s="45"/>
      <c r="S126" s="44">
        <f>U126-E126-G126-K126-M126-O126-Q126-I126</f>
        <v>129421</v>
      </c>
      <c r="T126" s="45"/>
      <c r="U126" s="45">
        <v>10149854</v>
      </c>
      <c r="V126" s="35"/>
      <c r="W126" s="44">
        <v>250</v>
      </c>
    </row>
    <row r="127" spans="1:23" s="49" customFormat="1" ht="12.75" customHeight="1">
      <c r="A127" s="44" t="s">
        <v>481</v>
      </c>
      <c r="C127" s="44" t="s">
        <v>45</v>
      </c>
      <c r="D127" s="35"/>
      <c r="E127" s="45">
        <v>4206916</v>
      </c>
      <c r="F127" s="45"/>
      <c r="G127" s="45">
        <v>0</v>
      </c>
      <c r="H127" s="45"/>
      <c r="I127" s="45">
        <v>0</v>
      </c>
      <c r="J127" s="45"/>
      <c r="K127" s="45">
        <v>112748</v>
      </c>
      <c r="L127" s="45"/>
      <c r="M127" s="45">
        <v>1315507</v>
      </c>
      <c r="N127" s="45"/>
      <c r="O127" s="45">
        <v>0</v>
      </c>
      <c r="P127" s="45"/>
      <c r="Q127" s="45">
        <f>72382+103337</f>
        <v>175719</v>
      </c>
      <c r="R127" s="45"/>
      <c r="S127" s="44">
        <f t="shared" ref="S127:S183" si="3">U127-E127-G127-K127-M127-O127-Q127-I127</f>
        <v>261164</v>
      </c>
      <c r="T127" s="45"/>
      <c r="U127" s="45">
        <v>6072054</v>
      </c>
      <c r="V127" s="35"/>
      <c r="W127" s="45">
        <v>0</v>
      </c>
    </row>
    <row r="128" spans="1:23" s="49" customFormat="1" ht="12.75" customHeight="1">
      <c r="A128" s="44" t="s">
        <v>152</v>
      </c>
      <c r="C128" s="44" t="s">
        <v>153</v>
      </c>
      <c r="D128" s="35"/>
      <c r="E128" s="45">
        <v>2033052</v>
      </c>
      <c r="F128" s="45"/>
      <c r="G128" s="45">
        <v>365864</v>
      </c>
      <c r="H128" s="45"/>
      <c r="I128" s="45">
        <v>0</v>
      </c>
      <c r="J128" s="45"/>
      <c r="K128" s="45">
        <v>78639</v>
      </c>
      <c r="L128" s="45"/>
      <c r="M128" s="45">
        <v>3762864</v>
      </c>
      <c r="N128" s="45"/>
      <c r="O128" s="45">
        <v>49359</v>
      </c>
      <c r="P128" s="45"/>
      <c r="Q128" s="45">
        <f>516509+1805757</f>
        <v>2322266</v>
      </c>
      <c r="R128" s="45"/>
      <c r="S128" s="44">
        <f t="shared" si="3"/>
        <v>1079292</v>
      </c>
      <c r="T128" s="45"/>
      <c r="U128" s="45">
        <v>9691336</v>
      </c>
      <c r="V128" s="35"/>
      <c r="W128" s="45">
        <v>78538</v>
      </c>
    </row>
    <row r="129" spans="1:26" s="49" customFormat="1" ht="12" customHeight="1">
      <c r="A129" s="46" t="s">
        <v>154</v>
      </c>
      <c r="B129" s="46"/>
      <c r="C129" s="46" t="s">
        <v>27</v>
      </c>
      <c r="D129" s="64"/>
      <c r="E129" s="45">
        <v>2497770</v>
      </c>
      <c r="F129" s="45"/>
      <c r="G129" s="45">
        <v>0</v>
      </c>
      <c r="H129" s="45"/>
      <c r="I129" s="45">
        <v>5223</v>
      </c>
      <c r="J129" s="45"/>
      <c r="K129" s="45">
        <v>519095</v>
      </c>
      <c r="L129" s="45"/>
      <c r="M129" s="45">
        <v>2536337</v>
      </c>
      <c r="N129" s="45"/>
      <c r="O129" s="45">
        <v>182212</v>
      </c>
      <c r="P129" s="45"/>
      <c r="Q129" s="45">
        <v>1601663</v>
      </c>
      <c r="R129" s="45"/>
      <c r="S129" s="44">
        <f t="shared" si="3"/>
        <v>183425</v>
      </c>
      <c r="T129" s="45"/>
      <c r="U129" s="45">
        <v>7525725</v>
      </c>
      <c r="V129" s="35"/>
      <c r="W129" s="45">
        <v>6840906</v>
      </c>
    </row>
    <row r="130" spans="1:26" s="49" customFormat="1" ht="12.75" customHeight="1">
      <c r="A130" s="44" t="s">
        <v>155</v>
      </c>
      <c r="C130" s="44" t="s">
        <v>40</v>
      </c>
      <c r="D130" s="35"/>
      <c r="E130" s="45">
        <v>524430</v>
      </c>
      <c r="F130" s="45"/>
      <c r="G130" s="45">
        <v>5543127</v>
      </c>
      <c r="H130" s="45"/>
      <c r="I130" s="45">
        <f>272768+208378</f>
        <v>481146</v>
      </c>
      <c r="J130" s="45"/>
      <c r="K130" s="45">
        <v>1482397</v>
      </c>
      <c r="L130" s="45"/>
      <c r="M130" s="45">
        <v>1022522</v>
      </c>
      <c r="N130" s="45"/>
      <c r="O130" s="45">
        <v>0</v>
      </c>
      <c r="P130" s="45"/>
      <c r="Q130" s="45">
        <v>567107</v>
      </c>
      <c r="R130" s="45"/>
      <c r="S130" s="44">
        <f t="shared" si="3"/>
        <v>200561</v>
      </c>
      <c r="T130" s="45"/>
      <c r="U130" s="45">
        <v>9821290</v>
      </c>
      <c r="V130" s="35"/>
      <c r="W130" s="45">
        <v>172065</v>
      </c>
    </row>
    <row r="131" spans="1:26" s="129" customFormat="1" ht="12.75" hidden="1" customHeight="1">
      <c r="A131" s="121" t="s">
        <v>156</v>
      </c>
      <c r="C131" s="121" t="s">
        <v>156</v>
      </c>
      <c r="D131" s="126"/>
      <c r="E131" s="127">
        <v>0</v>
      </c>
      <c r="F131" s="127"/>
      <c r="G131" s="127">
        <v>0</v>
      </c>
      <c r="H131" s="127"/>
      <c r="I131" s="127">
        <v>0</v>
      </c>
      <c r="J131" s="127"/>
      <c r="K131" s="127">
        <v>0</v>
      </c>
      <c r="L131" s="127"/>
      <c r="M131" s="127">
        <v>0</v>
      </c>
      <c r="N131" s="127"/>
      <c r="O131" s="127">
        <v>0</v>
      </c>
      <c r="P131" s="127"/>
      <c r="Q131" s="127">
        <v>0</v>
      </c>
      <c r="R131" s="127"/>
      <c r="S131" s="121">
        <f t="shared" si="3"/>
        <v>0</v>
      </c>
      <c r="T131" s="127"/>
      <c r="U131" s="127">
        <v>0</v>
      </c>
      <c r="V131" s="126"/>
      <c r="W131" s="127">
        <v>0</v>
      </c>
      <c r="X131" s="123"/>
      <c r="Y131" s="123"/>
      <c r="Z131" s="123"/>
    </row>
    <row r="132" spans="1:26" s="49" customFormat="1" ht="12.75" customHeight="1">
      <c r="A132" s="44" t="s">
        <v>157</v>
      </c>
      <c r="C132" s="44" t="s">
        <v>33</v>
      </c>
      <c r="D132" s="35"/>
      <c r="E132" s="45">
        <v>149379</v>
      </c>
      <c r="F132" s="45"/>
      <c r="G132" s="45">
        <v>1241164</v>
      </c>
      <c r="H132" s="45"/>
      <c r="I132" s="45">
        <v>0</v>
      </c>
      <c r="J132" s="45"/>
      <c r="K132" s="45">
        <v>26000</v>
      </c>
      <c r="L132" s="45"/>
      <c r="M132" s="45">
        <v>431743</v>
      </c>
      <c r="N132" s="45"/>
      <c r="O132" s="45">
        <v>0</v>
      </c>
      <c r="P132" s="45"/>
      <c r="Q132" s="45">
        <v>162524</v>
      </c>
      <c r="R132" s="45"/>
      <c r="S132" s="44">
        <f t="shared" si="3"/>
        <v>20049</v>
      </c>
      <c r="T132" s="45"/>
      <c r="U132" s="45">
        <v>2030859</v>
      </c>
      <c r="V132" s="35"/>
      <c r="W132" s="45">
        <v>89000</v>
      </c>
    </row>
    <row r="133" spans="1:26" s="49" customFormat="1" ht="12.75" customHeight="1">
      <c r="A133" s="44" t="s">
        <v>158</v>
      </c>
      <c r="C133" s="44" t="s">
        <v>159</v>
      </c>
      <c r="D133" s="35"/>
      <c r="E133" s="45">
        <v>1572934</v>
      </c>
      <c r="F133" s="45"/>
      <c r="G133" s="45">
        <v>10235375</v>
      </c>
      <c r="H133" s="45"/>
      <c r="I133" s="45">
        <v>107354</v>
      </c>
      <c r="J133" s="45"/>
      <c r="K133" s="45">
        <v>1437328</v>
      </c>
      <c r="L133" s="45"/>
      <c r="M133" s="45">
        <v>1015038</v>
      </c>
      <c r="N133" s="45"/>
      <c r="O133" s="45">
        <v>0</v>
      </c>
      <c r="P133" s="45"/>
      <c r="Q133" s="45">
        <f>325127+518946</f>
        <v>844073</v>
      </c>
      <c r="R133" s="45"/>
      <c r="S133" s="44">
        <f t="shared" si="3"/>
        <v>230476</v>
      </c>
      <c r="T133" s="45"/>
      <c r="U133" s="45">
        <v>15442578</v>
      </c>
      <c r="V133" s="35"/>
      <c r="W133" s="45">
        <v>49</v>
      </c>
    </row>
    <row r="134" spans="1:26" s="46" customFormat="1" ht="12.75" customHeight="1">
      <c r="A134" s="46" t="s">
        <v>160</v>
      </c>
      <c r="C134" s="46" t="s">
        <v>111</v>
      </c>
      <c r="D134" s="64"/>
      <c r="E134" s="45">
        <v>20449001</v>
      </c>
      <c r="F134" s="45"/>
      <c r="G134" s="45">
        <v>0</v>
      </c>
      <c r="H134" s="45"/>
      <c r="I134" s="45">
        <v>0</v>
      </c>
      <c r="J134" s="45"/>
      <c r="K134" s="45">
        <v>1359252</v>
      </c>
      <c r="L134" s="45"/>
      <c r="M134" s="45">
        <v>2249038</v>
      </c>
      <c r="N134" s="45"/>
      <c r="O134" s="45">
        <v>0</v>
      </c>
      <c r="P134" s="45"/>
      <c r="Q134" s="45">
        <v>1501649</v>
      </c>
      <c r="R134" s="45"/>
      <c r="S134" s="44">
        <f t="shared" si="3"/>
        <v>1091888</v>
      </c>
      <c r="T134" s="45"/>
      <c r="U134" s="45">
        <v>26650828</v>
      </c>
      <c r="V134" s="35"/>
      <c r="W134" s="45">
        <v>0</v>
      </c>
    </row>
    <row r="135" spans="1:26" s="49" customFormat="1" ht="12.75" customHeight="1">
      <c r="A135" s="44" t="s">
        <v>161</v>
      </c>
      <c r="C135" s="44" t="s">
        <v>15</v>
      </c>
      <c r="D135" s="35"/>
      <c r="E135" s="45">
        <v>1346827</v>
      </c>
      <c r="F135" s="45"/>
      <c r="G135" s="45">
        <v>10934523</v>
      </c>
      <c r="H135" s="45"/>
      <c r="I135" s="45">
        <v>0</v>
      </c>
      <c r="J135" s="45"/>
      <c r="K135" s="45">
        <v>821492</v>
      </c>
      <c r="L135" s="45"/>
      <c r="M135" s="45">
        <v>1766825</v>
      </c>
      <c r="N135" s="45"/>
      <c r="O135" s="45">
        <v>0</v>
      </c>
      <c r="P135" s="45"/>
      <c r="Q135" s="45">
        <f>222855+1092039</f>
        <v>1314894</v>
      </c>
      <c r="R135" s="45"/>
      <c r="S135" s="44">
        <f t="shared" si="3"/>
        <v>345078</v>
      </c>
      <c r="T135" s="45"/>
      <c r="U135" s="45">
        <v>16529639</v>
      </c>
      <c r="V135" s="35"/>
      <c r="W135" s="45">
        <v>0</v>
      </c>
    </row>
    <row r="136" spans="1:26" s="49" customFormat="1" ht="12.75" customHeight="1">
      <c r="A136" s="44" t="s">
        <v>162</v>
      </c>
      <c r="C136" s="44" t="s">
        <v>163</v>
      </c>
      <c r="D136" s="35"/>
      <c r="E136" s="45">
        <v>1348388</v>
      </c>
      <c r="F136" s="45"/>
      <c r="G136" s="45">
        <v>0</v>
      </c>
      <c r="H136" s="45"/>
      <c r="I136" s="45">
        <v>0</v>
      </c>
      <c r="J136" s="45"/>
      <c r="K136" s="45">
        <v>1175890</v>
      </c>
      <c r="L136" s="45"/>
      <c r="M136" s="45">
        <v>2730299</v>
      </c>
      <c r="N136" s="45"/>
      <c r="O136" s="45">
        <v>6231</v>
      </c>
      <c r="P136" s="45"/>
      <c r="Q136" s="45">
        <f>168618+739077</f>
        <v>907695</v>
      </c>
      <c r="R136" s="45"/>
      <c r="S136" s="44">
        <f t="shared" si="3"/>
        <v>635738</v>
      </c>
      <c r="T136" s="45"/>
      <c r="U136" s="45">
        <v>6804241</v>
      </c>
      <c r="V136" s="35"/>
      <c r="W136" s="45">
        <f>67434+11187128</f>
        <v>11254562</v>
      </c>
    </row>
    <row r="137" spans="1:26" s="49" customFormat="1" ht="12.75" customHeight="1">
      <c r="A137" s="44" t="s">
        <v>164</v>
      </c>
      <c r="C137" s="44" t="s">
        <v>27</v>
      </c>
      <c r="D137" s="35"/>
      <c r="E137" s="45">
        <v>3570291</v>
      </c>
      <c r="F137" s="45"/>
      <c r="G137" s="45">
        <v>10672503</v>
      </c>
      <c r="H137" s="45"/>
      <c r="I137" s="45">
        <v>162374</v>
      </c>
      <c r="J137" s="45"/>
      <c r="K137" s="45">
        <v>896547</v>
      </c>
      <c r="L137" s="45"/>
      <c r="M137" s="45">
        <v>2203805</v>
      </c>
      <c r="N137" s="45"/>
      <c r="O137" s="45">
        <v>0</v>
      </c>
      <c r="P137" s="45"/>
      <c r="Q137" s="45">
        <v>215624</v>
      </c>
      <c r="R137" s="45"/>
      <c r="S137" s="44">
        <f t="shared" si="3"/>
        <v>714463</v>
      </c>
      <c r="T137" s="45"/>
      <c r="U137" s="45">
        <v>18435607</v>
      </c>
      <c r="V137" s="35"/>
      <c r="W137" s="45">
        <v>0</v>
      </c>
    </row>
    <row r="138" spans="1:26" s="49" customFormat="1" ht="12.75" customHeight="1">
      <c r="A138" s="46" t="s">
        <v>53</v>
      </c>
      <c r="B138" s="46"/>
      <c r="C138" s="46" t="s">
        <v>53</v>
      </c>
      <c r="D138" s="64"/>
      <c r="E138" s="45">
        <v>1432872</v>
      </c>
      <c r="F138" s="45"/>
      <c r="G138" s="45">
        <v>2294600</v>
      </c>
      <c r="H138" s="45"/>
      <c r="I138" s="45">
        <v>697</v>
      </c>
      <c r="J138" s="45"/>
      <c r="K138" s="45">
        <v>349082</v>
      </c>
      <c r="L138" s="45"/>
      <c r="M138" s="45">
        <v>2239114</v>
      </c>
      <c r="N138" s="45"/>
      <c r="O138" s="45">
        <v>0</v>
      </c>
      <c r="P138" s="45"/>
      <c r="Q138" s="45">
        <f>109177+1027056</f>
        <v>1136233</v>
      </c>
      <c r="R138" s="45"/>
      <c r="S138" s="44">
        <f t="shared" si="3"/>
        <v>451258</v>
      </c>
      <c r="T138" s="45"/>
      <c r="U138" s="45">
        <v>7903856</v>
      </c>
      <c r="V138" s="35"/>
      <c r="W138" s="45">
        <v>24170</v>
      </c>
    </row>
    <row r="139" spans="1:26" s="49" customFormat="1" ht="12.75" customHeight="1">
      <c r="A139" s="44" t="s">
        <v>165</v>
      </c>
      <c r="C139" s="44" t="s">
        <v>92</v>
      </c>
      <c r="D139" s="35"/>
      <c r="E139" s="45">
        <v>1534314</v>
      </c>
      <c r="F139" s="45"/>
      <c r="G139" s="45">
        <v>31076262</v>
      </c>
      <c r="H139" s="45"/>
      <c r="I139" s="45">
        <v>0</v>
      </c>
      <c r="J139" s="45"/>
      <c r="K139" s="45">
        <v>5697180</v>
      </c>
      <c r="L139" s="45"/>
      <c r="M139" s="45">
        <v>4902102</v>
      </c>
      <c r="N139" s="45"/>
      <c r="O139" s="45">
        <v>0</v>
      </c>
      <c r="P139" s="45"/>
      <c r="Q139" s="45">
        <f>1188746+1370479</f>
        <v>2559225</v>
      </c>
      <c r="R139" s="45"/>
      <c r="S139" s="44">
        <f t="shared" si="3"/>
        <v>1091185</v>
      </c>
      <c r="T139" s="45"/>
      <c r="U139" s="45">
        <v>46860268</v>
      </c>
      <c r="V139" s="35"/>
      <c r="W139" s="45">
        <v>0</v>
      </c>
    </row>
    <row r="140" spans="1:26" s="49" customFormat="1" ht="12.75" customHeight="1">
      <c r="A140" s="44" t="s">
        <v>166</v>
      </c>
      <c r="C140" s="44" t="s">
        <v>92</v>
      </c>
      <c r="D140" s="35"/>
      <c r="E140" s="45">
        <v>336368</v>
      </c>
      <c r="F140" s="45"/>
      <c r="G140" s="45">
        <v>847464</v>
      </c>
      <c r="H140" s="45"/>
      <c r="I140" s="45">
        <v>0</v>
      </c>
      <c r="J140" s="45"/>
      <c r="K140" s="45">
        <v>531036</v>
      </c>
      <c r="L140" s="45"/>
      <c r="M140" s="45">
        <v>598044</v>
      </c>
      <c r="N140" s="45"/>
      <c r="O140" s="45">
        <v>1264</v>
      </c>
      <c r="P140" s="45"/>
      <c r="Q140" s="45">
        <f>6772+24675</f>
        <v>31447</v>
      </c>
      <c r="R140" s="45"/>
      <c r="S140" s="44">
        <f t="shared" si="3"/>
        <v>23926</v>
      </c>
      <c r="T140" s="45"/>
      <c r="U140" s="45">
        <v>2369549</v>
      </c>
      <c r="V140" s="35"/>
      <c r="W140" s="45">
        <f>1283+59767</f>
        <v>61050</v>
      </c>
    </row>
    <row r="141" spans="1:26" s="49" customFormat="1" ht="12.75" customHeight="1">
      <c r="A141" s="44" t="s">
        <v>167</v>
      </c>
      <c r="C141" s="44" t="s">
        <v>66</v>
      </c>
      <c r="D141" s="35"/>
      <c r="E141" s="45">
        <v>1673928</v>
      </c>
      <c r="F141" s="45"/>
      <c r="G141" s="45">
        <v>7539952</v>
      </c>
      <c r="H141" s="45"/>
      <c r="I141" s="45">
        <v>0</v>
      </c>
      <c r="J141" s="45"/>
      <c r="K141" s="45">
        <v>2310714</v>
      </c>
      <c r="L141" s="45"/>
      <c r="M141" s="45">
        <v>1464739</v>
      </c>
      <c r="N141" s="45"/>
      <c r="O141" s="45">
        <v>52391</v>
      </c>
      <c r="P141" s="45"/>
      <c r="Q141" s="45">
        <v>989756</v>
      </c>
      <c r="R141" s="45"/>
      <c r="S141" s="44">
        <f t="shared" si="3"/>
        <v>1029855</v>
      </c>
      <c r="T141" s="45"/>
      <c r="U141" s="45">
        <v>15061335</v>
      </c>
      <c r="V141" s="35"/>
      <c r="W141" s="45">
        <v>0</v>
      </c>
    </row>
    <row r="142" spans="1:26" s="49" customFormat="1" ht="12.75" customHeight="1">
      <c r="A142" s="44" t="s">
        <v>168</v>
      </c>
      <c r="C142" s="44" t="s">
        <v>27</v>
      </c>
      <c r="D142" s="35"/>
      <c r="E142" s="45">
        <v>1378896</v>
      </c>
      <c r="F142" s="45"/>
      <c r="G142" s="45">
        <v>11177065</v>
      </c>
      <c r="H142" s="45"/>
      <c r="I142" s="45">
        <v>514964</v>
      </c>
      <c r="J142" s="45"/>
      <c r="K142" s="45">
        <v>261075</v>
      </c>
      <c r="L142" s="45"/>
      <c r="M142" s="45">
        <v>1802895</v>
      </c>
      <c r="N142" s="45"/>
      <c r="O142" s="45">
        <v>0</v>
      </c>
      <c r="P142" s="45"/>
      <c r="Q142" s="45">
        <v>885368</v>
      </c>
      <c r="R142" s="45"/>
      <c r="S142" s="44">
        <f t="shared" si="3"/>
        <v>323679</v>
      </c>
      <c r="T142" s="45"/>
      <c r="U142" s="45">
        <v>16343942</v>
      </c>
      <c r="V142" s="35"/>
      <c r="W142" s="45">
        <v>0</v>
      </c>
    </row>
    <row r="143" spans="1:26" s="49" customFormat="1" ht="12.75" customHeight="1">
      <c r="A143" s="44" t="s">
        <v>169</v>
      </c>
      <c r="C143" s="44" t="s">
        <v>103</v>
      </c>
      <c r="D143" s="35"/>
      <c r="E143" s="45">
        <v>3418236</v>
      </c>
      <c r="F143" s="45"/>
      <c r="G143" s="45">
        <v>14370444</v>
      </c>
      <c r="H143" s="45"/>
      <c r="I143" s="45">
        <v>0</v>
      </c>
      <c r="J143" s="45"/>
      <c r="K143" s="45">
        <v>3841218</v>
      </c>
      <c r="L143" s="45"/>
      <c r="M143" s="45">
        <v>4050487</v>
      </c>
      <c r="N143" s="45"/>
      <c r="O143" s="45">
        <v>0</v>
      </c>
      <c r="P143" s="45"/>
      <c r="Q143" s="45">
        <f>23920+197188</f>
        <v>221108</v>
      </c>
      <c r="R143" s="45"/>
      <c r="S143" s="44">
        <f t="shared" si="3"/>
        <v>1831822</v>
      </c>
      <c r="T143" s="45"/>
      <c r="U143" s="45">
        <v>27733315</v>
      </c>
      <c r="V143" s="35"/>
      <c r="W143" s="45">
        <v>0</v>
      </c>
    </row>
    <row r="144" spans="1:26" s="49" customFormat="1" ht="12.75" customHeight="1">
      <c r="A144" s="44" t="s">
        <v>170</v>
      </c>
      <c r="C144" s="44" t="s">
        <v>171</v>
      </c>
      <c r="D144" s="35"/>
      <c r="E144" s="45">
        <v>720903</v>
      </c>
      <c r="F144" s="45"/>
      <c r="G144" s="45">
        <v>2214565</v>
      </c>
      <c r="H144" s="45"/>
      <c r="I144" s="45">
        <v>0</v>
      </c>
      <c r="J144" s="45"/>
      <c r="K144" s="45">
        <v>134151</v>
      </c>
      <c r="L144" s="45"/>
      <c r="M144" s="45">
        <v>795394</v>
      </c>
      <c r="N144" s="45"/>
      <c r="O144" s="45">
        <v>0</v>
      </c>
      <c r="P144" s="45"/>
      <c r="Q144" s="45">
        <f>29726+160355</f>
        <v>190081</v>
      </c>
      <c r="R144" s="45"/>
      <c r="S144" s="44">
        <f t="shared" si="3"/>
        <v>58671</v>
      </c>
      <c r="T144" s="45"/>
      <c r="U144" s="45">
        <v>4113765</v>
      </c>
      <c r="V144" s="35"/>
      <c r="W144" s="45">
        <v>0</v>
      </c>
    </row>
    <row r="145" spans="1:23" s="49" customFormat="1" ht="12.75" customHeight="1">
      <c r="A145" s="44" t="s">
        <v>172</v>
      </c>
      <c r="C145" s="44" t="s">
        <v>103</v>
      </c>
      <c r="D145" s="35"/>
      <c r="E145" s="45">
        <v>643521</v>
      </c>
      <c r="F145" s="45"/>
      <c r="G145" s="45">
        <v>5951344</v>
      </c>
      <c r="H145" s="45"/>
      <c r="I145" s="45">
        <v>0</v>
      </c>
      <c r="J145" s="45"/>
      <c r="K145" s="45">
        <v>193162</v>
      </c>
      <c r="L145" s="45"/>
      <c r="M145" s="45">
        <v>1164619</v>
      </c>
      <c r="N145" s="45"/>
      <c r="O145" s="45">
        <v>0</v>
      </c>
      <c r="P145" s="45"/>
      <c r="Q145" s="45">
        <f>404642+222713</f>
        <v>627355</v>
      </c>
      <c r="R145" s="45"/>
      <c r="S145" s="44">
        <f t="shared" si="3"/>
        <v>122733</v>
      </c>
      <c r="T145" s="45"/>
      <c r="U145" s="45">
        <v>8702734</v>
      </c>
      <c r="V145" s="35"/>
      <c r="W145" s="45">
        <v>1279</v>
      </c>
    </row>
    <row r="146" spans="1:23" s="49" customFormat="1" ht="12.75" customHeight="1">
      <c r="A146" s="46" t="s">
        <v>66</v>
      </c>
      <c r="B146" s="46"/>
      <c r="C146" s="46" t="s">
        <v>45</v>
      </c>
      <c r="D146" s="64"/>
      <c r="E146" s="45">
        <v>8013258</v>
      </c>
      <c r="F146" s="45"/>
      <c r="G146" s="45">
        <v>0</v>
      </c>
      <c r="H146" s="45"/>
      <c r="I146" s="45">
        <v>0</v>
      </c>
      <c r="J146" s="45"/>
      <c r="K146" s="45">
        <v>258977</v>
      </c>
      <c r="L146" s="45"/>
      <c r="M146" s="45">
        <v>702185</v>
      </c>
      <c r="N146" s="45"/>
      <c r="O146" s="45">
        <v>0</v>
      </c>
      <c r="P146" s="45"/>
      <c r="Q146" s="45">
        <f>262263+204575</f>
        <v>466838</v>
      </c>
      <c r="R146" s="45"/>
      <c r="S146" s="44">
        <f t="shared" si="3"/>
        <v>233051</v>
      </c>
      <c r="T146" s="45"/>
      <c r="U146" s="45">
        <v>9674309</v>
      </c>
      <c r="V146" s="35"/>
      <c r="W146" s="45">
        <f>4427+239340</f>
        <v>243767</v>
      </c>
    </row>
    <row r="147" spans="1:23" s="49" customFormat="1" ht="12.75" customHeight="1">
      <c r="A147" s="44" t="s">
        <v>173</v>
      </c>
      <c r="C147" s="44" t="s">
        <v>66</v>
      </c>
      <c r="D147" s="35"/>
      <c r="E147" s="45">
        <v>355628</v>
      </c>
      <c r="F147" s="45"/>
      <c r="G147" s="45">
        <v>8751988</v>
      </c>
      <c r="H147" s="45"/>
      <c r="I147" s="45">
        <v>2718</v>
      </c>
      <c r="J147" s="45"/>
      <c r="K147" s="45">
        <v>366777</v>
      </c>
      <c r="L147" s="45"/>
      <c r="M147" s="45">
        <v>546777</v>
      </c>
      <c r="N147" s="45"/>
      <c r="O147" s="45">
        <v>0</v>
      </c>
      <c r="P147" s="45"/>
      <c r="Q147" s="45">
        <f>14297+41748</f>
        <v>56045</v>
      </c>
      <c r="R147" s="45"/>
      <c r="S147" s="44">
        <f t="shared" si="3"/>
        <v>853945</v>
      </c>
      <c r="T147" s="45"/>
      <c r="U147" s="45">
        <v>10933878</v>
      </c>
      <c r="V147" s="35"/>
      <c r="W147" s="45">
        <f>417439+78851</f>
        <v>496290</v>
      </c>
    </row>
    <row r="148" spans="1:23" s="49" customFormat="1" ht="12.75" customHeight="1">
      <c r="A148" s="44" t="s">
        <v>174</v>
      </c>
      <c r="C148" s="44" t="s">
        <v>45</v>
      </c>
      <c r="D148" s="35"/>
      <c r="E148" s="45">
        <v>362814</v>
      </c>
      <c r="F148" s="45"/>
      <c r="G148" s="45">
        <v>1373257</v>
      </c>
      <c r="H148" s="45"/>
      <c r="I148" s="45">
        <v>64220</v>
      </c>
      <c r="J148" s="45"/>
      <c r="K148" s="45">
        <v>559043</v>
      </c>
      <c r="L148" s="45"/>
      <c r="M148" s="45">
        <v>301543</v>
      </c>
      <c r="N148" s="45"/>
      <c r="O148" s="45">
        <v>0</v>
      </c>
      <c r="P148" s="45"/>
      <c r="Q148" s="45">
        <v>219863</v>
      </c>
      <c r="R148" s="45"/>
      <c r="S148" s="44">
        <f t="shared" si="3"/>
        <v>53760</v>
      </c>
      <c r="T148" s="45"/>
      <c r="U148" s="45">
        <v>2934500</v>
      </c>
      <c r="V148" s="35"/>
      <c r="W148" s="45">
        <v>0</v>
      </c>
    </row>
    <row r="149" spans="1:23" s="49" customFormat="1" ht="12.75" customHeight="1">
      <c r="A149" s="44" t="s">
        <v>175</v>
      </c>
      <c r="C149" s="44" t="s">
        <v>176</v>
      </c>
      <c r="D149" s="35"/>
      <c r="E149" s="45">
        <v>8190413</v>
      </c>
      <c r="F149" s="45"/>
      <c r="G149" s="45">
        <v>0</v>
      </c>
      <c r="H149" s="45"/>
      <c r="I149" s="45">
        <v>0</v>
      </c>
      <c r="J149" s="45"/>
      <c r="K149" s="45">
        <v>1535449</v>
      </c>
      <c r="L149" s="45"/>
      <c r="M149" s="45">
        <v>1203448</v>
      </c>
      <c r="N149" s="45"/>
      <c r="O149" s="45">
        <v>0</v>
      </c>
      <c r="P149" s="45"/>
      <c r="Q149" s="45">
        <f>11520+707284</f>
        <v>718804</v>
      </c>
      <c r="R149" s="45"/>
      <c r="S149" s="44">
        <f t="shared" si="3"/>
        <v>219275</v>
      </c>
      <c r="T149" s="45"/>
      <c r="U149" s="45">
        <v>11867389</v>
      </c>
      <c r="V149" s="35"/>
      <c r="W149" s="45">
        <v>1093</v>
      </c>
    </row>
    <row r="150" spans="1:23" s="49" customFormat="1" ht="12.75" customHeight="1">
      <c r="A150" s="46" t="s">
        <v>177</v>
      </c>
      <c r="B150" s="46"/>
      <c r="C150" s="46" t="s">
        <v>13</v>
      </c>
      <c r="D150" s="64"/>
      <c r="E150" s="45">
        <v>263225</v>
      </c>
      <c r="F150" s="45"/>
      <c r="G150" s="45">
        <v>842620</v>
      </c>
      <c r="H150" s="45"/>
      <c r="I150" s="45">
        <v>0</v>
      </c>
      <c r="J150" s="45"/>
      <c r="K150" s="45">
        <v>23370</v>
      </c>
      <c r="L150" s="45"/>
      <c r="M150" s="45">
        <v>398473</v>
      </c>
      <c r="N150" s="45"/>
      <c r="O150" s="45">
        <v>0</v>
      </c>
      <c r="P150" s="45"/>
      <c r="Q150" s="45">
        <v>156470</v>
      </c>
      <c r="R150" s="45"/>
      <c r="S150" s="44">
        <f t="shared" si="3"/>
        <v>68786</v>
      </c>
      <c r="T150" s="45"/>
      <c r="U150" s="45">
        <v>1752944</v>
      </c>
      <c r="V150" s="35"/>
      <c r="W150" s="45">
        <v>0</v>
      </c>
    </row>
    <row r="151" spans="1:23" s="49" customFormat="1" ht="12.75" customHeight="1">
      <c r="A151" s="44" t="s">
        <v>178</v>
      </c>
      <c r="C151" s="44" t="s">
        <v>179</v>
      </c>
      <c r="D151" s="35"/>
      <c r="E151" s="45">
        <v>262757</v>
      </c>
      <c r="F151" s="45"/>
      <c r="G151" s="45">
        <v>2826059</v>
      </c>
      <c r="H151" s="45"/>
      <c r="I151" s="45">
        <v>515545</v>
      </c>
      <c r="J151" s="45"/>
      <c r="K151" s="45">
        <v>265710</v>
      </c>
      <c r="L151" s="45"/>
      <c r="M151" s="45">
        <v>541152</v>
      </c>
      <c r="N151" s="45"/>
      <c r="O151" s="45">
        <v>634</v>
      </c>
      <c r="P151" s="45"/>
      <c r="Q151" s="45">
        <f>63599+267980</f>
        <v>331579</v>
      </c>
      <c r="R151" s="45"/>
      <c r="S151" s="44">
        <f t="shared" si="3"/>
        <v>402760</v>
      </c>
      <c r="T151" s="45"/>
      <c r="U151" s="45">
        <v>5146196</v>
      </c>
      <c r="V151" s="35"/>
      <c r="W151" s="45">
        <f>11224+40294</f>
        <v>51518</v>
      </c>
    </row>
    <row r="152" spans="1:23" s="46" customFormat="1" ht="12.75" customHeight="1">
      <c r="A152" s="44" t="s">
        <v>180</v>
      </c>
      <c r="B152" s="49"/>
      <c r="C152" s="44" t="s">
        <v>20</v>
      </c>
      <c r="D152" s="35"/>
      <c r="E152" s="45">
        <v>173800</v>
      </c>
      <c r="F152" s="45"/>
      <c r="G152" s="45">
        <v>1227068</v>
      </c>
      <c r="H152" s="45"/>
      <c r="I152" s="45">
        <v>0</v>
      </c>
      <c r="J152" s="45"/>
      <c r="K152" s="45">
        <v>8480</v>
      </c>
      <c r="L152" s="45"/>
      <c r="M152" s="45">
        <v>146921</v>
      </c>
      <c r="N152" s="45"/>
      <c r="O152" s="45">
        <v>0</v>
      </c>
      <c r="P152" s="45"/>
      <c r="Q152" s="45">
        <v>60895</v>
      </c>
      <c r="R152" s="45"/>
      <c r="S152" s="44">
        <f t="shared" si="3"/>
        <v>142121</v>
      </c>
      <c r="T152" s="45"/>
      <c r="U152" s="45">
        <v>1759285</v>
      </c>
      <c r="V152" s="35"/>
      <c r="W152" s="45">
        <v>0</v>
      </c>
    </row>
    <row r="153" spans="1:23" s="49" customFormat="1" ht="12.75" customHeight="1">
      <c r="A153" s="44" t="s">
        <v>182</v>
      </c>
      <c r="C153" s="44" t="s">
        <v>183</v>
      </c>
      <c r="D153" s="35"/>
      <c r="E153" s="45">
        <v>152786</v>
      </c>
      <c r="F153" s="45"/>
      <c r="G153" s="45">
        <v>823137</v>
      </c>
      <c r="H153" s="45"/>
      <c r="I153" s="45">
        <v>50801</v>
      </c>
      <c r="J153" s="45"/>
      <c r="K153" s="45">
        <v>0</v>
      </c>
      <c r="L153" s="45"/>
      <c r="M153" s="45">
        <v>156321</v>
      </c>
      <c r="N153" s="45"/>
      <c r="O153" s="45">
        <v>3170</v>
      </c>
      <c r="P153" s="45"/>
      <c r="Q153" s="45">
        <f>22518+19955</f>
        <v>42473</v>
      </c>
      <c r="R153" s="45"/>
      <c r="S153" s="44">
        <f t="shared" si="3"/>
        <v>2602</v>
      </c>
      <c r="T153" s="45"/>
      <c r="U153" s="45">
        <v>1231290</v>
      </c>
      <c r="V153" s="35"/>
      <c r="W153" s="45">
        <v>0</v>
      </c>
    </row>
    <row r="154" spans="1:23" s="49" customFormat="1" ht="12.75" customHeight="1">
      <c r="A154" s="44" t="s">
        <v>487</v>
      </c>
      <c r="C154" s="44" t="s">
        <v>13</v>
      </c>
      <c r="D154" s="35"/>
      <c r="E154" s="45">
        <v>1022410</v>
      </c>
      <c r="F154" s="45"/>
      <c r="G154" s="45">
        <v>0</v>
      </c>
      <c r="H154" s="45"/>
      <c r="I154" s="45">
        <v>0</v>
      </c>
      <c r="J154" s="45"/>
      <c r="K154" s="45">
        <v>248927</v>
      </c>
      <c r="L154" s="45"/>
      <c r="M154" s="45">
        <v>661979</v>
      </c>
      <c r="N154" s="45"/>
      <c r="O154" s="45">
        <v>0</v>
      </c>
      <c r="P154" s="45"/>
      <c r="Q154" s="45">
        <f>102168+1309</f>
        <v>103477</v>
      </c>
      <c r="R154" s="45"/>
      <c r="S154" s="44">
        <f t="shared" si="3"/>
        <v>27717</v>
      </c>
      <c r="T154" s="45"/>
      <c r="U154" s="45">
        <v>2064510</v>
      </c>
      <c r="V154" s="35"/>
      <c r="W154" s="45">
        <v>0</v>
      </c>
    </row>
    <row r="155" spans="1:23" s="49" customFormat="1" ht="12.75" customHeight="1">
      <c r="A155" s="44" t="s">
        <v>184</v>
      </c>
      <c r="C155" s="44" t="s">
        <v>89</v>
      </c>
      <c r="D155" s="35"/>
      <c r="E155" s="45">
        <v>930950</v>
      </c>
      <c r="F155" s="45"/>
      <c r="G155" s="45">
        <v>2115778</v>
      </c>
      <c r="H155" s="45"/>
      <c r="I155" s="45">
        <v>0</v>
      </c>
      <c r="J155" s="45"/>
      <c r="K155" s="45">
        <v>108610</v>
      </c>
      <c r="L155" s="45"/>
      <c r="M155" s="45">
        <v>1238600</v>
      </c>
      <c r="N155" s="45"/>
      <c r="O155" s="45">
        <v>1760</v>
      </c>
      <c r="P155" s="45"/>
      <c r="Q155" s="45">
        <f>4747+282005</f>
        <v>286752</v>
      </c>
      <c r="R155" s="45"/>
      <c r="S155" s="44">
        <f t="shared" si="3"/>
        <v>195683</v>
      </c>
      <c r="T155" s="45"/>
      <c r="U155" s="45">
        <v>4878133</v>
      </c>
      <c r="V155" s="35"/>
      <c r="W155" s="45">
        <v>0</v>
      </c>
    </row>
    <row r="156" spans="1:23" s="49" customFormat="1" ht="12.75" customHeight="1">
      <c r="A156" s="46" t="s">
        <v>181</v>
      </c>
      <c r="B156" s="46"/>
      <c r="C156" s="46" t="s">
        <v>125</v>
      </c>
      <c r="D156" s="64"/>
      <c r="E156" s="45">
        <v>2458566</v>
      </c>
      <c r="F156" s="45"/>
      <c r="G156" s="45">
        <v>0</v>
      </c>
      <c r="H156" s="45"/>
      <c r="I156" s="45">
        <v>0</v>
      </c>
      <c r="J156" s="45"/>
      <c r="K156" s="45">
        <v>2104952</v>
      </c>
      <c r="L156" s="45"/>
      <c r="M156" s="45">
        <v>3840260</v>
      </c>
      <c r="N156" s="45"/>
      <c r="O156" s="45">
        <v>16355</v>
      </c>
      <c r="P156" s="45"/>
      <c r="Q156" s="45">
        <f>63204+1551666</f>
        <v>1614870</v>
      </c>
      <c r="R156" s="45"/>
      <c r="S156" s="44">
        <f t="shared" si="3"/>
        <v>418536</v>
      </c>
      <c r="T156" s="45"/>
      <c r="U156" s="45">
        <v>10453539</v>
      </c>
      <c r="V156" s="35"/>
      <c r="W156" s="45">
        <v>16688500</v>
      </c>
    </row>
    <row r="157" spans="1:23" s="49" customFormat="1" ht="12.75" customHeight="1">
      <c r="A157" s="44" t="s">
        <v>185</v>
      </c>
      <c r="C157" s="44" t="s">
        <v>80</v>
      </c>
      <c r="D157" s="35"/>
      <c r="E157" s="45">
        <v>1097350</v>
      </c>
      <c r="F157" s="45"/>
      <c r="G157" s="45">
        <v>3667372</v>
      </c>
      <c r="H157" s="45"/>
      <c r="I157" s="45">
        <v>0</v>
      </c>
      <c r="J157" s="45"/>
      <c r="K157" s="45">
        <v>1218340</v>
      </c>
      <c r="L157" s="45"/>
      <c r="M157" s="45">
        <v>571010</v>
      </c>
      <c r="N157" s="45"/>
      <c r="O157" s="45">
        <v>0</v>
      </c>
      <c r="P157" s="45"/>
      <c r="Q157" s="45">
        <f>431934+314602</f>
        <v>746536</v>
      </c>
      <c r="R157" s="45"/>
      <c r="S157" s="44">
        <f t="shared" si="3"/>
        <v>442623</v>
      </c>
      <c r="T157" s="45"/>
      <c r="U157" s="45">
        <v>7743231</v>
      </c>
      <c r="V157" s="35"/>
      <c r="W157" s="45">
        <v>0</v>
      </c>
    </row>
    <row r="158" spans="1:23" s="49" customFormat="1" ht="12.75" customHeight="1">
      <c r="A158" s="44" t="s">
        <v>471</v>
      </c>
      <c r="C158" s="44"/>
      <c r="D158" s="3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4"/>
      <c r="T158" s="45"/>
      <c r="U158" s="45"/>
      <c r="V158" s="35"/>
      <c r="W158" s="48" t="s">
        <v>484</v>
      </c>
    </row>
    <row r="159" spans="1:23" s="49" customFormat="1" ht="12.75" customHeight="1">
      <c r="A159" s="44" t="s">
        <v>186</v>
      </c>
      <c r="C159" s="44" t="s">
        <v>15</v>
      </c>
      <c r="D159" s="35"/>
      <c r="E159" s="94">
        <v>767386</v>
      </c>
      <c r="F159" s="94"/>
      <c r="G159" s="94">
        <v>4333075</v>
      </c>
      <c r="H159" s="94"/>
      <c r="I159" s="94">
        <v>0</v>
      </c>
      <c r="J159" s="94"/>
      <c r="K159" s="94">
        <v>277969</v>
      </c>
      <c r="L159" s="94"/>
      <c r="M159" s="94">
        <v>1408241</v>
      </c>
      <c r="N159" s="94"/>
      <c r="O159" s="94">
        <v>0</v>
      </c>
      <c r="P159" s="94"/>
      <c r="Q159" s="94">
        <f>178145+57157</f>
        <v>235302</v>
      </c>
      <c r="R159" s="94"/>
      <c r="S159" s="46">
        <f t="shared" si="3"/>
        <v>306516</v>
      </c>
      <c r="T159" s="94"/>
      <c r="U159" s="94">
        <v>7328489</v>
      </c>
      <c r="V159" s="64"/>
      <c r="W159" s="94">
        <v>16444</v>
      </c>
    </row>
    <row r="160" spans="1:23" s="44" customFormat="1" ht="12.75" customHeight="1">
      <c r="A160" s="44" t="s">
        <v>187</v>
      </c>
      <c r="C160" s="44" t="s">
        <v>27</v>
      </c>
      <c r="D160" s="35"/>
      <c r="E160" s="45">
        <v>4683907</v>
      </c>
      <c r="F160" s="45"/>
      <c r="G160" s="45">
        <v>8240353</v>
      </c>
      <c r="H160" s="45"/>
      <c r="I160" s="45">
        <v>0</v>
      </c>
      <c r="J160" s="45"/>
      <c r="K160" s="45">
        <v>1212043</v>
      </c>
      <c r="L160" s="45"/>
      <c r="M160" s="45">
        <v>3186270</v>
      </c>
      <c r="N160" s="45"/>
      <c r="O160" s="45">
        <v>0</v>
      </c>
      <c r="P160" s="45"/>
      <c r="Q160" s="45">
        <v>991660</v>
      </c>
      <c r="R160" s="45"/>
      <c r="S160" s="44">
        <f t="shared" si="3"/>
        <v>28750</v>
      </c>
      <c r="T160" s="45"/>
      <c r="U160" s="45">
        <v>18342983</v>
      </c>
      <c r="V160" s="35"/>
      <c r="W160" s="45">
        <f>18840+48815</f>
        <v>67655</v>
      </c>
    </row>
    <row r="161" spans="1:24" s="49" customFormat="1" ht="12.75" customHeight="1">
      <c r="A161" s="44" t="s">
        <v>189</v>
      </c>
      <c r="C161" s="44" t="s">
        <v>17</v>
      </c>
      <c r="D161" s="35"/>
      <c r="E161" s="45">
        <v>1057570</v>
      </c>
      <c r="F161" s="45"/>
      <c r="G161" s="45">
        <v>0</v>
      </c>
      <c r="H161" s="45"/>
      <c r="I161" s="45">
        <v>0</v>
      </c>
      <c r="J161" s="45"/>
      <c r="K161" s="45">
        <v>0</v>
      </c>
      <c r="L161" s="45"/>
      <c r="M161" s="45">
        <v>1242413</v>
      </c>
      <c r="N161" s="45"/>
      <c r="O161" s="45">
        <v>0</v>
      </c>
      <c r="P161" s="45"/>
      <c r="Q161" s="45">
        <v>1039539</v>
      </c>
      <c r="R161" s="45"/>
      <c r="S161" s="44">
        <f t="shared" si="3"/>
        <v>448964</v>
      </c>
      <c r="T161" s="45"/>
      <c r="U161" s="45">
        <v>3788486</v>
      </c>
      <c r="V161" s="35"/>
      <c r="W161" s="45">
        <v>6263244</v>
      </c>
    </row>
    <row r="162" spans="1:24" s="49" customFormat="1" ht="12.75" customHeight="1">
      <c r="A162" s="44" t="s">
        <v>188</v>
      </c>
      <c r="C162" s="44" t="s">
        <v>27</v>
      </c>
      <c r="D162" s="35"/>
      <c r="E162" s="45">
        <v>798059</v>
      </c>
      <c r="F162" s="45"/>
      <c r="G162" s="45">
        <v>9660643</v>
      </c>
      <c r="H162" s="45"/>
      <c r="I162" s="45">
        <v>0</v>
      </c>
      <c r="J162" s="45"/>
      <c r="K162" s="45">
        <v>192223</v>
      </c>
      <c r="L162" s="45"/>
      <c r="M162" s="45">
        <v>1532104</v>
      </c>
      <c r="N162" s="45"/>
      <c r="O162" s="45">
        <v>0</v>
      </c>
      <c r="P162" s="45"/>
      <c r="Q162" s="45">
        <f>264991+299032</f>
        <v>564023</v>
      </c>
      <c r="R162" s="45"/>
      <c r="S162" s="44">
        <f t="shared" si="3"/>
        <v>131390</v>
      </c>
      <c r="T162" s="45"/>
      <c r="U162" s="45">
        <v>12878442</v>
      </c>
      <c r="V162" s="35"/>
      <c r="W162" s="45">
        <v>0</v>
      </c>
    </row>
    <row r="163" spans="1:24" s="49" customFormat="1" ht="12.75" customHeight="1">
      <c r="A163" s="44" t="s">
        <v>190</v>
      </c>
      <c r="C163" s="44" t="s">
        <v>47</v>
      </c>
      <c r="D163" s="35"/>
      <c r="E163" s="45">
        <v>260524</v>
      </c>
      <c r="F163" s="45"/>
      <c r="G163" s="45">
        <v>3020442</v>
      </c>
      <c r="H163" s="45"/>
      <c r="I163" s="45">
        <v>22595</v>
      </c>
      <c r="J163" s="45"/>
      <c r="K163" s="45">
        <v>112138</v>
      </c>
      <c r="L163" s="45"/>
      <c r="M163" s="45">
        <v>594062</v>
      </c>
      <c r="N163" s="45"/>
      <c r="O163" s="45">
        <v>67523</v>
      </c>
      <c r="P163" s="45"/>
      <c r="Q163" s="45">
        <v>269607</v>
      </c>
      <c r="R163" s="45"/>
      <c r="S163" s="44">
        <f t="shared" si="3"/>
        <v>80111</v>
      </c>
      <c r="T163" s="45"/>
      <c r="U163" s="45">
        <v>4427002</v>
      </c>
      <c r="V163" s="35"/>
      <c r="W163" s="45">
        <v>0</v>
      </c>
    </row>
    <row r="164" spans="1:24" s="49" customFormat="1" ht="12.75" customHeight="1">
      <c r="A164" s="44" t="s">
        <v>191</v>
      </c>
      <c r="C164" s="44" t="s">
        <v>13</v>
      </c>
      <c r="D164" s="35"/>
      <c r="E164" s="45">
        <v>373765</v>
      </c>
      <c r="F164" s="45"/>
      <c r="G164" s="45">
        <v>4136502</v>
      </c>
      <c r="H164" s="45"/>
      <c r="I164" s="45">
        <v>0</v>
      </c>
      <c r="J164" s="45"/>
      <c r="K164" s="45">
        <v>65764</v>
      </c>
      <c r="L164" s="45"/>
      <c r="M164" s="45">
        <v>801870</v>
      </c>
      <c r="N164" s="45"/>
      <c r="O164" s="45">
        <v>0</v>
      </c>
      <c r="P164" s="45"/>
      <c r="Q164" s="45">
        <f>57677+116576</f>
        <v>174253</v>
      </c>
      <c r="R164" s="45"/>
      <c r="S164" s="44">
        <f t="shared" si="3"/>
        <v>18627</v>
      </c>
      <c r="T164" s="45"/>
      <c r="U164" s="45">
        <v>5570781</v>
      </c>
      <c r="V164" s="35"/>
      <c r="W164" s="45">
        <v>0</v>
      </c>
    </row>
    <row r="165" spans="1:24" s="49" customFormat="1" ht="12.75" customHeight="1">
      <c r="A165" s="44" t="s">
        <v>192</v>
      </c>
      <c r="C165" s="44" t="s">
        <v>38</v>
      </c>
      <c r="D165" s="35"/>
      <c r="E165" s="45">
        <v>784717</v>
      </c>
      <c r="F165" s="45"/>
      <c r="G165" s="45">
        <v>4014957</v>
      </c>
      <c r="H165" s="45"/>
      <c r="I165" s="45">
        <v>0</v>
      </c>
      <c r="J165" s="45"/>
      <c r="K165" s="45">
        <v>110913</v>
      </c>
      <c r="L165" s="45"/>
      <c r="M165" s="45">
        <v>946819</v>
      </c>
      <c r="N165" s="45"/>
      <c r="O165" s="45">
        <v>5379</v>
      </c>
      <c r="P165" s="45"/>
      <c r="Q165" s="45">
        <f>15423+740980</f>
        <v>756403</v>
      </c>
      <c r="R165" s="45"/>
      <c r="S165" s="44">
        <f t="shared" si="3"/>
        <v>168340</v>
      </c>
      <c r="T165" s="45"/>
      <c r="U165" s="45">
        <v>6787528</v>
      </c>
      <c r="V165" s="35"/>
      <c r="W165" s="45">
        <v>0</v>
      </c>
    </row>
    <row r="166" spans="1:24" s="46" customFormat="1" ht="12.75" customHeight="1">
      <c r="A166" s="44" t="s">
        <v>193</v>
      </c>
      <c r="B166" s="49"/>
      <c r="C166" s="44" t="s">
        <v>45</v>
      </c>
      <c r="D166" s="35"/>
      <c r="E166" s="45">
        <v>2601753</v>
      </c>
      <c r="F166" s="45"/>
      <c r="G166" s="45">
        <v>14477543</v>
      </c>
      <c r="H166" s="45"/>
      <c r="I166" s="45">
        <v>12455</v>
      </c>
      <c r="J166" s="45"/>
      <c r="K166" s="45">
        <v>622625</v>
      </c>
      <c r="L166" s="45"/>
      <c r="M166" s="45">
        <v>1411313</v>
      </c>
      <c r="N166" s="45"/>
      <c r="O166" s="45">
        <v>0</v>
      </c>
      <c r="P166" s="45"/>
      <c r="Q166" s="45">
        <v>471198</v>
      </c>
      <c r="R166" s="45"/>
      <c r="S166" s="44">
        <f t="shared" si="3"/>
        <v>81742</v>
      </c>
      <c r="T166" s="45"/>
      <c r="U166" s="45">
        <v>19678629</v>
      </c>
      <c r="V166" s="35"/>
      <c r="W166" s="45">
        <v>215955</v>
      </c>
      <c r="X166" s="65"/>
    </row>
    <row r="167" spans="1:24" s="49" customFormat="1" ht="12.75" customHeight="1">
      <c r="A167" s="44" t="s">
        <v>194</v>
      </c>
      <c r="C167" s="44" t="s">
        <v>66</v>
      </c>
      <c r="D167" s="35"/>
      <c r="E167" s="45">
        <v>1347765</v>
      </c>
      <c r="F167" s="45"/>
      <c r="G167" s="45">
        <v>5762811</v>
      </c>
      <c r="H167" s="45"/>
      <c r="I167" s="45">
        <v>0</v>
      </c>
      <c r="J167" s="45"/>
      <c r="K167" s="45">
        <v>246462</v>
      </c>
      <c r="L167" s="45"/>
      <c r="M167" s="45">
        <v>1075063</v>
      </c>
      <c r="N167" s="45"/>
      <c r="O167" s="45">
        <v>0</v>
      </c>
      <c r="P167" s="45"/>
      <c r="Q167" s="45">
        <v>124225</v>
      </c>
      <c r="R167" s="45"/>
      <c r="S167" s="44">
        <f t="shared" si="3"/>
        <v>192577</v>
      </c>
      <c r="T167" s="45"/>
      <c r="U167" s="45">
        <v>8748903</v>
      </c>
      <c r="V167" s="35"/>
      <c r="W167" s="45">
        <v>0</v>
      </c>
    </row>
    <row r="168" spans="1:24" s="49" customFormat="1" ht="12.75" customHeight="1">
      <c r="A168" s="44" t="s">
        <v>195</v>
      </c>
      <c r="C168" s="44" t="s">
        <v>17</v>
      </c>
      <c r="D168" s="35"/>
      <c r="E168" s="45">
        <v>501535</v>
      </c>
      <c r="F168" s="45"/>
      <c r="G168" s="45">
        <v>3313558</v>
      </c>
      <c r="H168" s="45"/>
      <c r="I168" s="45">
        <v>0</v>
      </c>
      <c r="J168" s="45"/>
      <c r="K168" s="45">
        <v>89157</v>
      </c>
      <c r="L168" s="45"/>
      <c r="M168" s="45">
        <v>1847719</v>
      </c>
      <c r="N168" s="45"/>
      <c r="O168" s="45">
        <v>689</v>
      </c>
      <c r="P168" s="45"/>
      <c r="Q168" s="45">
        <f>228161+825649</f>
        <v>1053810</v>
      </c>
      <c r="R168" s="45"/>
      <c r="S168" s="44">
        <f t="shared" si="3"/>
        <v>1023724</v>
      </c>
      <c r="T168" s="45"/>
      <c r="U168" s="45">
        <v>7830192</v>
      </c>
      <c r="V168" s="35"/>
      <c r="W168" s="45">
        <v>100500</v>
      </c>
    </row>
    <row r="169" spans="1:24" s="49" customFormat="1" ht="12.75" customHeight="1">
      <c r="A169" s="44" t="s">
        <v>196</v>
      </c>
      <c r="C169" s="44" t="s">
        <v>27</v>
      </c>
      <c r="D169" s="35"/>
      <c r="E169" s="45">
        <v>440793</v>
      </c>
      <c r="F169" s="45"/>
      <c r="G169" s="45">
        <v>2341681</v>
      </c>
      <c r="H169" s="45"/>
      <c r="I169" s="45">
        <v>0</v>
      </c>
      <c r="J169" s="45"/>
      <c r="K169" s="45">
        <v>239753</v>
      </c>
      <c r="L169" s="45"/>
      <c r="M169" s="45">
        <v>459779</v>
      </c>
      <c r="N169" s="45"/>
      <c r="O169" s="45">
        <v>0</v>
      </c>
      <c r="P169" s="45"/>
      <c r="Q169" s="45">
        <f>87516+140348</f>
        <v>227864</v>
      </c>
      <c r="R169" s="45"/>
      <c r="S169" s="44">
        <f t="shared" si="3"/>
        <v>23362</v>
      </c>
      <c r="T169" s="45"/>
      <c r="U169" s="45">
        <v>3733232</v>
      </c>
      <c r="V169" s="35"/>
      <c r="W169" s="45">
        <v>0</v>
      </c>
    </row>
    <row r="170" spans="1:24" s="49" customFormat="1" ht="12.75" customHeight="1">
      <c r="A170" s="44" t="s">
        <v>402</v>
      </c>
      <c r="C170" s="44" t="s">
        <v>153</v>
      </c>
      <c r="D170" s="35"/>
      <c r="E170" s="45">
        <v>466513</v>
      </c>
      <c r="F170" s="45"/>
      <c r="G170" s="45">
        <v>2683291</v>
      </c>
      <c r="H170" s="45"/>
      <c r="I170" s="45">
        <v>0</v>
      </c>
      <c r="J170" s="45"/>
      <c r="K170" s="45">
        <v>39643</v>
      </c>
      <c r="L170" s="45"/>
      <c r="M170" s="45">
        <v>310709</v>
      </c>
      <c r="N170" s="45"/>
      <c r="O170" s="45">
        <v>0</v>
      </c>
      <c r="P170" s="45"/>
      <c r="Q170" s="45">
        <v>247118</v>
      </c>
      <c r="R170" s="45"/>
      <c r="S170" s="44">
        <f t="shared" si="3"/>
        <v>319627</v>
      </c>
      <c r="T170" s="45"/>
      <c r="U170" s="45">
        <v>4066901</v>
      </c>
      <c r="V170" s="35"/>
      <c r="W170" s="45">
        <v>8750</v>
      </c>
    </row>
    <row r="171" spans="1:24" s="49" customFormat="1" ht="12.75" customHeight="1">
      <c r="A171" s="46" t="s">
        <v>197</v>
      </c>
      <c r="B171" s="46"/>
      <c r="C171" s="46" t="s">
        <v>163</v>
      </c>
      <c r="D171" s="64"/>
      <c r="E171" s="45">
        <v>1031831</v>
      </c>
      <c r="F171" s="45"/>
      <c r="G171" s="45">
        <v>12888750</v>
      </c>
      <c r="H171" s="45"/>
      <c r="I171" s="45">
        <v>0</v>
      </c>
      <c r="J171" s="45"/>
      <c r="K171" s="45">
        <v>1516077</v>
      </c>
      <c r="L171" s="45"/>
      <c r="M171" s="45">
        <v>1191820</v>
      </c>
      <c r="N171" s="45"/>
      <c r="O171" s="45">
        <v>11128</v>
      </c>
      <c r="P171" s="45"/>
      <c r="Q171" s="45">
        <f>233210+382229</f>
        <v>615439</v>
      </c>
      <c r="R171" s="45"/>
      <c r="S171" s="44">
        <f t="shared" si="3"/>
        <v>1128236</v>
      </c>
      <c r="T171" s="45"/>
      <c r="U171" s="45">
        <v>18383281</v>
      </c>
      <c r="V171" s="35"/>
      <c r="W171" s="45">
        <v>1838</v>
      </c>
    </row>
    <row r="172" spans="1:24" s="49" customFormat="1" ht="12.75" customHeight="1">
      <c r="A172" s="44" t="s">
        <v>198</v>
      </c>
      <c r="C172" s="44" t="s">
        <v>199</v>
      </c>
      <c r="D172" s="35"/>
      <c r="E172" s="45">
        <v>500638</v>
      </c>
      <c r="F172" s="45"/>
      <c r="G172" s="45">
        <v>3271627</v>
      </c>
      <c r="H172" s="45"/>
      <c r="I172" s="45">
        <v>880337</v>
      </c>
      <c r="J172" s="45"/>
      <c r="K172" s="45">
        <v>279692</v>
      </c>
      <c r="L172" s="45"/>
      <c r="M172" s="45">
        <v>639986</v>
      </c>
      <c r="N172" s="45"/>
      <c r="O172" s="45">
        <v>0</v>
      </c>
      <c r="P172" s="45"/>
      <c r="Q172" s="45">
        <v>30764</v>
      </c>
      <c r="R172" s="45"/>
      <c r="S172" s="44">
        <f t="shared" si="3"/>
        <v>125637</v>
      </c>
      <c r="T172" s="45"/>
      <c r="U172" s="45">
        <v>5728681</v>
      </c>
      <c r="V172" s="35"/>
      <c r="W172" s="45">
        <v>0</v>
      </c>
    </row>
    <row r="173" spans="1:24" s="49" customFormat="1" ht="12.75" customHeight="1">
      <c r="A173" s="44" t="s">
        <v>200</v>
      </c>
      <c r="C173" s="44" t="s">
        <v>103</v>
      </c>
      <c r="D173" s="35"/>
      <c r="E173" s="45">
        <v>1223420</v>
      </c>
      <c r="F173" s="45"/>
      <c r="G173" s="45">
        <v>6712088</v>
      </c>
      <c r="H173" s="45"/>
      <c r="I173" s="45">
        <v>0</v>
      </c>
      <c r="J173" s="45"/>
      <c r="K173" s="45">
        <v>960226</v>
      </c>
      <c r="L173" s="45"/>
      <c r="M173" s="45">
        <v>946652</v>
      </c>
      <c r="N173" s="45"/>
      <c r="O173" s="45">
        <v>0</v>
      </c>
      <c r="P173" s="45"/>
      <c r="Q173" s="45">
        <f>324252+419597</f>
        <v>743849</v>
      </c>
      <c r="R173" s="45"/>
      <c r="S173" s="44">
        <f t="shared" si="3"/>
        <v>224379</v>
      </c>
      <c r="T173" s="45"/>
      <c r="U173" s="45">
        <v>10810614</v>
      </c>
      <c r="V173" s="35"/>
      <c r="W173" s="45">
        <v>0</v>
      </c>
    </row>
    <row r="174" spans="1:24" s="46" customFormat="1" ht="12.75" customHeight="1">
      <c r="A174" s="44" t="s">
        <v>201</v>
      </c>
      <c r="B174" s="49"/>
      <c r="C174" s="44" t="s">
        <v>92</v>
      </c>
      <c r="D174" s="35"/>
      <c r="E174" s="45">
        <v>495686</v>
      </c>
      <c r="F174" s="45"/>
      <c r="G174" s="45">
        <v>7157251</v>
      </c>
      <c r="H174" s="45"/>
      <c r="I174" s="45">
        <v>13305</v>
      </c>
      <c r="J174" s="45"/>
      <c r="K174" s="45">
        <v>57322</v>
      </c>
      <c r="L174" s="45"/>
      <c r="M174" s="45">
        <v>1599354</v>
      </c>
      <c r="N174" s="45"/>
      <c r="O174" s="45">
        <v>0</v>
      </c>
      <c r="P174" s="45"/>
      <c r="Q174" s="45">
        <f>303800+856736</f>
        <v>1160536</v>
      </c>
      <c r="R174" s="45"/>
      <c r="S174" s="44">
        <f t="shared" si="3"/>
        <v>846664</v>
      </c>
      <c r="T174" s="45"/>
      <c r="U174" s="45">
        <v>11330118</v>
      </c>
      <c r="V174" s="35"/>
      <c r="W174" s="45">
        <f>9169+1235757</f>
        <v>1244926</v>
      </c>
    </row>
    <row r="175" spans="1:24" s="49" customFormat="1" ht="12.75" customHeight="1">
      <c r="A175" s="46" t="s">
        <v>202</v>
      </c>
      <c r="B175" s="46"/>
      <c r="C175" s="46" t="s">
        <v>27</v>
      </c>
      <c r="D175" s="64"/>
      <c r="E175" s="45">
        <v>3742766</v>
      </c>
      <c r="F175" s="45"/>
      <c r="G175" s="45">
        <v>26995801</v>
      </c>
      <c r="H175" s="45"/>
      <c r="I175" s="45">
        <v>0</v>
      </c>
      <c r="J175" s="45"/>
      <c r="K175" s="45">
        <v>610634</v>
      </c>
      <c r="L175" s="45"/>
      <c r="M175" s="45">
        <v>6327342</v>
      </c>
      <c r="N175" s="45"/>
      <c r="O175" s="45">
        <v>0</v>
      </c>
      <c r="P175" s="45"/>
      <c r="Q175" s="45">
        <f>2116588+3164320</f>
        <v>5280908</v>
      </c>
      <c r="R175" s="45"/>
      <c r="S175" s="44">
        <f t="shared" si="3"/>
        <v>853953</v>
      </c>
      <c r="T175" s="45"/>
      <c r="U175" s="45">
        <v>43811404</v>
      </c>
      <c r="V175" s="35"/>
      <c r="W175" s="45">
        <v>0</v>
      </c>
    </row>
    <row r="176" spans="1:24" s="49" customFormat="1" ht="12.75" customHeight="1">
      <c r="A176" s="44" t="s">
        <v>203</v>
      </c>
      <c r="C176" s="44" t="s">
        <v>27</v>
      </c>
      <c r="E176" s="45">
        <v>2442144</v>
      </c>
      <c r="F176" s="45"/>
      <c r="G176" s="45">
        <v>7775267</v>
      </c>
      <c r="H176" s="45"/>
      <c r="I176" s="45">
        <v>0</v>
      </c>
      <c r="J176" s="45"/>
      <c r="K176" s="45">
        <v>1276166</v>
      </c>
      <c r="L176" s="45"/>
      <c r="M176" s="45">
        <v>1510768</v>
      </c>
      <c r="N176" s="45"/>
      <c r="O176" s="45">
        <v>0</v>
      </c>
      <c r="P176" s="45"/>
      <c r="Q176" s="45">
        <v>674039</v>
      </c>
      <c r="R176" s="45"/>
      <c r="S176" s="44">
        <f t="shared" si="3"/>
        <v>324159</v>
      </c>
      <c r="T176" s="45"/>
      <c r="U176" s="45">
        <v>14002543</v>
      </c>
      <c r="V176" s="35"/>
      <c r="W176" s="45">
        <v>1200</v>
      </c>
    </row>
    <row r="177" spans="1:23" s="49" customFormat="1" ht="12.75" customHeight="1">
      <c r="A177" s="44" t="s">
        <v>204</v>
      </c>
      <c r="C177" s="44" t="s">
        <v>125</v>
      </c>
      <c r="D177" s="35"/>
      <c r="E177" s="45">
        <v>1066711</v>
      </c>
      <c r="F177" s="45"/>
      <c r="G177" s="45">
        <v>0</v>
      </c>
      <c r="H177" s="45"/>
      <c r="I177" s="45">
        <v>0</v>
      </c>
      <c r="J177" s="45"/>
      <c r="K177" s="45">
        <v>9808</v>
      </c>
      <c r="L177" s="45"/>
      <c r="M177" s="45">
        <v>349013</v>
      </c>
      <c r="N177" s="45"/>
      <c r="O177" s="45">
        <v>4645</v>
      </c>
      <c r="P177" s="45"/>
      <c r="Q177" s="45">
        <f>235985+140733</f>
        <v>376718</v>
      </c>
      <c r="R177" s="45"/>
      <c r="S177" s="44">
        <f t="shared" si="3"/>
        <v>129426</v>
      </c>
      <c r="T177" s="45"/>
      <c r="U177" s="45">
        <v>1936321</v>
      </c>
      <c r="V177" s="35"/>
      <c r="W177" s="45">
        <v>0</v>
      </c>
    </row>
    <row r="178" spans="1:23" s="129" customFormat="1" ht="12.75" hidden="1" customHeight="1">
      <c r="A178" s="121" t="s">
        <v>205</v>
      </c>
      <c r="C178" s="121" t="s">
        <v>27</v>
      </c>
      <c r="D178" s="126"/>
      <c r="E178" s="127">
        <v>0</v>
      </c>
      <c r="F178" s="127"/>
      <c r="G178" s="127">
        <v>0</v>
      </c>
      <c r="H178" s="127"/>
      <c r="I178" s="127">
        <v>0</v>
      </c>
      <c r="J178" s="127"/>
      <c r="K178" s="127">
        <v>0</v>
      </c>
      <c r="L178" s="127"/>
      <c r="M178" s="127">
        <v>0</v>
      </c>
      <c r="N178" s="127"/>
      <c r="O178" s="127">
        <v>0</v>
      </c>
      <c r="P178" s="127"/>
      <c r="Q178" s="127">
        <v>0</v>
      </c>
      <c r="R178" s="127"/>
      <c r="S178" s="121">
        <f t="shared" si="3"/>
        <v>0</v>
      </c>
      <c r="T178" s="127"/>
      <c r="U178" s="127">
        <v>0</v>
      </c>
      <c r="V178" s="126"/>
      <c r="W178" s="127">
        <v>0</v>
      </c>
    </row>
    <row r="179" spans="1:23" s="49" customFormat="1" ht="12.75" customHeight="1">
      <c r="A179" s="44" t="s">
        <v>206</v>
      </c>
      <c r="C179" s="44" t="s">
        <v>47</v>
      </c>
      <c r="D179" s="35"/>
      <c r="E179" s="45">
        <v>1202754</v>
      </c>
      <c r="F179" s="45"/>
      <c r="G179" s="45">
        <v>13479113</v>
      </c>
      <c r="H179" s="45"/>
      <c r="I179" s="45">
        <v>0</v>
      </c>
      <c r="J179" s="45"/>
      <c r="K179" s="45">
        <v>902880</v>
      </c>
      <c r="L179" s="45"/>
      <c r="M179" s="45">
        <v>1615379</v>
      </c>
      <c r="N179" s="45"/>
      <c r="O179" s="45">
        <v>175951</v>
      </c>
      <c r="P179" s="45"/>
      <c r="Q179" s="45">
        <f>119331+721913</f>
        <v>841244</v>
      </c>
      <c r="R179" s="45"/>
      <c r="S179" s="44">
        <f t="shared" si="3"/>
        <v>218813</v>
      </c>
      <c r="T179" s="45"/>
      <c r="U179" s="45">
        <v>18436134</v>
      </c>
      <c r="V179" s="35"/>
      <c r="W179" s="45">
        <v>145573</v>
      </c>
    </row>
    <row r="180" spans="1:23" s="49" customFormat="1" ht="12.75" customHeight="1">
      <c r="A180" s="44" t="s">
        <v>207</v>
      </c>
      <c r="C180" s="44" t="s">
        <v>102</v>
      </c>
      <c r="D180" s="35"/>
      <c r="E180" s="45">
        <v>864255</v>
      </c>
      <c r="F180" s="45"/>
      <c r="G180" s="45">
        <v>4753299</v>
      </c>
      <c r="H180" s="45"/>
      <c r="I180" s="45">
        <v>104494</v>
      </c>
      <c r="J180" s="45"/>
      <c r="K180" s="45">
        <v>275219</v>
      </c>
      <c r="L180" s="45"/>
      <c r="M180" s="45">
        <v>568242</v>
      </c>
      <c r="N180" s="45"/>
      <c r="O180" s="45">
        <v>0</v>
      </c>
      <c r="P180" s="45"/>
      <c r="Q180" s="45">
        <f>397960+161675</f>
        <v>559635</v>
      </c>
      <c r="R180" s="45"/>
      <c r="S180" s="44">
        <f t="shared" si="3"/>
        <v>431303</v>
      </c>
      <c r="T180" s="45"/>
      <c r="U180" s="45">
        <v>7556447</v>
      </c>
      <c r="V180" s="35"/>
      <c r="W180" s="45">
        <v>16249</v>
      </c>
    </row>
    <row r="181" spans="1:23" s="49" customFormat="1" ht="12.75" customHeight="1">
      <c r="A181" s="44" t="s">
        <v>208</v>
      </c>
      <c r="C181" s="44" t="s">
        <v>209</v>
      </c>
      <c r="D181" s="35"/>
      <c r="E181" s="45">
        <v>1263334</v>
      </c>
      <c r="F181" s="45"/>
      <c r="G181" s="45">
        <v>5141225</v>
      </c>
      <c r="H181" s="45"/>
      <c r="I181" s="45">
        <v>1666606</v>
      </c>
      <c r="J181" s="45"/>
      <c r="K181" s="45">
        <v>0</v>
      </c>
      <c r="L181" s="45"/>
      <c r="M181" s="45">
        <f>46675+74899</f>
        <v>121574</v>
      </c>
      <c r="N181" s="45"/>
      <c r="O181" s="45">
        <v>0</v>
      </c>
      <c r="P181" s="45"/>
      <c r="Q181" s="45">
        <v>0</v>
      </c>
      <c r="R181" s="45"/>
      <c r="S181" s="44">
        <f t="shared" si="3"/>
        <v>3331234</v>
      </c>
      <c r="T181" s="45"/>
      <c r="U181" s="45">
        <v>11523973</v>
      </c>
      <c r="V181" s="35"/>
      <c r="W181" s="45">
        <v>54980</v>
      </c>
    </row>
    <row r="182" spans="1:23" s="49" customFormat="1" ht="12.75" customHeight="1">
      <c r="A182" s="44" t="s">
        <v>210</v>
      </c>
      <c r="C182" s="44" t="s">
        <v>211</v>
      </c>
      <c r="D182" s="35"/>
      <c r="E182" s="45">
        <v>572030</v>
      </c>
      <c r="F182" s="45"/>
      <c r="G182" s="45">
        <v>2080850</v>
      </c>
      <c r="H182" s="45"/>
      <c r="I182" s="45">
        <v>161421</v>
      </c>
      <c r="J182" s="45"/>
      <c r="K182" s="45">
        <v>280437</v>
      </c>
      <c r="L182" s="45"/>
      <c r="M182" s="45">
        <v>735718</v>
      </c>
      <c r="N182" s="45"/>
      <c r="O182" s="45">
        <v>0</v>
      </c>
      <c r="P182" s="45"/>
      <c r="Q182" s="45">
        <f>51507+7979</f>
        <v>59486</v>
      </c>
      <c r="R182" s="45"/>
      <c r="S182" s="44">
        <f t="shared" si="3"/>
        <v>107288</v>
      </c>
      <c r="T182" s="45"/>
      <c r="U182" s="45">
        <v>3997230</v>
      </c>
      <c r="V182" s="35"/>
      <c r="W182" s="45">
        <v>0</v>
      </c>
    </row>
    <row r="183" spans="1:23" s="49" customFormat="1" ht="12.75" customHeight="1">
      <c r="A183" s="44" t="s">
        <v>212</v>
      </c>
      <c r="C183" s="44" t="s">
        <v>213</v>
      </c>
      <c r="D183" s="35"/>
      <c r="E183" s="45">
        <v>7150530</v>
      </c>
      <c r="F183" s="45"/>
      <c r="G183" s="45">
        <v>0</v>
      </c>
      <c r="H183" s="45"/>
      <c r="I183" s="45">
        <v>0</v>
      </c>
      <c r="J183" s="45"/>
      <c r="K183" s="45">
        <v>341939</v>
      </c>
      <c r="L183" s="45"/>
      <c r="M183" s="45">
        <v>1401581</v>
      </c>
      <c r="N183" s="45"/>
      <c r="O183" s="45">
        <v>0</v>
      </c>
      <c r="P183" s="45"/>
      <c r="Q183" s="45">
        <f>225134+579418</f>
        <v>804552</v>
      </c>
      <c r="R183" s="45"/>
      <c r="S183" s="44">
        <f t="shared" si="3"/>
        <v>183209</v>
      </c>
      <c r="T183" s="45"/>
      <c r="U183" s="45">
        <v>9881811</v>
      </c>
      <c r="V183" s="35"/>
      <c r="W183" s="45">
        <v>45369</v>
      </c>
    </row>
    <row r="184" spans="1:23" s="49" customFormat="1" ht="12.75" customHeight="1">
      <c r="A184" s="44" t="s">
        <v>214</v>
      </c>
      <c r="C184" s="44" t="s">
        <v>86</v>
      </c>
      <c r="D184" s="35"/>
      <c r="E184" s="45">
        <v>519303</v>
      </c>
      <c r="F184" s="45"/>
      <c r="G184" s="45">
        <v>3781176</v>
      </c>
      <c r="H184" s="45"/>
      <c r="I184" s="45">
        <v>0</v>
      </c>
      <c r="J184" s="45"/>
      <c r="K184" s="45">
        <v>14070</v>
      </c>
      <c r="L184" s="45"/>
      <c r="M184" s="45">
        <f>210334+391375</f>
        <v>601709</v>
      </c>
      <c r="N184" s="45"/>
      <c r="O184" s="45">
        <v>0</v>
      </c>
      <c r="P184" s="45"/>
      <c r="Q184" s="45">
        <f>441818+7104</f>
        <v>448922</v>
      </c>
      <c r="R184" s="45"/>
      <c r="S184" s="44">
        <f>U184-E184-G184-K184-M184-O184-Q184-I184</f>
        <v>285158</v>
      </c>
      <c r="T184" s="45"/>
      <c r="U184" s="45">
        <v>5650338</v>
      </c>
      <c r="V184" s="35"/>
      <c r="W184" s="44">
        <v>0</v>
      </c>
    </row>
    <row r="185" spans="1:23" s="49" customFormat="1" ht="12.75" customHeight="1">
      <c r="A185" s="46" t="s">
        <v>215</v>
      </c>
      <c r="B185" s="46"/>
      <c r="C185" s="46" t="s">
        <v>22</v>
      </c>
      <c r="D185" s="64"/>
      <c r="E185" s="45">
        <v>596868</v>
      </c>
      <c r="F185" s="45"/>
      <c r="G185" s="45">
        <v>4476129</v>
      </c>
      <c r="H185" s="45"/>
      <c r="I185" s="45">
        <v>0</v>
      </c>
      <c r="J185" s="45"/>
      <c r="K185" s="45">
        <v>4158</v>
      </c>
      <c r="L185" s="45"/>
      <c r="M185" s="45">
        <v>972527</v>
      </c>
      <c r="N185" s="45"/>
      <c r="O185" s="45">
        <v>0</v>
      </c>
      <c r="P185" s="45"/>
      <c r="Q185" s="45">
        <f>432549+48949</f>
        <v>481498</v>
      </c>
      <c r="R185" s="45"/>
      <c r="S185" s="44">
        <f t="shared" ref="S185:S241" si="4">U185-E185-G185-K185-M185-O185-Q185-I185</f>
        <v>103485</v>
      </c>
      <c r="T185" s="45"/>
      <c r="U185" s="45">
        <v>6634665</v>
      </c>
      <c r="V185" s="35"/>
      <c r="W185" s="45">
        <v>5256</v>
      </c>
    </row>
    <row r="186" spans="1:23" s="49" customFormat="1" ht="12.75" customHeight="1">
      <c r="A186" s="44" t="s">
        <v>216</v>
      </c>
      <c r="C186" s="44" t="s">
        <v>45</v>
      </c>
      <c r="D186" s="35"/>
      <c r="E186" s="45">
        <v>6314133</v>
      </c>
      <c r="F186" s="45"/>
      <c r="G186" s="45">
        <v>0</v>
      </c>
      <c r="H186" s="45"/>
      <c r="I186" s="45">
        <v>0</v>
      </c>
      <c r="J186" s="45"/>
      <c r="K186" s="45">
        <v>827905</v>
      </c>
      <c r="L186" s="45"/>
      <c r="M186" s="45">
        <v>626041</v>
      </c>
      <c r="N186" s="45"/>
      <c r="O186" s="45">
        <v>0</v>
      </c>
      <c r="P186" s="45"/>
      <c r="Q186" s="45">
        <v>281927</v>
      </c>
      <c r="R186" s="45"/>
      <c r="S186" s="44">
        <f t="shared" si="4"/>
        <v>53176</v>
      </c>
      <c r="T186" s="45"/>
      <c r="U186" s="45">
        <v>8103182</v>
      </c>
      <c r="V186" s="35"/>
      <c r="W186" s="45">
        <f>216666+113226</f>
        <v>329892</v>
      </c>
    </row>
    <row r="187" spans="1:23" s="49" customFormat="1" ht="12.75" customHeight="1">
      <c r="A187" s="44" t="s">
        <v>217</v>
      </c>
      <c r="C187" s="44" t="s">
        <v>43</v>
      </c>
      <c r="D187" s="35"/>
      <c r="E187" s="45">
        <v>8151012</v>
      </c>
      <c r="F187" s="45"/>
      <c r="G187" s="45">
        <v>0</v>
      </c>
      <c r="H187" s="45"/>
      <c r="I187" s="45">
        <v>0</v>
      </c>
      <c r="J187" s="45"/>
      <c r="K187" s="45">
        <v>166021</v>
      </c>
      <c r="L187" s="45"/>
      <c r="M187" s="45">
        <v>1823568</v>
      </c>
      <c r="N187" s="45"/>
      <c r="O187" s="45">
        <v>0</v>
      </c>
      <c r="P187" s="45"/>
      <c r="Q187" s="45">
        <f>279620+498954</f>
        <v>778574</v>
      </c>
      <c r="R187" s="45"/>
      <c r="S187" s="44">
        <f t="shared" si="4"/>
        <v>559688</v>
      </c>
      <c r="T187" s="45"/>
      <c r="U187" s="45">
        <v>11478863</v>
      </c>
      <c r="V187" s="35"/>
      <c r="W187" s="45">
        <v>0</v>
      </c>
    </row>
    <row r="188" spans="1:23" s="129" customFormat="1" ht="12.75" hidden="1" customHeight="1">
      <c r="A188" s="121" t="s">
        <v>218</v>
      </c>
      <c r="C188" s="121" t="s">
        <v>27</v>
      </c>
      <c r="D188" s="126"/>
      <c r="E188" s="127">
        <v>0</v>
      </c>
      <c r="F188" s="127"/>
      <c r="G188" s="127">
        <v>0</v>
      </c>
      <c r="H188" s="127"/>
      <c r="I188" s="127">
        <v>0</v>
      </c>
      <c r="J188" s="127"/>
      <c r="K188" s="127">
        <v>0</v>
      </c>
      <c r="L188" s="127"/>
      <c r="M188" s="127">
        <v>0</v>
      </c>
      <c r="N188" s="127"/>
      <c r="O188" s="127">
        <v>0</v>
      </c>
      <c r="P188" s="127"/>
      <c r="Q188" s="127">
        <v>0</v>
      </c>
      <c r="R188" s="127"/>
      <c r="S188" s="121">
        <f t="shared" si="4"/>
        <v>0</v>
      </c>
      <c r="T188" s="127"/>
      <c r="U188" s="127">
        <v>0</v>
      </c>
      <c r="V188" s="126"/>
      <c r="W188" s="127">
        <v>0</v>
      </c>
    </row>
    <row r="189" spans="1:23" s="49" customFormat="1" ht="12.75" customHeight="1">
      <c r="A189" s="44" t="s">
        <v>219</v>
      </c>
      <c r="C189" s="44" t="s">
        <v>199</v>
      </c>
      <c r="D189" s="35"/>
      <c r="E189" s="45">
        <v>345764</v>
      </c>
      <c r="F189" s="45"/>
      <c r="G189" s="45">
        <v>733144</v>
      </c>
      <c r="H189" s="45"/>
      <c r="I189" s="45">
        <v>0</v>
      </c>
      <c r="J189" s="45"/>
      <c r="K189" s="45">
        <v>981357</v>
      </c>
      <c r="L189" s="45"/>
      <c r="M189" s="45">
        <v>565967</v>
      </c>
      <c r="N189" s="45"/>
      <c r="O189" s="45">
        <v>0</v>
      </c>
      <c r="P189" s="45"/>
      <c r="Q189" s="45">
        <v>26537</v>
      </c>
      <c r="R189" s="45"/>
      <c r="S189" s="44">
        <f t="shared" si="4"/>
        <v>71987</v>
      </c>
      <c r="T189" s="45"/>
      <c r="U189" s="45">
        <v>2724756</v>
      </c>
      <c r="V189" s="35"/>
      <c r="W189" s="45">
        <v>0</v>
      </c>
    </row>
    <row r="190" spans="1:23" s="49" customFormat="1" ht="12.75" customHeight="1">
      <c r="A190" s="44" t="s">
        <v>220</v>
      </c>
      <c r="C190" s="44" t="s">
        <v>66</v>
      </c>
      <c r="D190" s="35"/>
      <c r="E190" s="45">
        <v>471919</v>
      </c>
      <c r="F190" s="45"/>
      <c r="G190" s="45">
        <v>4222589</v>
      </c>
      <c r="H190" s="45"/>
      <c r="I190" s="45">
        <v>250120</v>
      </c>
      <c r="J190" s="45"/>
      <c r="K190" s="45">
        <v>2905</v>
      </c>
      <c r="L190" s="45"/>
      <c r="M190" s="45">
        <v>762565</v>
      </c>
      <c r="N190" s="45"/>
      <c r="O190" s="45">
        <v>0</v>
      </c>
      <c r="P190" s="45"/>
      <c r="Q190" s="45">
        <v>43623</v>
      </c>
      <c r="R190" s="45"/>
      <c r="S190" s="44">
        <f t="shared" si="4"/>
        <v>62484</v>
      </c>
      <c r="T190" s="45"/>
      <c r="U190" s="45">
        <v>5816205</v>
      </c>
      <c r="V190" s="35"/>
      <c r="W190" s="45">
        <v>0</v>
      </c>
    </row>
    <row r="191" spans="1:23" s="49" customFormat="1" ht="12.75" customHeight="1">
      <c r="A191" s="44" t="s">
        <v>221</v>
      </c>
      <c r="C191" s="44" t="s">
        <v>27</v>
      </c>
      <c r="D191" s="35"/>
      <c r="E191" s="45">
        <v>3873395</v>
      </c>
      <c r="F191" s="45"/>
      <c r="G191" s="45">
        <v>8106509</v>
      </c>
      <c r="H191" s="45"/>
      <c r="I191" s="45">
        <v>37189</v>
      </c>
      <c r="J191" s="45"/>
      <c r="K191" s="45">
        <v>22177</v>
      </c>
      <c r="L191" s="45"/>
      <c r="M191" s="45">
        <v>2617257</v>
      </c>
      <c r="N191" s="45"/>
      <c r="O191" s="45">
        <v>0</v>
      </c>
      <c r="P191" s="45"/>
      <c r="Q191" s="45">
        <v>3070179</v>
      </c>
      <c r="R191" s="45"/>
      <c r="S191" s="44">
        <f t="shared" si="4"/>
        <v>207641</v>
      </c>
      <c r="T191" s="45"/>
      <c r="U191" s="45">
        <v>17934347</v>
      </c>
      <c r="V191" s="35"/>
      <c r="W191" s="45">
        <v>11537</v>
      </c>
    </row>
    <row r="192" spans="1:23" s="49" customFormat="1" ht="12.75" customHeight="1">
      <c r="A192" s="44" t="s">
        <v>222</v>
      </c>
      <c r="C192" s="44" t="s">
        <v>47</v>
      </c>
      <c r="D192" s="35"/>
      <c r="E192" s="45">
        <v>954553</v>
      </c>
      <c r="F192" s="45"/>
      <c r="G192" s="45">
        <v>3462531</v>
      </c>
      <c r="H192" s="45"/>
      <c r="I192" s="45">
        <v>0</v>
      </c>
      <c r="J192" s="45"/>
      <c r="K192" s="45">
        <v>135755</v>
      </c>
      <c r="L192" s="45"/>
      <c r="M192" s="45">
        <v>859301</v>
      </c>
      <c r="N192" s="45"/>
      <c r="O192" s="45">
        <v>0</v>
      </c>
      <c r="P192" s="45"/>
      <c r="Q192" s="45">
        <v>41649</v>
      </c>
      <c r="R192" s="45"/>
      <c r="S192" s="44">
        <f t="shared" si="4"/>
        <v>13752</v>
      </c>
      <c r="T192" s="45"/>
      <c r="U192" s="45">
        <v>5467541</v>
      </c>
      <c r="V192" s="35"/>
      <c r="W192" s="45">
        <v>153</v>
      </c>
    </row>
    <row r="193" spans="1:24" s="49" customFormat="1" ht="12.75" customHeight="1">
      <c r="A193" s="44" t="s">
        <v>223</v>
      </c>
      <c r="C193" s="44" t="s">
        <v>94</v>
      </c>
      <c r="D193" s="35"/>
      <c r="E193" s="45">
        <v>651015</v>
      </c>
      <c r="F193" s="45"/>
      <c r="G193" s="45">
        <v>0</v>
      </c>
      <c r="H193" s="45"/>
      <c r="I193" s="45">
        <v>0</v>
      </c>
      <c r="J193" s="45"/>
      <c r="K193" s="45">
        <v>71470</v>
      </c>
      <c r="L193" s="45"/>
      <c r="M193" s="45">
        <v>491878</v>
      </c>
      <c r="N193" s="45"/>
      <c r="O193" s="45">
        <v>7390</v>
      </c>
      <c r="P193" s="45"/>
      <c r="Q193" s="45">
        <f>281857+14076</f>
        <v>295933</v>
      </c>
      <c r="R193" s="45"/>
      <c r="S193" s="44">
        <f t="shared" si="4"/>
        <v>245382</v>
      </c>
      <c r="T193" s="45"/>
      <c r="U193" s="45">
        <v>1763068</v>
      </c>
      <c r="V193" s="35"/>
      <c r="W193" s="45">
        <f>3320+2916543</f>
        <v>2919863</v>
      </c>
    </row>
    <row r="194" spans="1:24" s="49" customFormat="1" ht="12.75" customHeight="1">
      <c r="A194" s="44" t="s">
        <v>76</v>
      </c>
      <c r="C194" s="44" t="s">
        <v>132</v>
      </c>
      <c r="D194" s="35"/>
      <c r="E194" s="45">
        <v>1578882</v>
      </c>
      <c r="F194" s="45"/>
      <c r="G194" s="45">
        <v>6008088</v>
      </c>
      <c r="H194" s="45"/>
      <c r="I194" s="45">
        <v>3823598</v>
      </c>
      <c r="J194" s="45"/>
      <c r="K194" s="45">
        <v>1013084</v>
      </c>
      <c r="L194" s="45"/>
      <c r="M194" s="45">
        <v>1667802</v>
      </c>
      <c r="N194" s="45"/>
      <c r="O194" s="45">
        <v>0</v>
      </c>
      <c r="P194" s="45"/>
      <c r="Q194" s="45">
        <f>578487+1016736</f>
        <v>1595223</v>
      </c>
      <c r="R194" s="45"/>
      <c r="S194" s="44">
        <f t="shared" si="4"/>
        <v>1279619</v>
      </c>
      <c r="T194" s="45"/>
      <c r="U194" s="45">
        <v>16966296</v>
      </c>
      <c r="V194" s="35"/>
      <c r="W194" s="45">
        <v>17078</v>
      </c>
    </row>
    <row r="195" spans="1:24" s="49" customFormat="1" ht="12.75" customHeight="1">
      <c r="A195" s="44" t="s">
        <v>224</v>
      </c>
      <c r="C195" s="44" t="s">
        <v>27</v>
      </c>
      <c r="D195" s="35"/>
      <c r="E195" s="45">
        <v>5394467</v>
      </c>
      <c r="F195" s="45"/>
      <c r="G195" s="45">
        <v>0</v>
      </c>
      <c r="H195" s="45"/>
      <c r="I195" s="45">
        <v>0</v>
      </c>
      <c r="J195" s="45"/>
      <c r="K195" s="45">
        <v>904488</v>
      </c>
      <c r="L195" s="45"/>
      <c r="M195" s="45">
        <v>1293973</v>
      </c>
      <c r="N195" s="45"/>
      <c r="O195" s="45">
        <v>0</v>
      </c>
      <c r="P195" s="45"/>
      <c r="Q195" s="45">
        <v>511703</v>
      </c>
      <c r="R195" s="45"/>
      <c r="S195" s="44">
        <f t="shared" si="4"/>
        <v>31610</v>
      </c>
      <c r="T195" s="45"/>
      <c r="U195" s="45">
        <v>8136241</v>
      </c>
      <c r="V195" s="35"/>
      <c r="W195" s="45">
        <v>17482</v>
      </c>
    </row>
    <row r="196" spans="1:24" s="49" customFormat="1" ht="12.75" customHeight="1">
      <c r="A196" s="44" t="s">
        <v>225</v>
      </c>
      <c r="C196" s="44" t="s">
        <v>27</v>
      </c>
      <c r="D196" s="35"/>
      <c r="E196" s="45">
        <v>6569004</v>
      </c>
      <c r="F196" s="45"/>
      <c r="G196" s="45">
        <v>19562027</v>
      </c>
      <c r="H196" s="45"/>
      <c r="I196" s="45">
        <v>46219</v>
      </c>
      <c r="J196" s="45"/>
      <c r="K196" s="45">
        <v>5361190</v>
      </c>
      <c r="L196" s="45"/>
      <c r="M196" s="45">
        <v>5522697</v>
      </c>
      <c r="N196" s="45"/>
      <c r="O196" s="45">
        <v>4523</v>
      </c>
      <c r="P196" s="45"/>
      <c r="Q196" s="45">
        <f>674820+448567</f>
        <v>1123387</v>
      </c>
      <c r="R196" s="45"/>
      <c r="S196" s="44">
        <f t="shared" si="4"/>
        <v>711594</v>
      </c>
      <c r="T196" s="45"/>
      <c r="U196" s="45">
        <v>38900641</v>
      </c>
      <c r="V196" s="35"/>
      <c r="W196" s="45">
        <v>38938</v>
      </c>
      <c r="X196" s="46"/>
    </row>
    <row r="197" spans="1:24" s="49" customFormat="1" ht="12.75" customHeight="1">
      <c r="A197" s="44" t="s">
        <v>226</v>
      </c>
      <c r="C197" s="44" t="s">
        <v>45</v>
      </c>
      <c r="D197" s="35"/>
      <c r="E197" s="45">
        <v>12365802</v>
      </c>
      <c r="F197" s="45"/>
      <c r="G197" s="45">
        <v>0</v>
      </c>
      <c r="H197" s="45"/>
      <c r="I197" s="45">
        <v>0</v>
      </c>
      <c r="J197" s="45"/>
      <c r="K197" s="45">
        <v>370795</v>
      </c>
      <c r="L197" s="45"/>
      <c r="M197" s="45">
        <v>1015573</v>
      </c>
      <c r="N197" s="45"/>
      <c r="O197" s="45">
        <v>0</v>
      </c>
      <c r="P197" s="45"/>
      <c r="Q197" s="45">
        <f>483849+340708</f>
        <v>824557</v>
      </c>
      <c r="R197" s="45"/>
      <c r="S197" s="44">
        <f t="shared" si="4"/>
        <v>395851</v>
      </c>
      <c r="T197" s="45"/>
      <c r="U197" s="45">
        <v>14972578</v>
      </c>
      <c r="V197" s="35"/>
      <c r="W197" s="45">
        <v>0</v>
      </c>
    </row>
    <row r="198" spans="1:24" s="46" customFormat="1" ht="12.75" customHeight="1">
      <c r="A198" s="46" t="s">
        <v>227</v>
      </c>
      <c r="C198" s="46" t="s">
        <v>17</v>
      </c>
      <c r="D198" s="64"/>
      <c r="E198" s="45">
        <v>342512</v>
      </c>
      <c r="F198" s="45"/>
      <c r="G198" s="45">
        <v>1532996</v>
      </c>
      <c r="H198" s="45"/>
      <c r="I198" s="45">
        <v>0</v>
      </c>
      <c r="J198" s="45"/>
      <c r="K198" s="45">
        <v>287810</v>
      </c>
      <c r="L198" s="45"/>
      <c r="M198" s="45">
        <v>801266</v>
      </c>
      <c r="N198" s="45"/>
      <c r="O198" s="45">
        <v>0</v>
      </c>
      <c r="P198" s="45"/>
      <c r="Q198" s="45">
        <v>220015</v>
      </c>
      <c r="R198" s="45"/>
      <c r="S198" s="44">
        <f t="shared" si="4"/>
        <v>509144</v>
      </c>
      <c r="T198" s="45"/>
      <c r="U198" s="45">
        <v>3693743</v>
      </c>
      <c r="V198" s="35"/>
      <c r="W198" s="45">
        <v>21015</v>
      </c>
    </row>
    <row r="199" spans="1:24" s="49" customFormat="1" ht="12.75" customHeight="1">
      <c r="A199" s="44" t="s">
        <v>228</v>
      </c>
      <c r="C199" s="44" t="s">
        <v>153</v>
      </c>
      <c r="D199" s="35"/>
      <c r="E199" s="45">
        <v>2608960</v>
      </c>
      <c r="F199" s="45"/>
      <c r="G199" s="45">
        <v>0</v>
      </c>
      <c r="H199" s="45"/>
      <c r="I199" s="45">
        <v>0</v>
      </c>
      <c r="J199" s="45"/>
      <c r="K199" s="45">
        <v>369171</v>
      </c>
      <c r="L199" s="45"/>
      <c r="M199" s="45">
        <v>718402</v>
      </c>
      <c r="N199" s="45"/>
      <c r="O199" s="45">
        <v>0</v>
      </c>
      <c r="P199" s="45"/>
      <c r="Q199" s="45">
        <v>220081</v>
      </c>
      <c r="R199" s="45"/>
      <c r="S199" s="44">
        <f t="shared" si="4"/>
        <v>144637</v>
      </c>
      <c r="T199" s="45"/>
      <c r="U199" s="45">
        <v>4061251</v>
      </c>
      <c r="V199" s="35"/>
      <c r="W199" s="45">
        <v>0</v>
      </c>
    </row>
    <row r="200" spans="1:24" s="49" customFormat="1" ht="12.75" customHeight="1">
      <c r="A200" s="44" t="s">
        <v>229</v>
      </c>
      <c r="C200" s="44" t="s">
        <v>228</v>
      </c>
      <c r="D200" s="35"/>
      <c r="E200" s="45">
        <v>11647541</v>
      </c>
      <c r="F200" s="45"/>
      <c r="G200" s="45">
        <v>0</v>
      </c>
      <c r="H200" s="45"/>
      <c r="I200" s="45">
        <v>0</v>
      </c>
      <c r="J200" s="45"/>
      <c r="K200" s="45">
        <v>1463792</v>
      </c>
      <c r="L200" s="45"/>
      <c r="M200" s="45">
        <v>1134692</v>
      </c>
      <c r="N200" s="45"/>
      <c r="O200" s="45">
        <v>226725</v>
      </c>
      <c r="P200" s="45"/>
      <c r="Q200" s="45">
        <v>126571</v>
      </c>
      <c r="R200" s="45"/>
      <c r="S200" s="44">
        <f t="shared" si="4"/>
        <v>380476</v>
      </c>
      <c r="T200" s="45"/>
      <c r="U200" s="45">
        <v>14979797</v>
      </c>
      <c r="V200" s="35"/>
      <c r="W200" s="45">
        <v>0</v>
      </c>
    </row>
    <row r="201" spans="1:24" s="46" customFormat="1" ht="12.75" customHeight="1">
      <c r="A201" s="44" t="s">
        <v>230</v>
      </c>
      <c r="B201" s="49"/>
      <c r="C201" s="44" t="s">
        <v>45</v>
      </c>
      <c r="D201" s="35"/>
      <c r="E201" s="45">
        <v>554008</v>
      </c>
      <c r="F201" s="45"/>
      <c r="G201" s="45">
        <v>1477001</v>
      </c>
      <c r="H201" s="45"/>
      <c r="I201" s="45">
        <v>0</v>
      </c>
      <c r="J201" s="45"/>
      <c r="K201" s="45">
        <v>305182</v>
      </c>
      <c r="L201" s="45"/>
      <c r="M201" s="45">
        <v>412528</v>
      </c>
      <c r="N201" s="45"/>
      <c r="O201" s="45">
        <v>0</v>
      </c>
      <c r="P201" s="45"/>
      <c r="Q201" s="45">
        <v>70614</v>
      </c>
      <c r="R201" s="45"/>
      <c r="S201" s="44">
        <f t="shared" si="4"/>
        <v>44534</v>
      </c>
      <c r="T201" s="45"/>
      <c r="U201" s="45">
        <v>2863867</v>
      </c>
      <c r="V201" s="35"/>
      <c r="W201" s="45">
        <f>5577+639491</f>
        <v>645068</v>
      </c>
    </row>
    <row r="202" spans="1:24" s="49" customFormat="1" ht="12.75" customHeight="1">
      <c r="A202" s="44" t="s">
        <v>231</v>
      </c>
      <c r="C202" s="44" t="s">
        <v>27</v>
      </c>
      <c r="D202" s="35"/>
      <c r="E202" s="45">
        <v>821347</v>
      </c>
      <c r="F202" s="45"/>
      <c r="G202" s="45">
        <v>27948858</v>
      </c>
      <c r="H202" s="45"/>
      <c r="I202" s="45">
        <v>0</v>
      </c>
      <c r="J202" s="45"/>
      <c r="K202" s="45">
        <v>761614</v>
      </c>
      <c r="L202" s="45"/>
      <c r="M202" s="45">
        <v>1345287</v>
      </c>
      <c r="N202" s="45"/>
      <c r="O202" s="45">
        <v>0</v>
      </c>
      <c r="P202" s="45"/>
      <c r="Q202" s="45">
        <f>457187+342265</f>
        <v>799452</v>
      </c>
      <c r="R202" s="45"/>
      <c r="S202" s="44">
        <f t="shared" si="4"/>
        <v>1386226</v>
      </c>
      <c r="T202" s="45"/>
      <c r="U202" s="45">
        <v>33062784</v>
      </c>
      <c r="V202" s="35"/>
      <c r="W202" s="45">
        <v>112607</v>
      </c>
    </row>
    <row r="203" spans="1:24" s="49" customFormat="1" ht="12.75" customHeight="1">
      <c r="A203" s="44" t="s">
        <v>232</v>
      </c>
      <c r="C203" s="44" t="s">
        <v>27</v>
      </c>
      <c r="D203" s="35"/>
      <c r="E203" s="45">
        <v>3752692</v>
      </c>
      <c r="F203" s="45"/>
      <c r="G203" s="45">
        <v>8290533</v>
      </c>
      <c r="H203" s="45"/>
      <c r="I203" s="45">
        <v>0</v>
      </c>
      <c r="J203" s="45"/>
      <c r="K203" s="45">
        <v>547558</v>
      </c>
      <c r="L203" s="45"/>
      <c r="M203" s="45">
        <v>2296850</v>
      </c>
      <c r="N203" s="45"/>
      <c r="O203" s="45">
        <v>69620</v>
      </c>
      <c r="P203" s="45"/>
      <c r="Q203" s="45">
        <f>27587+1132444</f>
        <v>1160031</v>
      </c>
      <c r="R203" s="45"/>
      <c r="S203" s="44">
        <f t="shared" si="4"/>
        <v>244446</v>
      </c>
      <c r="T203" s="45"/>
      <c r="U203" s="45">
        <v>16361730</v>
      </c>
      <c r="V203" s="35"/>
      <c r="W203" s="45">
        <v>6447</v>
      </c>
    </row>
    <row r="204" spans="1:24" s="49" customFormat="1" ht="12.75" customHeight="1">
      <c r="A204" s="44" t="s">
        <v>233</v>
      </c>
      <c r="C204" s="44" t="s">
        <v>111</v>
      </c>
      <c r="D204" s="35"/>
      <c r="E204" s="45">
        <v>666189</v>
      </c>
      <c r="F204" s="45"/>
      <c r="G204" s="45">
        <v>6474300</v>
      </c>
      <c r="H204" s="45"/>
      <c r="I204" s="45">
        <v>0</v>
      </c>
      <c r="J204" s="45"/>
      <c r="K204" s="45">
        <v>1325282</v>
      </c>
      <c r="L204" s="45"/>
      <c r="M204" s="45">
        <v>545535</v>
      </c>
      <c r="N204" s="45"/>
      <c r="O204" s="45">
        <v>39761</v>
      </c>
      <c r="P204" s="45"/>
      <c r="Q204" s="45">
        <v>430597</v>
      </c>
      <c r="R204" s="45"/>
      <c r="S204" s="44">
        <f t="shared" si="4"/>
        <v>374495</v>
      </c>
      <c r="T204" s="45"/>
      <c r="U204" s="45">
        <v>9856159</v>
      </c>
      <c r="V204" s="35"/>
      <c r="W204" s="45">
        <v>0</v>
      </c>
    </row>
    <row r="205" spans="1:24" s="49" customFormat="1" ht="12.75" customHeight="1">
      <c r="A205" s="44" t="s">
        <v>234</v>
      </c>
      <c r="C205" s="44" t="s">
        <v>45</v>
      </c>
      <c r="D205" s="35"/>
      <c r="E205" s="45">
        <v>1494203</v>
      </c>
      <c r="F205" s="45"/>
      <c r="G205" s="45">
        <v>11557740</v>
      </c>
      <c r="H205" s="45"/>
      <c r="I205" s="45">
        <v>0</v>
      </c>
      <c r="J205" s="45"/>
      <c r="K205" s="45">
        <v>387996</v>
      </c>
      <c r="L205" s="45"/>
      <c r="M205" s="45">
        <v>1462000</v>
      </c>
      <c r="N205" s="45"/>
      <c r="O205" s="45">
        <v>0</v>
      </c>
      <c r="P205" s="45"/>
      <c r="Q205" s="45">
        <f>270289+417903</f>
        <v>688192</v>
      </c>
      <c r="R205" s="45"/>
      <c r="S205" s="44">
        <f t="shared" si="4"/>
        <v>367660</v>
      </c>
      <c r="T205" s="45"/>
      <c r="U205" s="45">
        <v>15957791</v>
      </c>
      <c r="V205" s="35"/>
      <c r="W205" s="45">
        <v>0</v>
      </c>
    </row>
    <row r="206" spans="1:24" s="49" customFormat="1" ht="12.75" customHeight="1">
      <c r="A206" s="44" t="s">
        <v>235</v>
      </c>
      <c r="C206" s="44" t="s">
        <v>183</v>
      </c>
      <c r="D206" s="35"/>
      <c r="E206" s="45">
        <v>0</v>
      </c>
      <c r="F206" s="45"/>
      <c r="G206" s="45">
        <v>24205581</v>
      </c>
      <c r="H206" s="45"/>
      <c r="I206" s="45">
        <v>263273</v>
      </c>
      <c r="J206" s="45"/>
      <c r="K206" s="45">
        <v>1228849</v>
      </c>
      <c r="L206" s="45"/>
      <c r="M206" s="45">
        <f>4123168+427304</f>
        <v>4550472</v>
      </c>
      <c r="N206" s="45"/>
      <c r="O206" s="45">
        <v>0</v>
      </c>
      <c r="P206" s="45"/>
      <c r="Q206" s="45">
        <f>527825+1873026</f>
        <v>2400851</v>
      </c>
      <c r="R206" s="45"/>
      <c r="S206" s="44">
        <f t="shared" si="4"/>
        <v>1727724</v>
      </c>
      <c r="T206" s="45"/>
      <c r="U206" s="45">
        <v>34376750</v>
      </c>
      <c r="V206" s="35"/>
      <c r="W206" s="45">
        <v>0</v>
      </c>
    </row>
    <row r="207" spans="1:24" s="49" customFormat="1" ht="12.75" customHeight="1">
      <c r="A207" s="44" t="s">
        <v>471</v>
      </c>
      <c r="C207" s="44"/>
      <c r="D207" s="3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4"/>
      <c r="T207" s="45"/>
      <c r="U207" s="45"/>
      <c r="V207" s="35"/>
      <c r="W207" s="48" t="s">
        <v>484</v>
      </c>
    </row>
    <row r="208" spans="1:24" s="49" customFormat="1" ht="12.75" customHeight="1">
      <c r="A208" s="44" t="s">
        <v>236</v>
      </c>
      <c r="C208" s="44" t="s">
        <v>45</v>
      </c>
      <c r="D208" s="35"/>
      <c r="E208" s="94">
        <v>10298681</v>
      </c>
      <c r="F208" s="94"/>
      <c r="G208" s="94">
        <v>0</v>
      </c>
      <c r="H208" s="94"/>
      <c r="I208" s="94">
        <v>0</v>
      </c>
      <c r="J208" s="94"/>
      <c r="K208" s="94">
        <v>165301</v>
      </c>
      <c r="L208" s="94"/>
      <c r="M208" s="94">
        <v>647179</v>
      </c>
      <c r="N208" s="94"/>
      <c r="O208" s="94">
        <v>0</v>
      </c>
      <c r="P208" s="94"/>
      <c r="Q208" s="94">
        <f>50614+35829</f>
        <v>86443</v>
      </c>
      <c r="R208" s="94"/>
      <c r="S208" s="46">
        <f t="shared" si="4"/>
        <v>298900</v>
      </c>
      <c r="T208" s="94"/>
      <c r="U208" s="94">
        <v>11496504</v>
      </c>
      <c r="V208" s="64"/>
      <c r="W208" s="94">
        <f>38285+1070000</f>
        <v>1108285</v>
      </c>
    </row>
    <row r="209" spans="1:23" s="49" customFormat="1" ht="12.75" customHeight="1">
      <c r="A209" s="44" t="s">
        <v>237</v>
      </c>
      <c r="C209" s="44" t="s">
        <v>33</v>
      </c>
      <c r="D209" s="35"/>
      <c r="E209" s="45">
        <v>463952</v>
      </c>
      <c r="F209" s="45"/>
      <c r="G209" s="45">
        <v>0</v>
      </c>
      <c r="H209" s="45"/>
      <c r="I209" s="45">
        <v>0</v>
      </c>
      <c r="J209" s="45"/>
      <c r="K209" s="45">
        <v>0</v>
      </c>
      <c r="L209" s="45"/>
      <c r="M209" s="45">
        <v>530462</v>
      </c>
      <c r="N209" s="45"/>
      <c r="O209" s="45">
        <v>0</v>
      </c>
      <c r="P209" s="45"/>
      <c r="Q209" s="45">
        <f>118407+11117</f>
        <v>129524</v>
      </c>
      <c r="R209" s="45"/>
      <c r="S209" s="44">
        <f t="shared" si="4"/>
        <v>83247</v>
      </c>
      <c r="T209" s="45"/>
      <c r="U209" s="45">
        <v>1207185</v>
      </c>
      <c r="V209" s="35"/>
      <c r="W209" s="45">
        <v>0</v>
      </c>
    </row>
    <row r="210" spans="1:23" s="49" customFormat="1" ht="12.75" customHeight="1">
      <c r="A210" s="44" t="s">
        <v>238</v>
      </c>
      <c r="C210" s="44" t="s">
        <v>239</v>
      </c>
      <c r="D210" s="35"/>
      <c r="E210" s="45">
        <v>1139859</v>
      </c>
      <c r="F210" s="45"/>
      <c r="G210" s="45">
        <v>2148811</v>
      </c>
      <c r="H210" s="45"/>
      <c r="I210" s="45">
        <v>0</v>
      </c>
      <c r="J210" s="45"/>
      <c r="K210" s="45">
        <v>329033</v>
      </c>
      <c r="L210" s="45"/>
      <c r="M210" s="45">
        <v>844446</v>
      </c>
      <c r="N210" s="45"/>
      <c r="O210" s="45">
        <v>0</v>
      </c>
      <c r="P210" s="45"/>
      <c r="Q210" s="45">
        <f>74905+16914</f>
        <v>91819</v>
      </c>
      <c r="R210" s="45"/>
      <c r="S210" s="44">
        <f t="shared" si="4"/>
        <v>265994</v>
      </c>
      <c r="T210" s="45"/>
      <c r="U210" s="45">
        <v>4819962</v>
      </c>
      <c r="V210" s="35"/>
      <c r="W210" s="45">
        <v>0</v>
      </c>
    </row>
    <row r="211" spans="1:23" s="49" customFormat="1" ht="12.75" customHeight="1">
      <c r="A211" s="44" t="s">
        <v>486</v>
      </c>
      <c r="C211" s="44" t="s">
        <v>249</v>
      </c>
      <c r="D211" s="35"/>
      <c r="E211" s="45">
        <v>1079316</v>
      </c>
      <c r="F211" s="45"/>
      <c r="G211" s="45">
        <v>7571336</v>
      </c>
      <c r="H211" s="45"/>
      <c r="I211" s="45">
        <v>0</v>
      </c>
      <c r="J211" s="45"/>
      <c r="K211" s="45">
        <v>92194</v>
      </c>
      <c r="L211" s="45"/>
      <c r="M211" s="45">
        <v>2241072</v>
      </c>
      <c r="N211" s="45"/>
      <c r="O211" s="45">
        <v>0</v>
      </c>
      <c r="P211" s="45"/>
      <c r="Q211" s="45">
        <f>373703+283999</f>
        <v>657702</v>
      </c>
      <c r="R211" s="45"/>
      <c r="S211" s="44">
        <f t="shared" si="4"/>
        <v>537194</v>
      </c>
      <c r="T211" s="45"/>
      <c r="U211" s="45">
        <v>12178814</v>
      </c>
      <c r="V211" s="35"/>
      <c r="W211" s="45">
        <v>345569</v>
      </c>
    </row>
    <row r="212" spans="1:23" s="49" customFormat="1" ht="12.75" customHeight="1">
      <c r="A212" s="44" t="s">
        <v>240</v>
      </c>
      <c r="C212" s="44" t="s">
        <v>13</v>
      </c>
      <c r="D212" s="35"/>
      <c r="E212" s="45">
        <v>5038563</v>
      </c>
      <c r="F212" s="45"/>
      <c r="G212" s="45">
        <v>8627611</v>
      </c>
      <c r="H212" s="45"/>
      <c r="I212" s="45">
        <v>0</v>
      </c>
      <c r="J212" s="45"/>
      <c r="K212" s="45">
        <v>330497</v>
      </c>
      <c r="L212" s="45"/>
      <c r="M212" s="45">
        <v>3493906</v>
      </c>
      <c r="N212" s="45"/>
      <c r="O212" s="45">
        <v>7553</v>
      </c>
      <c r="P212" s="45"/>
      <c r="Q212" s="45">
        <f>2278581+757871</f>
        <v>3036452</v>
      </c>
      <c r="R212" s="45"/>
      <c r="S212" s="44">
        <f t="shared" si="4"/>
        <v>862520</v>
      </c>
      <c r="T212" s="45"/>
      <c r="U212" s="45">
        <v>21397102</v>
      </c>
      <c r="V212" s="35"/>
      <c r="W212" s="45">
        <v>550000</v>
      </c>
    </row>
    <row r="213" spans="1:23" s="49" customFormat="1" ht="12.75" customHeight="1">
      <c r="A213" s="44" t="s">
        <v>241</v>
      </c>
      <c r="C213" s="44" t="s">
        <v>22</v>
      </c>
      <c r="D213" s="35"/>
      <c r="E213" s="45">
        <v>1141280</v>
      </c>
      <c r="F213" s="45"/>
      <c r="G213" s="45">
        <v>8795751</v>
      </c>
      <c r="H213" s="45"/>
      <c r="I213" s="45">
        <v>0</v>
      </c>
      <c r="J213" s="45"/>
      <c r="K213" s="45">
        <v>378543</v>
      </c>
      <c r="L213" s="45"/>
      <c r="M213" s="45">
        <v>732077</v>
      </c>
      <c r="N213" s="45"/>
      <c r="O213" s="45">
        <v>0</v>
      </c>
      <c r="P213" s="45"/>
      <c r="Q213" s="45">
        <f>295925+79457</f>
        <v>375382</v>
      </c>
      <c r="R213" s="45"/>
      <c r="S213" s="44">
        <f t="shared" si="4"/>
        <v>283264</v>
      </c>
      <c r="T213" s="45"/>
      <c r="U213" s="45">
        <v>11706297</v>
      </c>
      <c r="V213" s="35"/>
      <c r="W213" s="45">
        <v>19822</v>
      </c>
    </row>
    <row r="214" spans="1:23" s="49" customFormat="1" ht="12.75" customHeight="1">
      <c r="A214" s="44" t="s">
        <v>242</v>
      </c>
      <c r="C214" s="44" t="s">
        <v>27</v>
      </c>
      <c r="D214" s="35"/>
      <c r="E214" s="45">
        <v>436672</v>
      </c>
      <c r="F214" s="45"/>
      <c r="G214" s="45">
        <v>23673497</v>
      </c>
      <c r="H214" s="45"/>
      <c r="I214" s="45">
        <v>158630</v>
      </c>
      <c r="J214" s="45"/>
      <c r="K214" s="45">
        <v>237877</v>
      </c>
      <c r="L214" s="45"/>
      <c r="M214" s="45">
        <v>3703601</v>
      </c>
      <c r="N214" s="45"/>
      <c r="O214" s="45">
        <v>0</v>
      </c>
      <c r="P214" s="45"/>
      <c r="Q214" s="45">
        <v>1345757</v>
      </c>
      <c r="R214" s="45"/>
      <c r="S214" s="44">
        <f t="shared" si="4"/>
        <v>369775</v>
      </c>
      <c r="T214" s="45"/>
      <c r="U214" s="45">
        <v>29925809</v>
      </c>
      <c r="V214" s="35"/>
      <c r="W214" s="45">
        <v>24158</v>
      </c>
    </row>
    <row r="215" spans="1:23" s="49" customFormat="1" ht="12.75" customHeight="1">
      <c r="A215" s="44" t="s">
        <v>243</v>
      </c>
      <c r="C215" s="44" t="s">
        <v>163</v>
      </c>
      <c r="D215" s="35"/>
      <c r="E215" s="45">
        <v>918221</v>
      </c>
      <c r="F215" s="45"/>
      <c r="G215" s="45">
        <v>1385708</v>
      </c>
      <c r="H215" s="45"/>
      <c r="I215" s="45">
        <v>0</v>
      </c>
      <c r="J215" s="45"/>
      <c r="K215" s="45">
        <v>524562</v>
      </c>
      <c r="L215" s="45"/>
      <c r="M215" s="45">
        <v>1645909</v>
      </c>
      <c r="N215" s="45"/>
      <c r="O215" s="45">
        <v>0</v>
      </c>
      <c r="P215" s="45"/>
      <c r="Q215" s="45">
        <f>52564+83493</f>
        <v>136057</v>
      </c>
      <c r="R215" s="45"/>
      <c r="S215" s="44">
        <f t="shared" si="4"/>
        <v>1247467</v>
      </c>
      <c r="T215" s="45"/>
      <c r="U215" s="45">
        <v>5857924</v>
      </c>
      <c r="V215" s="35"/>
      <c r="W215" s="45">
        <v>9011000</v>
      </c>
    </row>
    <row r="216" spans="1:23" s="49" customFormat="1" ht="12.75" customHeight="1">
      <c r="A216" s="44" t="s">
        <v>244</v>
      </c>
      <c r="C216" s="44" t="s">
        <v>13</v>
      </c>
      <c r="D216" s="35"/>
      <c r="E216" s="45">
        <v>749402</v>
      </c>
      <c r="F216" s="45"/>
      <c r="G216" s="45">
        <v>7657243</v>
      </c>
      <c r="H216" s="45"/>
      <c r="I216" s="45">
        <v>0</v>
      </c>
      <c r="J216" s="45"/>
      <c r="K216" s="45">
        <v>1616399</v>
      </c>
      <c r="L216" s="45"/>
      <c r="M216" s="45">
        <v>1811922</v>
      </c>
      <c r="N216" s="45"/>
      <c r="O216" s="45">
        <v>11134</v>
      </c>
      <c r="P216" s="45"/>
      <c r="Q216" s="45">
        <v>540076</v>
      </c>
      <c r="R216" s="45"/>
      <c r="S216" s="44">
        <f t="shared" si="4"/>
        <v>70392</v>
      </c>
      <c r="T216" s="45"/>
      <c r="U216" s="45">
        <v>12456568</v>
      </c>
      <c r="V216" s="35"/>
      <c r="W216" s="45">
        <v>39488</v>
      </c>
    </row>
    <row r="217" spans="1:23" s="46" customFormat="1" ht="12.75" customHeight="1">
      <c r="A217" s="44" t="s">
        <v>245</v>
      </c>
      <c r="B217" s="49"/>
      <c r="C217" s="44" t="s">
        <v>110</v>
      </c>
      <c r="D217" s="35"/>
      <c r="E217" s="45">
        <v>916667</v>
      </c>
      <c r="F217" s="45"/>
      <c r="G217" s="45">
        <v>6694561</v>
      </c>
      <c r="H217" s="45"/>
      <c r="I217" s="45">
        <v>0</v>
      </c>
      <c r="J217" s="45"/>
      <c r="K217" s="45">
        <v>509135</v>
      </c>
      <c r="L217" s="45"/>
      <c r="M217" s="45">
        <v>1282795</v>
      </c>
      <c r="N217" s="45"/>
      <c r="O217" s="45">
        <v>0</v>
      </c>
      <c r="P217" s="45"/>
      <c r="Q217" s="45">
        <f>30771+301315</f>
        <v>332086</v>
      </c>
      <c r="R217" s="45"/>
      <c r="S217" s="44">
        <f t="shared" si="4"/>
        <v>338089</v>
      </c>
      <c r="T217" s="45"/>
      <c r="U217" s="45">
        <v>10073333</v>
      </c>
      <c r="V217" s="35"/>
      <c r="W217" s="45">
        <v>30</v>
      </c>
    </row>
    <row r="218" spans="1:23" s="49" customFormat="1" ht="12.75" customHeight="1">
      <c r="A218" s="44" t="s">
        <v>246</v>
      </c>
      <c r="C218" s="44" t="s">
        <v>209</v>
      </c>
      <c r="D218" s="35"/>
      <c r="E218" s="45">
        <v>2581886</v>
      </c>
      <c r="F218" s="45"/>
      <c r="G218" s="45">
        <v>0</v>
      </c>
      <c r="H218" s="45"/>
      <c r="I218" s="45">
        <v>0</v>
      </c>
      <c r="J218" s="45"/>
      <c r="K218" s="45">
        <v>1353591</v>
      </c>
      <c r="L218" s="45"/>
      <c r="M218" s="45">
        <v>1354379</v>
      </c>
      <c r="N218" s="45"/>
      <c r="O218" s="45">
        <v>249</v>
      </c>
      <c r="P218" s="45"/>
      <c r="Q218" s="45">
        <f>13963+117417</f>
        <v>131380</v>
      </c>
      <c r="R218" s="45"/>
      <c r="S218" s="44">
        <f t="shared" si="4"/>
        <v>234120</v>
      </c>
      <c r="T218" s="45"/>
      <c r="U218" s="45">
        <v>5655605</v>
      </c>
      <c r="V218" s="35"/>
      <c r="W218" s="45">
        <v>0</v>
      </c>
    </row>
    <row r="219" spans="1:23" s="49" customFormat="1" ht="12.75" customHeight="1">
      <c r="A219" s="44" t="s">
        <v>247</v>
      </c>
      <c r="C219" s="44" t="s">
        <v>163</v>
      </c>
      <c r="D219" s="35"/>
      <c r="E219" s="45">
        <v>11936000</v>
      </c>
      <c r="F219" s="45"/>
      <c r="G219" s="45">
        <v>144581000</v>
      </c>
      <c r="H219" s="45"/>
      <c r="I219" s="45">
        <v>0</v>
      </c>
      <c r="J219" s="45"/>
      <c r="K219" s="45">
        <v>22006000</v>
      </c>
      <c r="L219" s="45"/>
      <c r="M219" s="45">
        <v>24188000</v>
      </c>
      <c r="N219" s="45"/>
      <c r="O219" s="45">
        <v>0</v>
      </c>
      <c r="P219" s="45"/>
      <c r="Q219" s="45">
        <f>2359000+4486000</f>
        <v>6845000</v>
      </c>
      <c r="R219" s="45"/>
      <c r="S219" s="44">
        <f t="shared" si="4"/>
        <v>1920000</v>
      </c>
      <c r="T219" s="45"/>
      <c r="U219" s="45">
        <v>211476000</v>
      </c>
      <c r="V219" s="35"/>
      <c r="W219" s="45">
        <f>12007000+55000</f>
        <v>12062000</v>
      </c>
    </row>
    <row r="220" spans="1:23" s="49" customFormat="1" ht="12.75" customHeight="1">
      <c r="A220" s="44" t="s">
        <v>248</v>
      </c>
      <c r="C220" s="44" t="s">
        <v>249</v>
      </c>
      <c r="D220" s="35"/>
      <c r="E220" s="45">
        <v>112856</v>
      </c>
      <c r="F220" s="45"/>
      <c r="G220" s="45">
        <v>2033275</v>
      </c>
      <c r="H220" s="45"/>
      <c r="I220" s="45">
        <v>0</v>
      </c>
      <c r="J220" s="45"/>
      <c r="K220" s="45">
        <v>30500</v>
      </c>
      <c r="L220" s="45"/>
      <c r="M220" s="45">
        <v>308917</v>
      </c>
      <c r="N220" s="45"/>
      <c r="O220" s="45">
        <v>0</v>
      </c>
      <c r="P220" s="45"/>
      <c r="Q220" s="45">
        <f>33611+17948</f>
        <v>51559</v>
      </c>
      <c r="R220" s="45"/>
      <c r="S220" s="44">
        <f t="shared" si="4"/>
        <v>21218</v>
      </c>
      <c r="T220" s="45"/>
      <c r="U220" s="45">
        <v>2558325</v>
      </c>
      <c r="V220" s="35"/>
      <c r="W220" s="45">
        <v>111971</v>
      </c>
    </row>
    <row r="221" spans="1:23" s="49" customFormat="1" ht="12.75" customHeight="1">
      <c r="A221" s="44" t="s">
        <v>250</v>
      </c>
      <c r="C221" s="44" t="s">
        <v>103</v>
      </c>
      <c r="D221" s="35"/>
      <c r="E221" s="45">
        <v>507119</v>
      </c>
      <c r="F221" s="45"/>
      <c r="G221" s="45">
        <v>1486715</v>
      </c>
      <c r="H221" s="45"/>
      <c r="I221" s="45">
        <v>0</v>
      </c>
      <c r="J221" s="45"/>
      <c r="K221" s="45">
        <v>114809</v>
      </c>
      <c r="L221" s="45"/>
      <c r="M221" s="45">
        <v>388224</v>
      </c>
      <c r="N221" s="45"/>
      <c r="O221" s="45">
        <v>83704</v>
      </c>
      <c r="P221" s="45"/>
      <c r="Q221" s="45">
        <f>42458+225924</f>
        <v>268382</v>
      </c>
      <c r="R221" s="45"/>
      <c r="S221" s="44">
        <f t="shared" si="4"/>
        <v>104371</v>
      </c>
      <c r="T221" s="45"/>
      <c r="U221" s="45">
        <v>2953324</v>
      </c>
      <c r="V221" s="35"/>
      <c r="W221" s="45">
        <f>35457+19210</f>
        <v>54667</v>
      </c>
    </row>
    <row r="222" spans="1:23" s="129" customFormat="1" ht="12.75" hidden="1" customHeight="1">
      <c r="A222" s="121" t="s">
        <v>251</v>
      </c>
      <c r="C222" s="121" t="s">
        <v>66</v>
      </c>
      <c r="D222" s="126"/>
      <c r="E222" s="127">
        <v>0</v>
      </c>
      <c r="F222" s="127"/>
      <c r="G222" s="127">
        <v>0</v>
      </c>
      <c r="H222" s="127"/>
      <c r="I222" s="127">
        <v>0</v>
      </c>
      <c r="J222" s="127"/>
      <c r="K222" s="127">
        <v>0</v>
      </c>
      <c r="L222" s="127"/>
      <c r="M222" s="127">
        <v>0</v>
      </c>
      <c r="N222" s="127"/>
      <c r="O222" s="127">
        <v>0</v>
      </c>
      <c r="P222" s="127"/>
      <c r="Q222" s="127">
        <v>0</v>
      </c>
      <c r="R222" s="127"/>
      <c r="S222" s="121">
        <f t="shared" si="4"/>
        <v>0</v>
      </c>
      <c r="T222" s="127"/>
      <c r="U222" s="127">
        <v>0</v>
      </c>
      <c r="V222" s="126"/>
      <c r="W222" s="127">
        <v>0</v>
      </c>
    </row>
    <row r="223" spans="1:23" s="49" customFormat="1" ht="12.75" customHeight="1">
      <c r="A223" s="44" t="s">
        <v>252</v>
      </c>
      <c r="C223" s="44" t="s">
        <v>209</v>
      </c>
      <c r="D223" s="35"/>
      <c r="E223" s="45">
        <v>12848054</v>
      </c>
      <c r="F223" s="45"/>
      <c r="G223" s="45">
        <v>0</v>
      </c>
      <c r="H223" s="45"/>
      <c r="I223" s="45">
        <v>0</v>
      </c>
      <c r="J223" s="45"/>
      <c r="K223" s="45">
        <v>3051090</v>
      </c>
      <c r="L223" s="45"/>
      <c r="M223" s="45">
        <v>1908033</v>
      </c>
      <c r="N223" s="45"/>
      <c r="O223" s="45">
        <v>114619</v>
      </c>
      <c r="P223" s="45"/>
      <c r="Q223" s="45">
        <v>66584</v>
      </c>
      <c r="R223" s="45"/>
      <c r="S223" s="44">
        <f t="shared" si="4"/>
        <v>1421508</v>
      </c>
      <c r="T223" s="45"/>
      <c r="U223" s="45">
        <v>19409888</v>
      </c>
      <c r="V223" s="35"/>
      <c r="W223" s="45">
        <v>2036534</v>
      </c>
    </row>
    <row r="224" spans="1:23" s="49" customFormat="1" ht="12.75" customHeight="1">
      <c r="A224" s="44" t="s">
        <v>253</v>
      </c>
      <c r="C224" s="44" t="s">
        <v>13</v>
      </c>
      <c r="D224" s="35"/>
      <c r="E224" s="45">
        <v>0</v>
      </c>
      <c r="F224" s="45"/>
      <c r="G224" s="45">
        <v>19355533</v>
      </c>
      <c r="H224" s="45"/>
      <c r="I224" s="45">
        <v>111964</v>
      </c>
      <c r="J224" s="45"/>
      <c r="K224" s="45">
        <v>1389958</v>
      </c>
      <c r="L224" s="45"/>
      <c r="M224" s="45">
        <v>1189100</v>
      </c>
      <c r="N224" s="45"/>
      <c r="O224" s="45">
        <v>0</v>
      </c>
      <c r="P224" s="45"/>
      <c r="Q224" s="45">
        <f>295502+166729</f>
        <v>462231</v>
      </c>
      <c r="R224" s="45"/>
      <c r="S224" s="44">
        <f t="shared" si="4"/>
        <v>638715</v>
      </c>
      <c r="T224" s="45"/>
      <c r="U224" s="45">
        <v>23147501</v>
      </c>
      <c r="V224" s="35"/>
      <c r="W224" s="45">
        <v>15724</v>
      </c>
    </row>
    <row r="225" spans="1:23" s="49" customFormat="1" ht="12.75" customHeight="1">
      <c r="A225" s="44" t="s">
        <v>254</v>
      </c>
      <c r="C225" s="44" t="s">
        <v>89</v>
      </c>
      <c r="D225" s="35"/>
      <c r="E225" s="45">
        <v>248395</v>
      </c>
      <c r="F225" s="45"/>
      <c r="G225" s="45">
        <v>921735</v>
      </c>
      <c r="H225" s="45"/>
      <c r="I225" s="45">
        <v>0</v>
      </c>
      <c r="J225" s="45"/>
      <c r="K225" s="45">
        <v>21979</v>
      </c>
      <c r="L225" s="45"/>
      <c r="M225" s="45">
        <v>358014</v>
      </c>
      <c r="N225" s="45"/>
      <c r="O225" s="45">
        <v>0</v>
      </c>
      <c r="P225" s="45"/>
      <c r="Q225" s="45">
        <f>53517+11918</f>
        <v>65435</v>
      </c>
      <c r="R225" s="45"/>
      <c r="S225" s="44">
        <f t="shared" si="4"/>
        <v>56440</v>
      </c>
      <c r="T225" s="45"/>
      <c r="U225" s="45">
        <v>1671998</v>
      </c>
      <c r="V225" s="35"/>
      <c r="W225" s="45">
        <v>15673</v>
      </c>
    </row>
    <row r="226" spans="1:23" s="49" customFormat="1" ht="12.75" customHeight="1">
      <c r="A226" s="44" t="s">
        <v>159</v>
      </c>
      <c r="C226" s="44" t="s">
        <v>66</v>
      </c>
      <c r="D226" s="35"/>
      <c r="E226" s="45">
        <v>175123</v>
      </c>
      <c r="F226" s="45"/>
      <c r="G226" s="45">
        <v>461450</v>
      </c>
      <c r="H226" s="45"/>
      <c r="I226" s="45">
        <v>0</v>
      </c>
      <c r="J226" s="45"/>
      <c r="K226" s="45">
        <v>83748</v>
      </c>
      <c r="L226" s="45"/>
      <c r="M226" s="45">
        <v>191427</v>
      </c>
      <c r="N226" s="45"/>
      <c r="O226" s="45">
        <v>0</v>
      </c>
      <c r="P226" s="45"/>
      <c r="Q226" s="45">
        <v>34190</v>
      </c>
      <c r="R226" s="45"/>
      <c r="S226" s="44">
        <f t="shared" si="4"/>
        <v>104742</v>
      </c>
      <c r="T226" s="45"/>
      <c r="U226" s="45">
        <v>1050680</v>
      </c>
      <c r="V226" s="35"/>
      <c r="W226" s="45">
        <v>0</v>
      </c>
    </row>
    <row r="227" spans="1:23" s="49" customFormat="1" ht="12.75" customHeight="1">
      <c r="A227" s="44" t="s">
        <v>255</v>
      </c>
      <c r="C227" s="44" t="s">
        <v>27</v>
      </c>
      <c r="D227" s="35"/>
      <c r="E227" s="45">
        <v>2250101</v>
      </c>
      <c r="F227" s="45"/>
      <c r="G227" s="45">
        <v>9284183</v>
      </c>
      <c r="H227" s="45"/>
      <c r="I227" s="45">
        <v>0</v>
      </c>
      <c r="J227" s="45"/>
      <c r="K227" s="45">
        <v>459799</v>
      </c>
      <c r="L227" s="45"/>
      <c r="M227" s="45">
        <v>354346</v>
      </c>
      <c r="N227" s="45"/>
      <c r="O227" s="45">
        <v>16763</v>
      </c>
      <c r="P227" s="45"/>
      <c r="Q227" s="45">
        <v>701404</v>
      </c>
      <c r="R227" s="45"/>
      <c r="S227" s="44">
        <f t="shared" si="4"/>
        <v>39717</v>
      </c>
      <c r="T227" s="45"/>
      <c r="U227" s="45">
        <v>13106313</v>
      </c>
      <c r="V227" s="35"/>
      <c r="W227" s="45">
        <v>0</v>
      </c>
    </row>
    <row r="228" spans="1:23" s="44" customFormat="1" ht="12.75" customHeight="1">
      <c r="A228" s="44" t="s">
        <v>256</v>
      </c>
      <c r="C228" s="44" t="s">
        <v>43</v>
      </c>
      <c r="D228" s="35"/>
      <c r="E228" s="45">
        <v>8261538</v>
      </c>
      <c r="F228" s="45"/>
      <c r="G228" s="45">
        <v>14088064</v>
      </c>
      <c r="H228" s="45"/>
      <c r="I228" s="45">
        <v>4074563</v>
      </c>
      <c r="J228" s="45"/>
      <c r="K228" s="45">
        <v>1616721</v>
      </c>
      <c r="L228" s="45"/>
      <c r="M228" s="45">
        <v>3506682</v>
      </c>
      <c r="N228" s="45"/>
      <c r="O228" s="45">
        <v>0</v>
      </c>
      <c r="P228" s="45"/>
      <c r="Q228" s="45">
        <f>922353+388268</f>
        <v>1310621</v>
      </c>
      <c r="R228" s="45"/>
      <c r="S228" s="44">
        <f t="shared" si="4"/>
        <v>1755023</v>
      </c>
      <c r="T228" s="45"/>
      <c r="U228" s="45">
        <v>34613212</v>
      </c>
      <c r="V228" s="35"/>
      <c r="W228" s="45">
        <f>1600000+61745</f>
        <v>1661745</v>
      </c>
    </row>
    <row r="229" spans="1:23" s="49" customFormat="1" ht="12.75" customHeight="1">
      <c r="A229" s="44" t="s">
        <v>257</v>
      </c>
      <c r="B229" s="44"/>
      <c r="C229" s="44" t="s">
        <v>258</v>
      </c>
      <c r="D229" s="44"/>
      <c r="E229" s="45">
        <v>532686</v>
      </c>
      <c r="F229" s="45"/>
      <c r="G229" s="45">
        <v>1973428</v>
      </c>
      <c r="H229" s="45"/>
      <c r="I229" s="45">
        <v>0</v>
      </c>
      <c r="J229" s="45"/>
      <c r="K229" s="45">
        <v>105003</v>
      </c>
      <c r="L229" s="45"/>
      <c r="M229" s="45">
        <v>827752</v>
      </c>
      <c r="N229" s="45"/>
      <c r="O229" s="45">
        <v>0</v>
      </c>
      <c r="P229" s="45"/>
      <c r="Q229" s="45">
        <f>23690+506218</f>
        <v>529908</v>
      </c>
      <c r="R229" s="45"/>
      <c r="S229" s="44">
        <f t="shared" si="4"/>
        <v>73019</v>
      </c>
      <c r="T229" s="45"/>
      <c r="U229" s="45">
        <v>4041796</v>
      </c>
      <c r="V229" s="35"/>
      <c r="W229" s="45">
        <v>50000</v>
      </c>
    </row>
    <row r="230" spans="1:23" s="49" customFormat="1" ht="12.75" customHeight="1">
      <c r="A230" s="44" t="s">
        <v>259</v>
      </c>
      <c r="C230" s="44" t="s">
        <v>260</v>
      </c>
      <c r="D230" s="35"/>
      <c r="E230" s="45">
        <v>480920</v>
      </c>
      <c r="F230" s="45"/>
      <c r="G230" s="45">
        <v>2505795</v>
      </c>
      <c r="H230" s="45"/>
      <c r="I230" s="45">
        <v>0</v>
      </c>
      <c r="J230" s="45"/>
      <c r="K230" s="45">
        <v>731633</v>
      </c>
      <c r="L230" s="45"/>
      <c r="M230" s="45">
        <v>767037</v>
      </c>
      <c r="N230" s="45"/>
      <c r="O230" s="45">
        <v>0</v>
      </c>
      <c r="P230" s="45"/>
      <c r="Q230" s="45">
        <v>648241</v>
      </c>
      <c r="R230" s="45"/>
      <c r="S230" s="44">
        <f t="shared" si="4"/>
        <v>129391</v>
      </c>
      <c r="T230" s="45"/>
      <c r="U230" s="45">
        <v>5263017</v>
      </c>
      <c r="V230" s="35"/>
      <c r="W230" s="45">
        <v>84068</v>
      </c>
    </row>
    <row r="231" spans="1:23" s="49" customFormat="1" ht="12.75" customHeight="1">
      <c r="A231" s="44" t="s">
        <v>261</v>
      </c>
      <c r="C231" s="44" t="s">
        <v>66</v>
      </c>
      <c r="D231" s="35"/>
      <c r="E231" s="45">
        <v>1973483</v>
      </c>
      <c r="F231" s="45"/>
      <c r="G231" s="45">
        <v>11031533</v>
      </c>
      <c r="H231" s="45"/>
      <c r="I231" s="45">
        <v>0</v>
      </c>
      <c r="J231" s="45"/>
      <c r="K231" s="45">
        <v>3215933</v>
      </c>
      <c r="L231" s="45"/>
      <c r="M231" s="45">
        <v>1450760</v>
      </c>
      <c r="N231" s="45"/>
      <c r="O231" s="45">
        <v>0</v>
      </c>
      <c r="P231" s="45"/>
      <c r="Q231" s="45">
        <f>196525+1215301</f>
        <v>1411826</v>
      </c>
      <c r="R231" s="45"/>
      <c r="S231" s="44">
        <f t="shared" si="4"/>
        <v>338357</v>
      </c>
      <c r="T231" s="45"/>
      <c r="U231" s="45">
        <v>19421892</v>
      </c>
      <c r="V231" s="35"/>
      <c r="W231" s="45">
        <v>0</v>
      </c>
    </row>
    <row r="232" spans="1:23" s="129" customFormat="1" ht="12.75" hidden="1" customHeight="1">
      <c r="A232" s="121" t="s">
        <v>262</v>
      </c>
      <c r="C232" s="121" t="s">
        <v>132</v>
      </c>
      <c r="D232" s="126"/>
      <c r="E232" s="127">
        <v>0</v>
      </c>
      <c r="F232" s="127"/>
      <c r="G232" s="127">
        <v>0</v>
      </c>
      <c r="H232" s="127"/>
      <c r="I232" s="127">
        <v>0</v>
      </c>
      <c r="J232" s="127"/>
      <c r="K232" s="127">
        <v>0</v>
      </c>
      <c r="L232" s="127"/>
      <c r="M232" s="127">
        <v>0</v>
      </c>
      <c r="N232" s="127"/>
      <c r="O232" s="127">
        <v>0</v>
      </c>
      <c r="P232" s="127"/>
      <c r="Q232" s="127">
        <v>0</v>
      </c>
      <c r="R232" s="127"/>
      <c r="S232" s="121">
        <f t="shared" si="4"/>
        <v>0</v>
      </c>
      <c r="T232" s="127"/>
      <c r="U232" s="127">
        <v>0</v>
      </c>
      <c r="V232" s="126"/>
      <c r="W232" s="127">
        <v>0</v>
      </c>
    </row>
    <row r="233" spans="1:23" s="49" customFormat="1" ht="12.75" customHeight="1">
      <c r="A233" s="44" t="s">
        <v>263</v>
      </c>
      <c r="C233" s="44" t="s">
        <v>53</v>
      </c>
      <c r="D233" s="35"/>
      <c r="E233" s="45">
        <v>1044335</v>
      </c>
      <c r="F233" s="45"/>
      <c r="G233" s="45">
        <v>0</v>
      </c>
      <c r="H233" s="45"/>
      <c r="I233" s="45">
        <v>99000</v>
      </c>
      <c r="J233" s="45"/>
      <c r="K233" s="45">
        <v>355671</v>
      </c>
      <c r="L233" s="45"/>
      <c r="M233" s="45">
        <v>2356827</v>
      </c>
      <c r="N233" s="45"/>
      <c r="O233" s="45">
        <v>0</v>
      </c>
      <c r="P233" s="45"/>
      <c r="Q233" s="45">
        <f>126607+457199</f>
        <v>583806</v>
      </c>
      <c r="R233" s="45"/>
      <c r="S233" s="44">
        <f t="shared" si="4"/>
        <v>89035</v>
      </c>
      <c r="T233" s="45"/>
      <c r="U233" s="45">
        <v>4528674</v>
      </c>
      <c r="V233" s="35"/>
      <c r="W233" s="45">
        <f>4500000+27828</f>
        <v>4527828</v>
      </c>
    </row>
    <row r="234" spans="1:23" s="49" customFormat="1" ht="12.75" customHeight="1">
      <c r="A234" s="44" t="s">
        <v>264</v>
      </c>
      <c r="C234" s="44" t="s">
        <v>239</v>
      </c>
      <c r="D234" s="35"/>
      <c r="E234" s="45">
        <v>377030</v>
      </c>
      <c r="F234" s="45"/>
      <c r="G234" s="45">
        <v>2171986</v>
      </c>
      <c r="H234" s="45"/>
      <c r="I234" s="45">
        <v>645090</v>
      </c>
      <c r="J234" s="45"/>
      <c r="K234" s="45">
        <v>43234</v>
      </c>
      <c r="L234" s="45"/>
      <c r="M234" s="45">
        <v>573327</v>
      </c>
      <c r="N234" s="45"/>
      <c r="O234" s="45">
        <v>0</v>
      </c>
      <c r="P234" s="45"/>
      <c r="Q234" s="45">
        <f>82112+17997</f>
        <v>100109</v>
      </c>
      <c r="R234" s="45"/>
      <c r="S234" s="44">
        <f t="shared" si="4"/>
        <v>489878</v>
      </c>
      <c r="T234" s="45"/>
      <c r="U234" s="45">
        <v>4400654</v>
      </c>
      <c r="V234" s="35"/>
      <c r="W234" s="45">
        <v>3100</v>
      </c>
    </row>
    <row r="235" spans="1:23" s="49" customFormat="1" ht="12.75" customHeight="1">
      <c r="A235" s="44" t="s">
        <v>111</v>
      </c>
      <c r="C235" s="44" t="s">
        <v>80</v>
      </c>
      <c r="D235" s="35"/>
      <c r="E235" s="45">
        <v>0</v>
      </c>
      <c r="F235" s="45"/>
      <c r="G235" s="45">
        <v>15872631</v>
      </c>
      <c r="H235" s="45"/>
      <c r="I235" s="45">
        <v>0</v>
      </c>
      <c r="J235" s="45"/>
      <c r="K235" s="45">
        <v>2084254</v>
      </c>
      <c r="L235" s="45"/>
      <c r="M235" s="45">
        <v>3135469</v>
      </c>
      <c r="N235" s="45"/>
      <c r="O235" s="45">
        <v>0</v>
      </c>
      <c r="P235" s="45"/>
      <c r="Q235" s="45">
        <f>2170949+1335840</f>
        <v>3506789</v>
      </c>
      <c r="R235" s="45"/>
      <c r="S235" s="44">
        <f t="shared" si="4"/>
        <v>820167</v>
      </c>
      <c r="T235" s="45"/>
      <c r="U235" s="45">
        <v>25419310</v>
      </c>
      <c r="V235" s="35"/>
      <c r="W235" s="45">
        <v>127500</v>
      </c>
    </row>
    <row r="236" spans="1:23" s="49" customFormat="1" ht="12.75" customHeight="1">
      <c r="A236" s="44" t="s">
        <v>265</v>
      </c>
      <c r="C236" s="44" t="s">
        <v>27</v>
      </c>
      <c r="D236" s="35"/>
      <c r="E236" s="45">
        <v>491573</v>
      </c>
      <c r="F236" s="45"/>
      <c r="G236" s="45">
        <v>12829743</v>
      </c>
      <c r="H236" s="45"/>
      <c r="I236" s="45">
        <v>185939</v>
      </c>
      <c r="J236" s="45"/>
      <c r="K236" s="45">
        <v>344338</v>
      </c>
      <c r="L236" s="45"/>
      <c r="M236" s="45">
        <v>1324924</v>
      </c>
      <c r="N236" s="45"/>
      <c r="O236" s="45">
        <v>0</v>
      </c>
      <c r="P236" s="45"/>
      <c r="Q236" s="45">
        <f>208936+192370</f>
        <v>401306</v>
      </c>
      <c r="R236" s="45"/>
      <c r="S236" s="44">
        <f t="shared" si="4"/>
        <v>122339</v>
      </c>
      <c r="T236" s="45"/>
      <c r="U236" s="45">
        <v>15700162</v>
      </c>
      <c r="V236" s="35"/>
      <c r="W236" s="45">
        <f>27898+474500</f>
        <v>502398</v>
      </c>
    </row>
    <row r="237" spans="1:23" s="49" customFormat="1" ht="12.75" customHeight="1">
      <c r="A237" s="44" t="s">
        <v>40</v>
      </c>
      <c r="C237" s="47" t="s">
        <v>451</v>
      </c>
      <c r="D237" s="35"/>
      <c r="E237" s="45">
        <v>396106</v>
      </c>
      <c r="F237" s="45"/>
      <c r="G237" s="45">
        <v>3290033</v>
      </c>
      <c r="H237" s="45"/>
      <c r="I237" s="45">
        <v>0</v>
      </c>
      <c r="J237" s="45"/>
      <c r="K237" s="45">
        <v>951162</v>
      </c>
      <c r="L237" s="45"/>
      <c r="M237" s="45">
        <v>1247484</v>
      </c>
      <c r="N237" s="45"/>
      <c r="O237" s="45">
        <v>0</v>
      </c>
      <c r="P237" s="45"/>
      <c r="Q237" s="45">
        <v>535307</v>
      </c>
      <c r="R237" s="45"/>
      <c r="S237" s="44">
        <f t="shared" si="4"/>
        <v>182695</v>
      </c>
      <c r="T237" s="45"/>
      <c r="U237" s="45">
        <v>6602787</v>
      </c>
      <c r="V237" s="35"/>
      <c r="W237" s="45">
        <v>0</v>
      </c>
    </row>
    <row r="238" spans="1:23" s="49" customFormat="1" ht="12.75" customHeight="1">
      <c r="A238" s="44" t="s">
        <v>266</v>
      </c>
      <c r="C238" s="44" t="s">
        <v>267</v>
      </c>
      <c r="D238" s="35"/>
      <c r="E238" s="45">
        <v>2083437</v>
      </c>
      <c r="F238" s="45"/>
      <c r="G238" s="45">
        <v>0</v>
      </c>
      <c r="H238" s="45"/>
      <c r="I238" s="45">
        <v>0</v>
      </c>
      <c r="J238" s="45"/>
      <c r="K238" s="45">
        <v>586793</v>
      </c>
      <c r="L238" s="45"/>
      <c r="M238" s="45">
        <v>521016</v>
      </c>
      <c r="N238" s="45"/>
      <c r="O238" s="45">
        <v>0</v>
      </c>
      <c r="P238" s="45"/>
      <c r="Q238" s="45">
        <f>9920+35248</f>
        <v>45168</v>
      </c>
      <c r="R238" s="45"/>
      <c r="S238" s="44">
        <f t="shared" si="4"/>
        <v>279973</v>
      </c>
      <c r="T238" s="45"/>
      <c r="U238" s="45">
        <v>3516387</v>
      </c>
      <c r="V238" s="35"/>
      <c r="W238" s="45">
        <f>63371+160000</f>
        <v>223371</v>
      </c>
    </row>
    <row r="239" spans="1:23" s="49" customFormat="1" ht="12.75" customHeight="1">
      <c r="A239" s="44" t="s">
        <v>268</v>
      </c>
      <c r="C239" s="44" t="s">
        <v>269</v>
      </c>
      <c r="D239" s="35"/>
      <c r="E239" s="45">
        <v>1559286</v>
      </c>
      <c r="F239" s="45"/>
      <c r="G239" s="45">
        <v>0</v>
      </c>
      <c r="H239" s="45"/>
      <c r="I239" s="45">
        <v>0</v>
      </c>
      <c r="J239" s="45"/>
      <c r="K239" s="45">
        <v>0</v>
      </c>
      <c r="L239" s="45"/>
      <c r="M239" s="45">
        <v>405711</v>
      </c>
      <c r="N239" s="45"/>
      <c r="O239" s="45">
        <v>0</v>
      </c>
      <c r="P239" s="45"/>
      <c r="Q239" s="45">
        <f>1824+134695</f>
        <v>136519</v>
      </c>
      <c r="R239" s="45"/>
      <c r="S239" s="44">
        <f t="shared" si="4"/>
        <v>29215</v>
      </c>
      <c r="T239" s="45"/>
      <c r="U239" s="45">
        <v>2130731</v>
      </c>
      <c r="V239" s="35"/>
      <c r="W239" s="45">
        <v>0</v>
      </c>
    </row>
    <row r="240" spans="1:23" s="49" customFormat="1" ht="12.75" customHeight="1">
      <c r="A240" s="44" t="s">
        <v>270</v>
      </c>
      <c r="C240" s="44" t="s">
        <v>136</v>
      </c>
      <c r="D240" s="35"/>
      <c r="E240" s="45">
        <v>252236</v>
      </c>
      <c r="F240" s="45"/>
      <c r="G240" s="45">
        <v>1013452</v>
      </c>
      <c r="H240" s="45"/>
      <c r="I240" s="45">
        <v>0</v>
      </c>
      <c r="J240" s="45"/>
      <c r="K240" s="45">
        <v>21651</v>
      </c>
      <c r="L240" s="45"/>
      <c r="M240" s="45">
        <v>186106</v>
      </c>
      <c r="N240" s="45"/>
      <c r="O240" s="45">
        <v>0</v>
      </c>
      <c r="P240" s="45"/>
      <c r="Q240" s="45">
        <f>45088+30875</f>
        <v>75963</v>
      </c>
      <c r="R240" s="45"/>
      <c r="S240" s="44">
        <f t="shared" si="4"/>
        <v>234451</v>
      </c>
      <c r="T240" s="45"/>
      <c r="U240" s="45">
        <v>1783859</v>
      </c>
      <c r="V240" s="35"/>
      <c r="W240" s="45">
        <v>0</v>
      </c>
    </row>
    <row r="241" spans="1:23" s="49" customFormat="1" ht="12.75" customHeight="1">
      <c r="A241" s="44" t="s">
        <v>271</v>
      </c>
      <c r="C241" s="44" t="s">
        <v>66</v>
      </c>
      <c r="D241" s="35"/>
      <c r="E241" s="45">
        <v>5756777</v>
      </c>
      <c r="F241" s="45"/>
      <c r="G241" s="45">
        <v>0</v>
      </c>
      <c r="H241" s="45"/>
      <c r="I241" s="45">
        <v>0</v>
      </c>
      <c r="J241" s="45"/>
      <c r="K241" s="45">
        <v>238123</v>
      </c>
      <c r="L241" s="45"/>
      <c r="M241" s="45">
        <v>613861</v>
      </c>
      <c r="N241" s="45"/>
      <c r="O241" s="45">
        <v>0</v>
      </c>
      <c r="P241" s="45"/>
      <c r="Q241" s="45">
        <f>311745+71987</f>
        <v>383732</v>
      </c>
      <c r="R241" s="45"/>
      <c r="S241" s="44">
        <f t="shared" si="4"/>
        <v>271002</v>
      </c>
      <c r="T241" s="45"/>
      <c r="U241" s="45">
        <v>7263495</v>
      </c>
      <c r="V241" s="35"/>
      <c r="W241" s="45">
        <v>0</v>
      </c>
    </row>
    <row r="242" spans="1:23" s="49" customFormat="1" ht="12.75" customHeight="1">
      <c r="A242" s="44" t="s">
        <v>272</v>
      </c>
      <c r="C242" s="44" t="s">
        <v>43</v>
      </c>
      <c r="D242" s="35"/>
      <c r="E242" s="45">
        <v>3084122</v>
      </c>
      <c r="F242" s="45"/>
      <c r="G242" s="45">
        <v>31457462</v>
      </c>
      <c r="H242" s="45"/>
      <c r="I242" s="45">
        <v>0</v>
      </c>
      <c r="J242" s="45"/>
      <c r="K242" s="45">
        <v>492947</v>
      </c>
      <c r="L242" s="45"/>
      <c r="M242" s="45">
        <v>6002486</v>
      </c>
      <c r="N242" s="45"/>
      <c r="O242" s="45">
        <v>0</v>
      </c>
      <c r="P242" s="45"/>
      <c r="Q242" s="45">
        <f>729983+520240</f>
        <v>1250223</v>
      </c>
      <c r="R242" s="45"/>
      <c r="S242" s="44">
        <f>U242-E242-G242-K242-M242-O242-Q242-I242</f>
        <v>920708</v>
      </c>
      <c r="T242" s="45"/>
      <c r="U242" s="45">
        <v>43207948</v>
      </c>
      <c r="V242" s="35"/>
      <c r="W242" s="44">
        <f>780000+6080</f>
        <v>786080</v>
      </c>
    </row>
    <row r="243" spans="1:23" s="49" customFormat="1" ht="12.75" customHeight="1">
      <c r="A243" s="44" t="s">
        <v>273</v>
      </c>
      <c r="C243" s="44" t="s">
        <v>27</v>
      </c>
      <c r="D243" s="35"/>
      <c r="E243" s="45">
        <v>9895312</v>
      </c>
      <c r="F243" s="45"/>
      <c r="G243" s="45">
        <v>12707117</v>
      </c>
      <c r="H243" s="45"/>
      <c r="I243" s="45">
        <f>178209+46204+479845</f>
        <v>704258</v>
      </c>
      <c r="J243" s="45"/>
      <c r="K243" s="45">
        <v>573173</v>
      </c>
      <c r="L243" s="45"/>
      <c r="M243" s="45">
        <v>4410520</v>
      </c>
      <c r="N243" s="45"/>
      <c r="O243" s="45">
        <v>0</v>
      </c>
      <c r="P243" s="45"/>
      <c r="Q243" s="45">
        <f>432996+290181</f>
        <v>723177</v>
      </c>
      <c r="R243" s="45"/>
      <c r="S243" s="44">
        <f t="shared" ref="S243:S256" si="5">U243-E243-G243-K243-M243-O243-Q243-I243</f>
        <v>747410</v>
      </c>
      <c r="T243" s="45"/>
      <c r="U243" s="45">
        <v>29760967</v>
      </c>
      <c r="V243" s="35"/>
      <c r="W243" s="45">
        <v>34382</v>
      </c>
    </row>
    <row r="244" spans="1:23" s="49" customFormat="1" ht="12.75" customHeight="1">
      <c r="A244" s="44" t="s">
        <v>274</v>
      </c>
      <c r="C244" s="44" t="s">
        <v>43</v>
      </c>
      <c r="D244" s="35"/>
      <c r="E244" s="45">
        <v>434976</v>
      </c>
      <c r="F244" s="45"/>
      <c r="G244" s="45">
        <v>16814950</v>
      </c>
      <c r="H244" s="45"/>
      <c r="I244" s="45">
        <v>0</v>
      </c>
      <c r="J244" s="45"/>
      <c r="K244" s="45">
        <v>210976</v>
      </c>
      <c r="L244" s="45"/>
      <c r="M244" s="45">
        <v>1577018</v>
      </c>
      <c r="N244" s="45"/>
      <c r="O244" s="45">
        <v>181321</v>
      </c>
      <c r="P244" s="45"/>
      <c r="Q244" s="45">
        <f>413698+301364</f>
        <v>715062</v>
      </c>
      <c r="R244" s="45"/>
      <c r="S244" s="44">
        <f t="shared" si="5"/>
        <v>608369</v>
      </c>
      <c r="T244" s="45"/>
      <c r="U244" s="45">
        <v>20542672</v>
      </c>
      <c r="V244" s="35"/>
      <c r="W244" s="45">
        <f>41328+600</f>
        <v>41928</v>
      </c>
    </row>
    <row r="245" spans="1:23" s="49" customFormat="1" ht="12.75" customHeight="1">
      <c r="A245" s="44" t="s">
        <v>275</v>
      </c>
      <c r="C245" s="44" t="s">
        <v>92</v>
      </c>
      <c r="D245" s="35"/>
      <c r="E245" s="45">
        <v>1564099</v>
      </c>
      <c r="F245" s="45"/>
      <c r="G245" s="45">
        <v>8416184</v>
      </c>
      <c r="H245" s="45"/>
      <c r="I245" s="45">
        <v>215152</v>
      </c>
      <c r="J245" s="45"/>
      <c r="K245" s="45">
        <v>315578</v>
      </c>
      <c r="L245" s="45"/>
      <c r="M245" s="45">
        <f>1996538+195637</f>
        <v>2192175</v>
      </c>
      <c r="N245" s="45"/>
      <c r="O245" s="45">
        <v>0</v>
      </c>
      <c r="P245" s="45"/>
      <c r="Q245" s="45">
        <f>381493+144965</f>
        <v>526458</v>
      </c>
      <c r="R245" s="45"/>
      <c r="S245" s="44">
        <f t="shared" si="5"/>
        <v>246040</v>
      </c>
      <c r="T245" s="45"/>
      <c r="U245" s="45">
        <v>13475686</v>
      </c>
      <c r="V245" s="35"/>
      <c r="W245" s="45">
        <v>0</v>
      </c>
    </row>
    <row r="246" spans="1:23" s="46" customFormat="1" ht="12.75" customHeight="1">
      <c r="A246" s="44" t="s">
        <v>276</v>
      </c>
      <c r="B246" s="49"/>
      <c r="C246" s="44" t="s">
        <v>38</v>
      </c>
      <c r="D246" s="35"/>
      <c r="E246" s="45">
        <v>244517</v>
      </c>
      <c r="F246" s="45"/>
      <c r="G246" s="45">
        <v>1506500</v>
      </c>
      <c r="H246" s="45"/>
      <c r="I246" s="45">
        <v>0</v>
      </c>
      <c r="J246" s="45"/>
      <c r="K246" s="45">
        <v>532487</v>
      </c>
      <c r="L246" s="45"/>
      <c r="M246" s="45">
        <v>520733</v>
      </c>
      <c r="N246" s="45"/>
      <c r="O246" s="45">
        <v>0</v>
      </c>
      <c r="P246" s="45"/>
      <c r="Q246" s="45">
        <f>50995+43181</f>
        <v>94176</v>
      </c>
      <c r="R246" s="45"/>
      <c r="S246" s="44">
        <f t="shared" si="5"/>
        <v>34136</v>
      </c>
      <c r="T246" s="45"/>
      <c r="U246" s="45">
        <v>2932549</v>
      </c>
      <c r="V246" s="35"/>
      <c r="W246" s="45">
        <v>4627</v>
      </c>
    </row>
    <row r="247" spans="1:23" s="49" customFormat="1" ht="12.75" customHeight="1">
      <c r="A247" s="44" t="s">
        <v>277</v>
      </c>
      <c r="C247" s="44" t="s">
        <v>92</v>
      </c>
      <c r="D247" s="35"/>
      <c r="E247" s="45">
        <v>1761049</v>
      </c>
      <c r="F247" s="45"/>
      <c r="G247" s="45">
        <v>14185589</v>
      </c>
      <c r="H247" s="45"/>
      <c r="I247" s="45">
        <v>0</v>
      </c>
      <c r="J247" s="45"/>
      <c r="K247" s="45">
        <v>1363163</v>
      </c>
      <c r="L247" s="45"/>
      <c r="M247" s="45">
        <v>3378193</v>
      </c>
      <c r="N247" s="45"/>
      <c r="O247" s="45">
        <v>0</v>
      </c>
      <c r="P247" s="45"/>
      <c r="Q247" s="45">
        <f>2121708+230587</f>
        <v>2352295</v>
      </c>
      <c r="R247" s="45"/>
      <c r="S247" s="44">
        <f t="shared" si="5"/>
        <v>143398</v>
      </c>
      <c r="T247" s="45"/>
      <c r="U247" s="45">
        <v>23183687</v>
      </c>
      <c r="V247" s="35"/>
      <c r="W247" s="45">
        <v>0</v>
      </c>
    </row>
    <row r="248" spans="1:23" s="49" customFormat="1" ht="12.75" customHeight="1">
      <c r="A248" s="44" t="s">
        <v>278</v>
      </c>
      <c r="C248" s="44" t="s">
        <v>92</v>
      </c>
      <c r="D248" s="35"/>
      <c r="E248" s="45">
        <v>569003</v>
      </c>
      <c r="F248" s="45"/>
      <c r="G248" s="45">
        <v>3486159</v>
      </c>
      <c r="H248" s="45"/>
      <c r="I248" s="45">
        <f>41804+88887</f>
        <v>130691</v>
      </c>
      <c r="J248" s="45"/>
      <c r="K248" s="45">
        <v>32420</v>
      </c>
      <c r="L248" s="45"/>
      <c r="M248" s="45">
        <v>869494</v>
      </c>
      <c r="N248" s="45"/>
      <c r="O248" s="45">
        <v>0</v>
      </c>
      <c r="P248" s="45"/>
      <c r="Q248" s="45">
        <f>190820+2509213</f>
        <v>2700033</v>
      </c>
      <c r="R248" s="45"/>
      <c r="S248" s="44">
        <f t="shared" si="5"/>
        <v>149571</v>
      </c>
      <c r="T248" s="45"/>
      <c r="U248" s="45">
        <v>7937371</v>
      </c>
      <c r="V248" s="35"/>
      <c r="W248" s="45">
        <v>49887</v>
      </c>
    </row>
    <row r="249" spans="1:23" s="49" customFormat="1" ht="12.75" customHeight="1">
      <c r="A249" s="44" t="s">
        <v>279</v>
      </c>
      <c r="C249" s="44" t="s">
        <v>92</v>
      </c>
      <c r="D249" s="35"/>
      <c r="E249" s="45">
        <v>2276426</v>
      </c>
      <c r="F249" s="45"/>
      <c r="G249" s="45">
        <v>2185643</v>
      </c>
      <c r="H249" s="45"/>
      <c r="I249" s="45">
        <v>202170</v>
      </c>
      <c r="J249" s="45"/>
      <c r="K249" s="45">
        <v>411822</v>
      </c>
      <c r="L249" s="45"/>
      <c r="M249" s="45">
        <v>2355062</v>
      </c>
      <c r="N249" s="45"/>
      <c r="O249" s="45">
        <v>0</v>
      </c>
      <c r="P249" s="45"/>
      <c r="Q249" s="45">
        <f>213765+78698</f>
        <v>292463</v>
      </c>
      <c r="R249" s="45"/>
      <c r="S249" s="44">
        <f t="shared" si="5"/>
        <v>68977</v>
      </c>
      <c r="T249" s="45"/>
      <c r="U249" s="45">
        <v>7792563</v>
      </c>
      <c r="V249" s="35"/>
      <c r="W249" s="45">
        <v>100</v>
      </c>
    </row>
    <row r="250" spans="1:23" s="49" customFormat="1" ht="12.75" customHeight="1">
      <c r="A250" s="44" t="s">
        <v>280</v>
      </c>
      <c r="C250" s="44" t="s">
        <v>281</v>
      </c>
      <c r="D250" s="35"/>
      <c r="E250" s="45">
        <v>595954</v>
      </c>
      <c r="F250" s="45"/>
      <c r="G250" s="45">
        <v>4106756</v>
      </c>
      <c r="H250" s="45"/>
      <c r="I250" s="45">
        <v>0</v>
      </c>
      <c r="J250" s="45"/>
      <c r="K250" s="45">
        <v>1447811</v>
      </c>
      <c r="L250" s="45"/>
      <c r="M250" s="45">
        <v>959139</v>
      </c>
      <c r="N250" s="45"/>
      <c r="O250" s="45">
        <v>77469</v>
      </c>
      <c r="P250" s="45"/>
      <c r="Q250" s="45">
        <f>28158+741202</f>
        <v>769360</v>
      </c>
      <c r="R250" s="45"/>
      <c r="S250" s="44">
        <f t="shared" si="5"/>
        <v>116589</v>
      </c>
      <c r="T250" s="45"/>
      <c r="U250" s="45">
        <v>8073078</v>
      </c>
      <c r="V250" s="35"/>
      <c r="W250" s="45">
        <v>0</v>
      </c>
    </row>
    <row r="251" spans="1:23" s="49" customFormat="1" ht="12.75" customHeight="1">
      <c r="A251" s="44" t="s">
        <v>282</v>
      </c>
      <c r="C251" s="44" t="s">
        <v>199</v>
      </c>
      <c r="D251" s="35"/>
      <c r="E251" s="45">
        <v>11295605</v>
      </c>
      <c r="F251" s="45"/>
      <c r="G251" s="45">
        <v>0</v>
      </c>
      <c r="H251" s="45"/>
      <c r="I251" s="45">
        <v>0</v>
      </c>
      <c r="J251" s="45"/>
      <c r="K251" s="45">
        <v>1299700</v>
      </c>
      <c r="L251" s="45"/>
      <c r="M251" s="45">
        <v>1559899</v>
      </c>
      <c r="N251" s="45"/>
      <c r="O251" s="45">
        <v>0</v>
      </c>
      <c r="P251" s="45"/>
      <c r="Q251" s="45">
        <v>481874</v>
      </c>
      <c r="R251" s="45"/>
      <c r="S251" s="44">
        <f t="shared" si="5"/>
        <v>2178114</v>
      </c>
      <c r="T251" s="45"/>
      <c r="U251" s="45">
        <v>16815192</v>
      </c>
      <c r="V251" s="35"/>
      <c r="W251" s="45">
        <f>1040000+25680</f>
        <v>1065680</v>
      </c>
    </row>
    <row r="252" spans="1:23" s="49" customFormat="1" ht="12.75" customHeight="1">
      <c r="A252" s="44" t="s">
        <v>283</v>
      </c>
      <c r="C252" s="44" t="s">
        <v>43</v>
      </c>
      <c r="D252" s="35"/>
      <c r="E252" s="45">
        <v>2430847</v>
      </c>
      <c r="F252" s="45"/>
      <c r="G252" s="45">
        <v>14660646</v>
      </c>
      <c r="H252" s="45"/>
      <c r="I252" s="45">
        <v>167732</v>
      </c>
      <c r="J252" s="45"/>
      <c r="K252" s="45">
        <v>2358899</v>
      </c>
      <c r="L252" s="45"/>
      <c r="M252" s="45">
        <v>1599714</v>
      </c>
      <c r="N252" s="45"/>
      <c r="O252" s="45">
        <v>15924</v>
      </c>
      <c r="P252" s="45"/>
      <c r="Q252" s="45">
        <f>329337+182185</f>
        <v>511522</v>
      </c>
      <c r="R252" s="45"/>
      <c r="S252" s="44">
        <f t="shared" si="5"/>
        <v>337696</v>
      </c>
      <c r="T252" s="45"/>
      <c r="U252" s="45">
        <v>22082980</v>
      </c>
      <c r="V252" s="35"/>
      <c r="W252" s="45">
        <v>400000</v>
      </c>
    </row>
    <row r="253" spans="1:23" s="49" customFormat="1" ht="12.75" customHeight="1">
      <c r="A253" s="44" t="s">
        <v>284</v>
      </c>
      <c r="C253" s="44" t="s">
        <v>45</v>
      </c>
      <c r="D253" s="35"/>
      <c r="E253" s="45">
        <v>6917072</v>
      </c>
      <c r="F253" s="45"/>
      <c r="G253" s="45">
        <v>0</v>
      </c>
      <c r="H253" s="45"/>
      <c r="I253" s="45">
        <v>0</v>
      </c>
      <c r="J253" s="45"/>
      <c r="K253" s="45">
        <v>21132</v>
      </c>
      <c r="L253" s="45"/>
      <c r="M253" s="45">
        <v>610944</v>
      </c>
      <c r="N253" s="45"/>
      <c r="O253" s="45">
        <v>0</v>
      </c>
      <c r="P253" s="45"/>
      <c r="Q253" s="45">
        <v>92034</v>
      </c>
      <c r="R253" s="45"/>
      <c r="S253" s="44">
        <f t="shared" si="5"/>
        <v>240288</v>
      </c>
      <c r="T253" s="45"/>
      <c r="U253" s="45">
        <v>7881470</v>
      </c>
      <c r="V253" s="35"/>
      <c r="W253" s="45">
        <v>0</v>
      </c>
    </row>
    <row r="254" spans="1:23" s="49" customFormat="1" ht="12.75" customHeight="1">
      <c r="A254" s="44" t="s">
        <v>285</v>
      </c>
      <c r="C254" s="44" t="s">
        <v>30</v>
      </c>
      <c r="D254" s="35"/>
      <c r="E254" s="45">
        <v>0</v>
      </c>
      <c r="F254" s="45"/>
      <c r="G254" s="45">
        <v>4083217</v>
      </c>
      <c r="H254" s="45"/>
      <c r="I254" s="45">
        <v>1072225</v>
      </c>
      <c r="J254" s="45"/>
      <c r="K254" s="45">
        <v>0</v>
      </c>
      <c r="L254" s="45"/>
      <c r="M254" s="45">
        <f>1776638+197008</f>
        <v>1973646</v>
      </c>
      <c r="N254" s="45"/>
      <c r="O254" s="45">
        <v>0</v>
      </c>
      <c r="P254" s="45"/>
      <c r="Q254" s="45">
        <v>1065654</v>
      </c>
      <c r="R254" s="45"/>
      <c r="S254" s="44">
        <f t="shared" si="5"/>
        <v>297342</v>
      </c>
      <c r="T254" s="45"/>
      <c r="U254" s="45">
        <v>8492084</v>
      </c>
      <c r="V254" s="35"/>
      <c r="W254" s="45">
        <v>0</v>
      </c>
    </row>
    <row r="255" spans="1:23" s="129" customFormat="1" ht="12.75" hidden="1" customHeight="1">
      <c r="A255" s="121" t="s">
        <v>286</v>
      </c>
      <c r="C255" s="121" t="s">
        <v>61</v>
      </c>
      <c r="D255" s="126"/>
      <c r="E255" s="127">
        <v>0</v>
      </c>
      <c r="F255" s="127"/>
      <c r="G255" s="127">
        <v>0</v>
      </c>
      <c r="H255" s="127"/>
      <c r="I255" s="127">
        <v>0</v>
      </c>
      <c r="J255" s="127"/>
      <c r="K255" s="127">
        <v>0</v>
      </c>
      <c r="L255" s="127"/>
      <c r="M255" s="127">
        <v>0</v>
      </c>
      <c r="N255" s="127"/>
      <c r="O255" s="127">
        <v>0</v>
      </c>
      <c r="P255" s="127"/>
      <c r="Q255" s="127">
        <v>0</v>
      </c>
      <c r="R255" s="127"/>
      <c r="S255" s="121">
        <f t="shared" si="5"/>
        <v>0</v>
      </c>
      <c r="T255" s="127"/>
      <c r="U255" s="127">
        <v>0</v>
      </c>
      <c r="V255" s="126"/>
      <c r="W255" s="127">
        <v>0</v>
      </c>
    </row>
    <row r="256" spans="1:23" s="44" customFormat="1" ht="12.75" customHeight="1">
      <c r="A256" s="44" t="s">
        <v>287</v>
      </c>
      <c r="B256" s="49"/>
      <c r="C256" s="44" t="s">
        <v>288</v>
      </c>
      <c r="D256" s="35"/>
      <c r="E256" s="45">
        <v>604731</v>
      </c>
      <c r="F256" s="45"/>
      <c r="G256" s="45">
        <v>7985236</v>
      </c>
      <c r="H256" s="45"/>
      <c r="I256" s="45">
        <v>0</v>
      </c>
      <c r="J256" s="45"/>
      <c r="K256" s="45">
        <v>644716</v>
      </c>
      <c r="L256" s="45"/>
      <c r="M256" s="45">
        <v>3299217</v>
      </c>
      <c r="N256" s="45"/>
      <c r="O256" s="45">
        <v>0</v>
      </c>
      <c r="P256" s="45"/>
      <c r="Q256" s="45">
        <f>89625+270072</f>
        <v>359697</v>
      </c>
      <c r="R256" s="45"/>
      <c r="S256" s="44">
        <f t="shared" si="5"/>
        <v>553777</v>
      </c>
      <c r="T256" s="45"/>
      <c r="U256" s="45">
        <v>13447374</v>
      </c>
      <c r="V256" s="35"/>
      <c r="W256" s="45">
        <f>100+1131527</f>
        <v>1131627</v>
      </c>
    </row>
    <row r="257" spans="1:22" s="49" customFormat="1" ht="12.75" customHeight="1">
      <c r="A257" s="44" t="s">
        <v>471</v>
      </c>
      <c r="C257" s="44"/>
      <c r="D257" s="35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5"/>
      <c r="R257" s="44"/>
      <c r="S257" s="44"/>
      <c r="T257" s="45"/>
      <c r="U257" s="48"/>
    </row>
    <row r="258" spans="1:22" s="47" customFormat="1" ht="12.75" customHeight="1">
      <c r="A258" s="49"/>
      <c r="B258" s="51"/>
      <c r="C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4"/>
      <c r="T258" s="49"/>
      <c r="U258" s="48"/>
    </row>
    <row r="259" spans="1:22" s="49" customFormat="1" ht="12.75" customHeight="1">
      <c r="D259" s="47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8"/>
    </row>
    <row r="260" spans="1:22" s="49" customFormat="1" ht="12.75" customHeight="1"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8"/>
    </row>
    <row r="261" spans="1:22" s="49" customFormat="1" ht="12.75" customHeight="1"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8"/>
    </row>
    <row r="262" spans="1:22" s="49" customFormat="1" ht="12.75" customHeight="1"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8"/>
    </row>
    <row r="263" spans="1:22" s="49" customFormat="1" ht="12.75" customHeight="1">
      <c r="D263" s="47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8"/>
    </row>
    <row r="264" spans="1:22" s="49" customFormat="1" ht="12.75" customHeight="1">
      <c r="D264" s="47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8"/>
    </row>
    <row r="265" spans="1:22" s="49" customFormat="1" ht="12.75" customHeight="1">
      <c r="D265" s="47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8"/>
    </row>
    <row r="266" spans="1:22" s="49" customFormat="1" ht="12.75" customHeight="1">
      <c r="D266" s="47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8"/>
    </row>
    <row r="267" spans="1:22" s="49" customFormat="1" ht="12.75" customHeight="1">
      <c r="D267" s="47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8"/>
    </row>
    <row r="268" spans="1:22" s="49" customFormat="1" ht="12.75" customHeight="1">
      <c r="D268" s="47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8"/>
    </row>
    <row r="269" spans="1:22" s="49" customFormat="1" ht="12.75" customHeight="1">
      <c r="D269" s="47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8"/>
    </row>
    <row r="270" spans="1:22" s="49" customFormat="1" ht="12.75" customHeight="1">
      <c r="D270" s="47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8"/>
    </row>
    <row r="271" spans="1:22" s="49" customFormat="1" ht="12.75" customHeight="1">
      <c r="D271" s="47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8"/>
      <c r="V271" s="47"/>
    </row>
    <row r="272" spans="1:22" s="49" customFormat="1" ht="12.75" customHeight="1">
      <c r="D272" s="47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8"/>
      <c r="V272" s="47"/>
    </row>
    <row r="273" spans="4:22" s="49" customFormat="1" ht="12.75" customHeight="1">
      <c r="D273" s="47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8"/>
      <c r="V273" s="47"/>
    </row>
    <row r="274" spans="4:22" s="49" customFormat="1" ht="12.75" customHeight="1">
      <c r="D274" s="47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8"/>
      <c r="V274" s="47"/>
    </row>
    <row r="275" spans="4:22" s="49" customFormat="1" ht="12.75" customHeight="1">
      <c r="D275" s="47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8"/>
      <c r="V275" s="47"/>
    </row>
    <row r="276" spans="4:22" s="49" customFormat="1" ht="12.75" customHeight="1">
      <c r="D276" s="47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8"/>
      <c r="V276" s="47"/>
    </row>
    <row r="277" spans="4:22" s="49" customFormat="1" ht="12.75" customHeight="1">
      <c r="D277" s="47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8"/>
      <c r="V277" s="47"/>
    </row>
    <row r="278" spans="4:22" s="49" customFormat="1" ht="12.75" customHeight="1">
      <c r="D278" s="47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8"/>
      <c r="V278" s="47"/>
    </row>
    <row r="279" spans="4:22" s="49" customFormat="1" ht="12.75" customHeight="1">
      <c r="D279" s="47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8"/>
      <c r="V279" s="47"/>
    </row>
    <row r="280" spans="4:22" s="49" customFormat="1" ht="12.75" customHeight="1">
      <c r="D280" s="47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8"/>
      <c r="V280" s="47"/>
    </row>
    <row r="281" spans="4:22" s="49" customFormat="1" ht="12.75" customHeight="1">
      <c r="D281" s="47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8"/>
      <c r="V281" s="47"/>
    </row>
    <row r="282" spans="4:22" s="49" customFormat="1" ht="12.75" customHeight="1">
      <c r="D282" s="47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8"/>
      <c r="V282" s="47"/>
    </row>
    <row r="283" spans="4:22" s="49" customFormat="1" ht="12.75" customHeight="1">
      <c r="D283" s="47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8"/>
      <c r="V283" s="47"/>
    </row>
    <row r="284" spans="4:22" s="49" customFormat="1" ht="12.75" customHeight="1">
      <c r="D284" s="47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8"/>
      <c r="V284" s="47"/>
    </row>
    <row r="285" spans="4:22" s="49" customFormat="1" ht="12.75" customHeight="1">
      <c r="D285" s="47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8"/>
      <c r="V285" s="47"/>
    </row>
    <row r="286" spans="4:22" s="49" customFormat="1" ht="12.75" customHeight="1">
      <c r="D286" s="47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8"/>
      <c r="V286" s="47"/>
    </row>
    <row r="287" spans="4:22" s="49" customFormat="1" ht="12.75" customHeight="1">
      <c r="D287" s="47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8"/>
      <c r="V287" s="47"/>
    </row>
    <row r="288" spans="4:22" s="49" customFormat="1" ht="12.75" customHeight="1">
      <c r="D288" s="47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8"/>
      <c r="V288" s="47"/>
    </row>
    <row r="289" spans="4:22" s="49" customFormat="1" ht="12.75" customHeight="1">
      <c r="D289" s="47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8"/>
      <c r="V289" s="47"/>
    </row>
    <row r="290" spans="4:22" s="49" customFormat="1" ht="12.75" customHeight="1">
      <c r="D290" s="47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8"/>
      <c r="V290" s="47"/>
    </row>
    <row r="291" spans="4:22" s="49" customFormat="1" ht="12.75" customHeight="1">
      <c r="D291" s="47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8"/>
      <c r="V291" s="47"/>
    </row>
    <row r="292" spans="4:22" s="49" customFormat="1" ht="12.75" customHeight="1">
      <c r="D292" s="47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8"/>
      <c r="V292" s="47"/>
    </row>
    <row r="293" spans="4:22" s="49" customFormat="1" ht="12.75" customHeight="1">
      <c r="D293" s="47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8"/>
      <c r="V293" s="47"/>
    </row>
    <row r="294" spans="4:22" s="49" customFormat="1" ht="12.75" customHeight="1">
      <c r="D294" s="47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8"/>
      <c r="V294" s="47"/>
    </row>
    <row r="295" spans="4:22" s="49" customFormat="1" ht="12.75" customHeight="1">
      <c r="D295" s="47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8"/>
      <c r="V295" s="47"/>
    </row>
    <row r="296" spans="4:22" s="49" customFormat="1" ht="12.75" customHeight="1">
      <c r="D296" s="47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8"/>
      <c r="V296" s="47"/>
    </row>
    <row r="297" spans="4:22" s="49" customFormat="1" ht="12.75" customHeight="1">
      <c r="D297" s="47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8"/>
      <c r="V297" s="47"/>
    </row>
    <row r="298" spans="4:22" s="49" customFormat="1" ht="12.75" customHeight="1">
      <c r="D298" s="47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8"/>
      <c r="V298" s="47"/>
    </row>
    <row r="299" spans="4:22" s="49" customFormat="1" ht="12.75" customHeight="1">
      <c r="D299" s="47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8"/>
      <c r="V299" s="47"/>
    </row>
    <row r="300" spans="4:22" s="49" customFormat="1" ht="12.75" customHeight="1">
      <c r="D300" s="47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8"/>
      <c r="V300" s="47"/>
    </row>
    <row r="301" spans="4:22" s="49" customFormat="1" ht="12.75" customHeight="1">
      <c r="D301" s="47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8"/>
      <c r="V301" s="47"/>
    </row>
    <row r="302" spans="4:22" s="49" customFormat="1" ht="12.75" customHeight="1">
      <c r="D302" s="47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8"/>
      <c r="V302" s="47"/>
    </row>
    <row r="303" spans="4:22" s="49" customFormat="1" ht="12.75" customHeight="1">
      <c r="D303" s="47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8"/>
      <c r="V303" s="47"/>
    </row>
    <row r="304" spans="4:22" s="49" customFormat="1" ht="12.75" customHeight="1">
      <c r="D304" s="47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8"/>
      <c r="V304" s="47"/>
    </row>
    <row r="305" spans="4:22" s="49" customFormat="1" ht="12.75" customHeight="1">
      <c r="D305" s="47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8"/>
      <c r="V305" s="47"/>
    </row>
    <row r="306" spans="4:22" s="49" customFormat="1" ht="12.75" customHeight="1">
      <c r="D306" s="47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8"/>
      <c r="V306" s="47"/>
    </row>
    <row r="307" spans="4:22" s="49" customFormat="1" ht="12.75" customHeight="1">
      <c r="D307" s="47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8"/>
      <c r="V307" s="47"/>
    </row>
    <row r="308" spans="4:22" s="49" customFormat="1" ht="12.75" customHeight="1">
      <c r="D308" s="47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8"/>
      <c r="V308" s="47"/>
    </row>
    <row r="309" spans="4:22" s="49" customFormat="1" ht="12.75" customHeight="1">
      <c r="D309" s="47"/>
      <c r="S309" s="44"/>
      <c r="U309" s="48"/>
      <c r="V309" s="47"/>
    </row>
    <row r="310" spans="4:22" s="49" customFormat="1" ht="12.75" customHeight="1">
      <c r="D310" s="47"/>
      <c r="S310" s="44"/>
      <c r="U310" s="48"/>
      <c r="V310" s="47"/>
    </row>
    <row r="311" spans="4:22" s="49" customFormat="1" ht="12.75" customHeight="1">
      <c r="D311" s="47"/>
      <c r="S311" s="44"/>
      <c r="U311" s="48"/>
      <c r="V311" s="47"/>
    </row>
    <row r="312" spans="4:22" s="49" customFormat="1" ht="12.75" customHeight="1">
      <c r="D312" s="47"/>
      <c r="S312" s="44"/>
      <c r="U312" s="48"/>
      <c r="V312" s="47"/>
    </row>
    <row r="313" spans="4:22" s="49" customFormat="1" ht="12.75" customHeight="1">
      <c r="D313" s="47"/>
      <c r="S313" s="44"/>
      <c r="U313" s="48"/>
      <c r="V313" s="47"/>
    </row>
    <row r="314" spans="4:22" s="49" customFormat="1" ht="12.75" customHeight="1">
      <c r="D314" s="47"/>
      <c r="S314" s="44"/>
      <c r="U314" s="48"/>
      <c r="V314" s="47"/>
    </row>
    <row r="315" spans="4:22" s="49" customFormat="1" ht="12.75" customHeight="1">
      <c r="D315" s="47"/>
      <c r="S315" s="44"/>
      <c r="U315" s="48"/>
      <c r="V315" s="47"/>
    </row>
    <row r="316" spans="4:22" s="49" customFormat="1" ht="12.75" customHeight="1">
      <c r="D316" s="47"/>
      <c r="S316" s="44"/>
      <c r="U316" s="48"/>
      <c r="V316" s="47"/>
    </row>
    <row r="317" spans="4:22" s="49" customFormat="1" ht="12.75" customHeight="1">
      <c r="D317" s="47"/>
      <c r="S317" s="44"/>
      <c r="U317" s="48"/>
      <c r="V317" s="47"/>
    </row>
    <row r="318" spans="4:22" s="49" customFormat="1" ht="12.75" customHeight="1">
      <c r="D318" s="47"/>
      <c r="S318" s="44"/>
      <c r="U318" s="48"/>
      <c r="V318" s="47"/>
    </row>
    <row r="319" spans="4:22" s="49" customFormat="1" ht="12.75" customHeight="1">
      <c r="D319" s="47"/>
      <c r="S319" s="44"/>
      <c r="U319" s="48"/>
      <c r="V319" s="47"/>
    </row>
    <row r="320" spans="4:22" s="49" customFormat="1" ht="12.75" customHeight="1">
      <c r="D320" s="47"/>
      <c r="S320" s="44"/>
      <c r="U320" s="48"/>
      <c r="V320" s="47"/>
    </row>
    <row r="321" spans="1:22" s="49" customFormat="1" ht="12.75" customHeight="1">
      <c r="D321" s="47"/>
      <c r="S321" s="44"/>
      <c r="U321" s="48"/>
      <c r="V321" s="47"/>
    </row>
    <row r="322" spans="1:22" s="49" customFormat="1" ht="12.75" customHeight="1">
      <c r="D322" s="47"/>
      <c r="S322" s="44"/>
      <c r="U322" s="48"/>
      <c r="V322" s="47"/>
    </row>
    <row r="323" spans="1:22" s="49" customFormat="1" ht="12.75" customHeight="1">
      <c r="D323" s="47"/>
      <c r="S323" s="44"/>
      <c r="U323" s="48"/>
      <c r="V323" s="47"/>
    </row>
    <row r="324" spans="1:22" s="49" customFormat="1" ht="12.75" customHeight="1">
      <c r="D324" s="47"/>
      <c r="S324" s="44"/>
      <c r="U324" s="48"/>
      <c r="V324" s="47"/>
    </row>
    <row r="325" spans="1:22" s="49" customFormat="1" ht="12.75" customHeight="1">
      <c r="D325" s="47"/>
      <c r="S325" s="44"/>
      <c r="U325" s="48"/>
      <c r="V325" s="47"/>
    </row>
    <row r="326" spans="1:22" s="49" customFormat="1" ht="12.75" customHeight="1">
      <c r="D326" s="47"/>
      <c r="S326" s="44"/>
      <c r="U326" s="48"/>
      <c r="V326" s="47"/>
    </row>
    <row r="327" spans="1:22" s="47" customFormat="1" ht="12.75" customHeight="1">
      <c r="A327" s="49"/>
      <c r="C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4"/>
      <c r="T327" s="49"/>
      <c r="U327" s="48"/>
    </row>
    <row r="328" spans="1:22" s="47" customFormat="1" ht="12.75" customHeight="1">
      <c r="A328" s="49"/>
      <c r="C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4"/>
      <c r="T328" s="49"/>
      <c r="U328" s="48"/>
    </row>
    <row r="329" spans="1:22" s="47" customFormat="1" ht="12.75" customHeight="1">
      <c r="A329" s="49"/>
      <c r="C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4"/>
      <c r="T329" s="49"/>
      <c r="U329" s="48"/>
    </row>
    <row r="330" spans="1:22" s="47" customFormat="1" ht="12.75" customHeight="1">
      <c r="A330" s="49"/>
      <c r="B330" s="51"/>
      <c r="C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4"/>
      <c r="T330" s="49"/>
      <c r="U330" s="48"/>
    </row>
    <row r="331" spans="1:22" s="47" customFormat="1" ht="12.75" customHeight="1">
      <c r="A331" s="49"/>
      <c r="B331" s="51"/>
      <c r="C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4"/>
      <c r="T331" s="49"/>
      <c r="U331" s="48"/>
    </row>
    <row r="332" spans="1:22" s="47" customFormat="1" ht="12.75" customHeight="1">
      <c r="A332" s="49"/>
      <c r="B332" s="51"/>
      <c r="C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4"/>
      <c r="T332" s="49"/>
      <c r="U332" s="48"/>
    </row>
    <row r="333" spans="1:22" s="47" customFormat="1" ht="12.75" customHeight="1">
      <c r="A333" s="49"/>
      <c r="B333" s="51"/>
      <c r="C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4"/>
      <c r="T333" s="49"/>
      <c r="U333" s="48"/>
    </row>
    <row r="334" spans="1:22" s="47" customFormat="1" ht="12.75" customHeight="1">
      <c r="A334" s="49"/>
      <c r="B334" s="51"/>
      <c r="C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4"/>
      <c r="T334" s="49"/>
      <c r="U334" s="48"/>
    </row>
    <row r="335" spans="1:22" s="47" customFormat="1" ht="12.75" customHeight="1">
      <c r="A335" s="49"/>
      <c r="B335" s="51"/>
      <c r="C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4"/>
      <c r="T335" s="49"/>
      <c r="U335" s="48"/>
    </row>
    <row r="336" spans="1:22" s="47" customFormat="1" ht="12.75" customHeight="1">
      <c r="A336" s="49"/>
      <c r="B336" s="51"/>
      <c r="C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4"/>
      <c r="T336" s="49"/>
      <c r="U336" s="48"/>
    </row>
  </sheetData>
  <phoneticPr fontId="4" type="noConversion"/>
  <pageMargins left="0.75" right="0.75" top="0.5" bottom="0.8" header="0" footer="0.25"/>
  <pageSetup firstPageNumber="52" pageOrder="overThenDown" orientation="portrait" useFirstPageNumber="1" r:id="rId1"/>
  <headerFooter alignWithMargins="0">
    <oddFooter>&amp;C&amp;"Times New Roman,Regular"&amp;11&amp;P</oddFooter>
  </headerFooter>
  <colBreaks count="1" manualBreakCount="1">
    <brk id="11" min="9" max="256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S657"/>
  <sheetViews>
    <sheetView view="pageBreakPreview" zoomScale="75" zoomScaleNormal="100" zoomScaleSheetLayoutView="75" workbookViewId="0">
      <pane xSplit="3" ySplit="8" topLeftCell="D208" activePane="bottomRight" state="frozen"/>
      <selection pane="topRight" activeCell="D1" sqref="D1"/>
      <selection pane="bottomLeft" activeCell="A9" sqref="A9"/>
      <selection pane="bottomRight" activeCell="A4" sqref="A4"/>
    </sheetView>
  </sheetViews>
  <sheetFormatPr defaultColWidth="0" defaultRowHeight="12.75" customHeight="1"/>
  <cols>
    <col min="1" max="1" width="13.7109375" style="11" customWidth="1"/>
    <col min="2" max="2" width="1.5703125" customWidth="1"/>
    <col min="3" max="3" width="10.140625" style="11" customWidth="1"/>
    <col min="4" max="4" width="1.5703125" style="10" customWidth="1"/>
    <col min="5" max="5" width="10.5703125" style="17" bestFit="1" customWidth="1"/>
    <col min="6" max="6" width="1.5703125" style="17" customWidth="1"/>
    <col min="7" max="7" width="11" style="17" bestFit="1" customWidth="1"/>
    <col min="8" max="8" width="1.5703125" style="17" customWidth="1"/>
    <col min="9" max="9" width="10.140625" style="17" bestFit="1" customWidth="1"/>
    <col min="10" max="10" width="1.5703125" style="17" customWidth="1"/>
    <col min="11" max="11" width="9.5703125" style="17" bestFit="1" customWidth="1"/>
    <col min="12" max="12" width="1.5703125" style="17" customWidth="1"/>
    <col min="13" max="13" width="11.7109375" style="17" bestFit="1" customWidth="1"/>
    <col min="14" max="14" width="1.5703125" style="17" customWidth="1"/>
    <col min="15" max="15" width="9.5703125" style="17" bestFit="1" customWidth="1"/>
    <col min="16" max="16" width="0.5703125" style="17" customWidth="1"/>
    <col min="17" max="17" width="11" style="17" bestFit="1" customWidth="1"/>
    <col min="18" max="18" width="1.42578125" style="17" customWidth="1"/>
    <col min="19" max="19" width="9" style="17" bestFit="1" customWidth="1"/>
    <col min="20" max="20" width="1.28515625" style="17" customWidth="1"/>
    <col min="21" max="21" width="10.42578125" style="17" bestFit="1" customWidth="1"/>
    <col min="22" max="22" width="1.42578125" style="17" customWidth="1"/>
    <col min="23" max="23" width="8.7109375" style="17" bestFit="1" customWidth="1"/>
    <col min="24" max="24" width="1.28515625" style="17" customWidth="1"/>
    <col min="25" max="25" width="11.140625" style="17" bestFit="1" customWidth="1"/>
    <col min="26" max="26" width="1.42578125" customWidth="1"/>
    <col min="27" max="27" width="10" customWidth="1"/>
    <col min="28" max="28" width="1.42578125" customWidth="1"/>
    <col min="29" max="29" width="10.28515625" style="17" customWidth="1"/>
    <col min="30" max="30" width="1" style="17" customWidth="1"/>
    <col min="31" max="31" width="6.28515625" style="17" customWidth="1"/>
    <col min="32" max="32" width="1.28515625" style="17" customWidth="1"/>
    <col min="33" max="33" width="12" style="17" customWidth="1"/>
    <col min="34" max="34" width="3.28515625" style="17" customWidth="1"/>
    <col min="35" max="35" width="12.7109375" style="17" customWidth="1"/>
    <col min="36" max="36" width="1.140625" style="17" customWidth="1"/>
    <col min="37" max="37" width="12.85546875" style="17" customWidth="1"/>
    <col min="38" max="38" width="1.7109375" style="17" customWidth="1"/>
    <col min="39" max="42" width="11.7109375" style="17" customWidth="1"/>
    <col min="43" max="43" width="1.7109375" style="17" customWidth="1"/>
    <col min="44" max="44" width="9.28515625" style="10" hidden="1" customWidth="1"/>
    <col min="45" max="16384" width="0" style="10" hidden="1"/>
  </cols>
  <sheetData>
    <row r="1" spans="1:45" s="9" customFormat="1" ht="12.75" customHeight="1">
      <c r="A1" s="23" t="s">
        <v>388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7"/>
      <c r="AS1" s="27"/>
    </row>
    <row r="2" spans="1:45" s="9" customFormat="1" ht="12.75" customHeight="1">
      <c r="A2" s="23" t="s">
        <v>500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7"/>
      <c r="AS2" s="27"/>
    </row>
    <row r="3" spans="1:45" ht="12.75" customHeight="1">
      <c r="A3" s="24" t="s">
        <v>289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9"/>
      <c r="AS3" s="19"/>
    </row>
    <row r="4" spans="1:45" ht="12.75" customHeight="1">
      <c r="A4" s="24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9"/>
      <c r="AS4" s="19"/>
    </row>
    <row r="6" spans="1:45" s="12" customFormat="1" ht="12.75" customHeight="1">
      <c r="A6" s="25"/>
      <c r="C6" s="25"/>
      <c r="E6" s="25"/>
      <c r="F6" s="25"/>
      <c r="G6" s="25" t="s">
        <v>396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AC6" s="25" t="s">
        <v>417</v>
      </c>
      <c r="AD6" s="25"/>
      <c r="AE6" s="25"/>
      <c r="AF6" s="25"/>
      <c r="AG6" s="25"/>
      <c r="AH6" s="25"/>
      <c r="AI6" s="25" t="s">
        <v>325</v>
      </c>
      <c r="AJ6" s="25"/>
      <c r="AK6" s="25" t="s">
        <v>454</v>
      </c>
      <c r="AL6" s="25"/>
      <c r="AM6" s="25"/>
      <c r="AN6" s="25"/>
      <c r="AO6" s="25"/>
      <c r="AP6" s="25"/>
      <c r="AQ6" s="25"/>
      <c r="AR6" s="15"/>
      <c r="AS6" s="15"/>
    </row>
    <row r="7" spans="1:45" s="30" customFormat="1" ht="12.75" customHeight="1">
      <c r="A7" s="26"/>
      <c r="C7" s="26"/>
      <c r="D7" s="25"/>
      <c r="E7" s="25" t="s">
        <v>296</v>
      </c>
      <c r="F7" s="25"/>
      <c r="G7" s="30" t="s">
        <v>422</v>
      </c>
      <c r="H7" s="25"/>
      <c r="I7" s="25" t="s">
        <v>333</v>
      </c>
      <c r="J7" s="25"/>
      <c r="K7" s="25"/>
      <c r="L7" s="25"/>
      <c r="M7" s="25"/>
      <c r="N7" s="25"/>
      <c r="O7" s="25" t="s">
        <v>306</v>
      </c>
      <c r="P7" s="25"/>
      <c r="Q7" s="25" t="s">
        <v>334</v>
      </c>
      <c r="R7" s="25"/>
      <c r="S7" s="25" t="s">
        <v>4</v>
      </c>
      <c r="T7" s="25"/>
      <c r="U7" s="25" t="s">
        <v>327</v>
      </c>
      <c r="V7" s="25"/>
      <c r="W7" s="25"/>
      <c r="X7" s="25"/>
      <c r="Y7" s="25" t="s">
        <v>344</v>
      </c>
      <c r="AA7" s="30" t="s">
        <v>294</v>
      </c>
      <c r="AC7" s="25" t="s">
        <v>418</v>
      </c>
      <c r="AD7" s="25"/>
      <c r="AE7" s="25" t="s">
        <v>447</v>
      </c>
      <c r="AF7" s="25"/>
      <c r="AG7" s="25" t="s">
        <v>432</v>
      </c>
      <c r="AH7" s="25"/>
      <c r="AI7" s="25" t="s">
        <v>452</v>
      </c>
      <c r="AJ7" s="25"/>
      <c r="AK7" s="25" t="s">
        <v>455</v>
      </c>
      <c r="AL7" s="25"/>
      <c r="AM7" s="25" t="s">
        <v>428</v>
      </c>
      <c r="AN7" s="25"/>
      <c r="AO7" s="25"/>
      <c r="AP7" s="25"/>
      <c r="AQ7" s="25"/>
      <c r="AR7" s="25"/>
      <c r="AS7" s="25"/>
    </row>
    <row r="8" spans="1:45" s="98" customFormat="1" ht="12.75" customHeight="1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100" t="s">
        <v>339</v>
      </c>
      <c r="X8" s="26"/>
      <c r="Y8" s="100" t="s">
        <v>340</v>
      </c>
      <c r="AA8" s="99" t="s">
        <v>337</v>
      </c>
      <c r="AC8" s="99" t="s">
        <v>337</v>
      </c>
      <c r="AD8" s="26"/>
      <c r="AE8" s="99" t="s">
        <v>443</v>
      </c>
      <c r="AF8" s="26"/>
      <c r="AG8" s="99" t="s">
        <v>433</v>
      </c>
      <c r="AH8" s="26"/>
      <c r="AI8" s="99" t="s">
        <v>453</v>
      </c>
      <c r="AJ8" s="26"/>
      <c r="AK8" s="99" t="s">
        <v>431</v>
      </c>
      <c r="AL8" s="26"/>
      <c r="AM8" s="101" t="s">
        <v>429</v>
      </c>
      <c r="AN8" s="26"/>
      <c r="AO8" s="26"/>
      <c r="AP8" s="26"/>
      <c r="AQ8" s="26"/>
      <c r="AR8" s="26"/>
      <c r="AS8" s="26"/>
    </row>
    <row r="9" spans="1:45" s="98" customFormat="1" ht="12.75" customHeight="1">
      <c r="A9" s="26"/>
      <c r="C9" s="26"/>
      <c r="D9" s="26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26"/>
      <c r="AS9" s="26"/>
    </row>
    <row r="10" spans="1:45" s="46" customFormat="1" ht="12.75" hidden="1" customHeight="1">
      <c r="A10" s="64" t="s">
        <v>12</v>
      </c>
      <c r="C10" s="64" t="s">
        <v>13</v>
      </c>
      <c r="E10" s="94">
        <v>0</v>
      </c>
      <c r="F10" s="94"/>
      <c r="G10" s="94">
        <v>0</v>
      </c>
      <c r="H10" s="94"/>
      <c r="I10" s="94">
        <v>0</v>
      </c>
      <c r="J10" s="94"/>
      <c r="K10" s="94">
        <v>0</v>
      </c>
      <c r="L10" s="94"/>
      <c r="M10" s="94">
        <v>0</v>
      </c>
      <c r="N10" s="94"/>
      <c r="O10" s="94">
        <v>0</v>
      </c>
      <c r="P10" s="94"/>
      <c r="Q10" s="94">
        <v>0</v>
      </c>
      <c r="R10" s="94"/>
      <c r="S10" s="94">
        <v>0</v>
      </c>
      <c r="T10" s="94"/>
      <c r="U10" s="94">
        <v>0</v>
      </c>
      <c r="V10" s="94"/>
      <c r="W10" s="94">
        <v>0</v>
      </c>
      <c r="X10" s="94"/>
      <c r="Y10" s="94">
        <v>0</v>
      </c>
      <c r="AA10" s="46">
        <v>0</v>
      </c>
      <c r="AC10" s="94">
        <f t="shared" ref="AC10" si="0">SUM(E10:AA10)</f>
        <v>0</v>
      </c>
      <c r="AD10" s="94"/>
      <c r="AE10" s="68">
        <v>0</v>
      </c>
      <c r="AF10" s="68"/>
      <c r="AG10" s="94">
        <v>0</v>
      </c>
      <c r="AH10" s="94"/>
      <c r="AI10" s="45">
        <v>0</v>
      </c>
      <c r="AJ10" s="45"/>
      <c r="AK10" s="45">
        <v>0</v>
      </c>
      <c r="AL10" s="94"/>
      <c r="AM10" s="94">
        <f>+'Gen rev'!U10-'Gen exp'!AC10-AG10+'Gen rev'!W10+AI10+AK10-'Gen Bal'!S10-'Gen exp'!AE10</f>
        <v>0</v>
      </c>
      <c r="AN10" s="94"/>
      <c r="AO10" s="94"/>
      <c r="AP10" s="94"/>
      <c r="AQ10" s="94"/>
      <c r="AR10" s="90"/>
      <c r="AS10" s="64"/>
    </row>
    <row r="11" spans="1:45" s="46" customFormat="1" ht="12.75" customHeight="1">
      <c r="A11" s="64" t="s">
        <v>14</v>
      </c>
      <c r="C11" s="64" t="s">
        <v>15</v>
      </c>
      <c r="E11" s="94">
        <v>2387766</v>
      </c>
      <c r="F11" s="94"/>
      <c r="G11" s="94">
        <v>6814928</v>
      </c>
      <c r="H11" s="94"/>
      <c r="I11" s="94">
        <v>133717</v>
      </c>
      <c r="J11" s="94"/>
      <c r="K11" s="94">
        <v>588404</v>
      </c>
      <c r="L11" s="94"/>
      <c r="M11" s="94">
        <v>0</v>
      </c>
      <c r="N11" s="94"/>
      <c r="O11" s="94">
        <v>657273</v>
      </c>
      <c r="P11" s="94"/>
      <c r="Q11" s="94">
        <v>51936</v>
      </c>
      <c r="R11" s="94"/>
      <c r="S11" s="94">
        <v>0</v>
      </c>
      <c r="T11" s="94"/>
      <c r="U11" s="94">
        <v>0</v>
      </c>
      <c r="V11" s="94"/>
      <c r="W11" s="94">
        <v>0</v>
      </c>
      <c r="X11" s="94"/>
      <c r="Y11" s="94">
        <v>0</v>
      </c>
      <c r="AA11" s="94">
        <v>0</v>
      </c>
      <c r="AC11" s="94">
        <f t="shared" ref="AC11:AC69" si="1">SUM(E11:AA11)</f>
        <v>10634024</v>
      </c>
      <c r="AD11" s="94"/>
      <c r="AE11" s="68">
        <v>0</v>
      </c>
      <c r="AF11" s="68"/>
      <c r="AG11" s="94">
        <v>780797</v>
      </c>
      <c r="AH11" s="94"/>
      <c r="AI11" s="94">
        <v>2317016</v>
      </c>
      <c r="AJ11" s="94"/>
      <c r="AK11" s="94">
        <v>0</v>
      </c>
      <c r="AL11" s="94"/>
      <c r="AM11" s="94">
        <f>+'Gen rev'!U11-'Gen exp'!AC11-AG11+'Gen rev'!W11+AI11+AK11-'Gen Bal'!S11-'Gen exp'!AE11</f>
        <v>0</v>
      </c>
      <c r="AN11" s="94"/>
      <c r="AO11" s="94"/>
      <c r="AP11" s="94"/>
      <c r="AQ11" s="94"/>
      <c r="AR11" s="90"/>
      <c r="AS11" s="64"/>
    </row>
    <row r="12" spans="1:45" s="49" customFormat="1" ht="12.75" customHeight="1">
      <c r="A12" s="28" t="s">
        <v>16</v>
      </c>
      <c r="C12" s="28" t="s">
        <v>17</v>
      </c>
      <c r="E12" s="45">
        <v>889015</v>
      </c>
      <c r="F12" s="45"/>
      <c r="G12" s="45">
        <v>3262571</v>
      </c>
      <c r="H12" s="45"/>
      <c r="I12" s="45">
        <v>121603</v>
      </c>
      <c r="J12" s="45"/>
      <c r="K12" s="45">
        <v>60975</v>
      </c>
      <c r="L12" s="45"/>
      <c r="M12" s="45">
        <v>0</v>
      </c>
      <c r="N12" s="45"/>
      <c r="O12" s="45">
        <v>0</v>
      </c>
      <c r="P12" s="45"/>
      <c r="Q12" s="45">
        <v>0</v>
      </c>
      <c r="R12" s="45"/>
      <c r="S12" s="45">
        <v>79784</v>
      </c>
      <c r="T12" s="45"/>
      <c r="U12" s="45">
        <v>0</v>
      </c>
      <c r="V12" s="45"/>
      <c r="W12" s="45">
        <v>0</v>
      </c>
      <c r="X12" s="45"/>
      <c r="Y12" s="45">
        <v>0</v>
      </c>
      <c r="Z12" s="44"/>
      <c r="AA12" s="45">
        <v>0</v>
      </c>
      <c r="AB12" s="44"/>
      <c r="AC12" s="45">
        <f t="shared" si="1"/>
        <v>4413948</v>
      </c>
      <c r="AD12" s="45"/>
      <c r="AE12" s="48">
        <v>0</v>
      </c>
      <c r="AF12" s="48"/>
      <c r="AG12" s="45">
        <v>700000</v>
      </c>
      <c r="AH12" s="45"/>
      <c r="AI12" s="45">
        <v>2282398</v>
      </c>
      <c r="AJ12" s="45"/>
      <c r="AK12" s="45">
        <v>0</v>
      </c>
      <c r="AL12" s="45"/>
      <c r="AM12" s="45">
        <f>+'Gen rev'!U12-'Gen exp'!AC12-AG12+'Gen rev'!W12+AI12+AK12-'Gen Bal'!S12-'Gen exp'!AE12</f>
        <v>0</v>
      </c>
      <c r="AN12" s="45"/>
      <c r="AO12" s="45"/>
      <c r="AP12" s="45"/>
      <c r="AQ12" s="45"/>
      <c r="AR12" s="52"/>
      <c r="AS12" s="50"/>
    </row>
    <row r="13" spans="1:45" s="49" customFormat="1" ht="12.75" customHeight="1">
      <c r="A13" s="28" t="s">
        <v>18</v>
      </c>
      <c r="C13" s="28" t="s">
        <v>18</v>
      </c>
      <c r="E13" s="45">
        <v>4740263</v>
      </c>
      <c r="F13" s="45"/>
      <c r="G13" s="45">
        <v>5604691</v>
      </c>
      <c r="H13" s="45"/>
      <c r="I13" s="45">
        <v>164800</v>
      </c>
      <c r="J13" s="45"/>
      <c r="K13" s="45">
        <v>322020</v>
      </c>
      <c r="L13" s="45"/>
      <c r="M13" s="45">
        <v>0</v>
      </c>
      <c r="N13" s="45"/>
      <c r="O13" s="45">
        <v>0</v>
      </c>
      <c r="P13" s="45"/>
      <c r="Q13" s="45">
        <v>0</v>
      </c>
      <c r="R13" s="45"/>
      <c r="S13" s="45">
        <v>22000</v>
      </c>
      <c r="T13" s="45"/>
      <c r="U13" s="45">
        <v>0</v>
      </c>
      <c r="V13" s="45"/>
      <c r="W13" s="45">
        <v>0</v>
      </c>
      <c r="X13" s="45"/>
      <c r="Y13" s="45">
        <v>0</v>
      </c>
      <c r="Z13" s="44"/>
      <c r="AA13" s="45">
        <v>0</v>
      </c>
      <c r="AB13" s="44"/>
      <c r="AC13" s="45">
        <f t="shared" si="1"/>
        <v>10853774</v>
      </c>
      <c r="AD13" s="45"/>
      <c r="AE13" s="48">
        <v>0</v>
      </c>
      <c r="AF13" s="48"/>
      <c r="AG13" s="45">
        <v>650906</v>
      </c>
      <c r="AH13" s="45"/>
      <c r="AI13" s="45">
        <v>1848188</v>
      </c>
      <c r="AJ13" s="45"/>
      <c r="AK13" s="45">
        <v>0</v>
      </c>
      <c r="AL13" s="45"/>
      <c r="AM13" s="45">
        <f>+'Gen rev'!U13-'Gen exp'!AC13-AG13+'Gen rev'!W13+AI13+AK13-'Gen Bal'!S13-'Gen exp'!AE13</f>
        <v>0</v>
      </c>
      <c r="AN13" s="45"/>
      <c r="AO13" s="45"/>
      <c r="AP13" s="45"/>
      <c r="AQ13" s="45"/>
      <c r="AR13" s="52"/>
      <c r="AS13" s="50"/>
    </row>
    <row r="14" spans="1:45" s="49" customFormat="1" ht="12.75" customHeight="1">
      <c r="A14" s="28" t="s">
        <v>19</v>
      </c>
      <c r="C14" s="28" t="s">
        <v>19</v>
      </c>
      <c r="E14" s="45">
        <f>2400855+1043680</f>
        <v>3444535</v>
      </c>
      <c r="F14" s="45"/>
      <c r="G14" s="45">
        <f>3064207+2384320</f>
        <v>5448527</v>
      </c>
      <c r="H14" s="45"/>
      <c r="I14" s="45">
        <v>51553</v>
      </c>
      <c r="J14" s="45"/>
      <c r="K14" s="45">
        <v>229247</v>
      </c>
      <c r="L14" s="45"/>
      <c r="M14" s="45">
        <v>1909</v>
      </c>
      <c r="N14" s="45"/>
      <c r="O14" s="45">
        <v>22000</v>
      </c>
      <c r="P14" s="45"/>
      <c r="Q14" s="45">
        <v>22746</v>
      </c>
      <c r="R14" s="45"/>
      <c r="S14" s="45">
        <v>0</v>
      </c>
      <c r="T14" s="45"/>
      <c r="U14" s="45">
        <v>0</v>
      </c>
      <c r="V14" s="45"/>
      <c r="W14" s="45">
        <v>0</v>
      </c>
      <c r="X14" s="45"/>
      <c r="Y14" s="45">
        <v>0</v>
      </c>
      <c r="Z14" s="44"/>
      <c r="AA14" s="45">
        <v>0</v>
      </c>
      <c r="AB14" s="44"/>
      <c r="AC14" s="45">
        <f t="shared" si="1"/>
        <v>9220517</v>
      </c>
      <c r="AD14" s="45"/>
      <c r="AE14" s="48">
        <v>0</v>
      </c>
      <c r="AF14" s="48"/>
      <c r="AG14" s="45">
        <v>220000</v>
      </c>
      <c r="AH14" s="45"/>
      <c r="AI14" s="45">
        <v>596783</v>
      </c>
      <c r="AJ14" s="45"/>
      <c r="AK14" s="45">
        <v>-3851</v>
      </c>
      <c r="AL14" s="45"/>
      <c r="AM14" s="45">
        <f>+'Gen rev'!U14-'Gen exp'!AC14-AG14+'Gen rev'!W14+AI14+AK14-'Gen Bal'!S14-'Gen exp'!AE14</f>
        <v>0</v>
      </c>
      <c r="AN14" s="45"/>
      <c r="AO14" s="45"/>
      <c r="AP14" s="45"/>
      <c r="AQ14" s="45"/>
      <c r="AR14" s="52"/>
      <c r="AS14" s="50"/>
    </row>
    <row r="15" spans="1:45" s="49" customFormat="1" ht="12.75" customHeight="1">
      <c r="A15" s="28" t="s">
        <v>20</v>
      </c>
      <c r="C15" s="28" t="s">
        <v>20</v>
      </c>
      <c r="E15" s="45">
        <v>4422725</v>
      </c>
      <c r="F15" s="45"/>
      <c r="G15" s="45">
        <f>3288532+2361581</f>
        <v>5650113</v>
      </c>
      <c r="H15" s="45"/>
      <c r="I15" s="45">
        <v>505483</v>
      </c>
      <c r="J15" s="45"/>
      <c r="K15" s="45">
        <v>0</v>
      </c>
      <c r="L15" s="45"/>
      <c r="M15" s="45">
        <v>451662</v>
      </c>
      <c r="N15" s="45"/>
      <c r="O15" s="45">
        <v>0</v>
      </c>
      <c r="P15" s="45"/>
      <c r="Q15" s="45">
        <v>0</v>
      </c>
      <c r="R15" s="45"/>
      <c r="S15" s="45">
        <v>0</v>
      </c>
      <c r="T15" s="45"/>
      <c r="U15" s="45">
        <v>0</v>
      </c>
      <c r="V15" s="45"/>
      <c r="W15" s="45">
        <v>0</v>
      </c>
      <c r="X15" s="45"/>
      <c r="Y15" s="45">
        <v>0</v>
      </c>
      <c r="Z15" s="44"/>
      <c r="AA15" s="45">
        <v>0</v>
      </c>
      <c r="AB15" s="44"/>
      <c r="AC15" s="45">
        <f t="shared" si="1"/>
        <v>11029983</v>
      </c>
      <c r="AD15" s="45"/>
      <c r="AE15" s="48">
        <v>0</v>
      </c>
      <c r="AF15" s="48"/>
      <c r="AG15" s="45">
        <v>300000</v>
      </c>
      <c r="AH15" s="45"/>
      <c r="AI15" s="45">
        <v>1695771</v>
      </c>
      <c r="AJ15" s="45"/>
      <c r="AK15" s="45">
        <v>0</v>
      </c>
      <c r="AL15" s="45"/>
      <c r="AM15" s="45">
        <f>+'Gen rev'!U15-'Gen exp'!AC15-AG15+'Gen rev'!W15+AI15+AK15-'Gen Bal'!S15-'Gen exp'!AE15</f>
        <v>0</v>
      </c>
      <c r="AN15" s="45"/>
      <c r="AO15" s="45"/>
      <c r="AP15" s="45"/>
      <c r="AQ15" s="45"/>
      <c r="AR15" s="52"/>
      <c r="AS15" s="50"/>
    </row>
    <row r="16" spans="1:45" s="49" customFormat="1" ht="12.75" customHeight="1">
      <c r="A16" s="28" t="s">
        <v>21</v>
      </c>
      <c r="C16" s="28" t="s">
        <v>22</v>
      </c>
      <c r="E16" s="45">
        <v>2191076</v>
      </c>
      <c r="F16" s="45"/>
      <c r="G16" s="45">
        <v>5902771</v>
      </c>
      <c r="H16" s="45"/>
      <c r="I16" s="45">
        <v>922975</v>
      </c>
      <c r="J16" s="45"/>
      <c r="K16" s="45">
        <v>0</v>
      </c>
      <c r="L16" s="45"/>
      <c r="M16" s="45">
        <v>1980945</v>
      </c>
      <c r="N16" s="45"/>
      <c r="O16" s="45">
        <v>0</v>
      </c>
      <c r="P16" s="45"/>
      <c r="Q16" s="45">
        <v>0</v>
      </c>
      <c r="R16" s="45"/>
      <c r="S16" s="45">
        <v>96780</v>
      </c>
      <c r="T16" s="45"/>
      <c r="U16" s="45">
        <v>0</v>
      </c>
      <c r="V16" s="45"/>
      <c r="W16" s="45">
        <v>3043</v>
      </c>
      <c r="X16" s="45"/>
      <c r="Y16" s="45">
        <v>1001</v>
      </c>
      <c r="Z16" s="44"/>
      <c r="AA16" s="45">
        <v>0</v>
      </c>
      <c r="AB16" s="44"/>
      <c r="AC16" s="45">
        <f t="shared" si="1"/>
        <v>11098591</v>
      </c>
      <c r="AD16" s="45"/>
      <c r="AE16" s="48">
        <v>0</v>
      </c>
      <c r="AF16" s="48"/>
      <c r="AG16" s="45">
        <v>1632650</v>
      </c>
      <c r="AH16" s="45"/>
      <c r="AI16" s="45">
        <v>6566757</v>
      </c>
      <c r="AJ16" s="45"/>
      <c r="AK16" s="45">
        <v>0</v>
      </c>
      <c r="AL16" s="45"/>
      <c r="AM16" s="45">
        <f>+'Gen rev'!U16-'Gen exp'!AC16-AG16+'Gen rev'!W16+AI16+AK16-'Gen Bal'!S16-'Gen exp'!AE16</f>
        <v>0</v>
      </c>
      <c r="AN16" s="45"/>
      <c r="AO16" s="45"/>
      <c r="AP16" s="45"/>
      <c r="AQ16" s="45"/>
      <c r="AR16" s="52"/>
      <c r="AS16" s="50"/>
    </row>
    <row r="17" spans="1:45" s="49" customFormat="1" ht="12.75" customHeight="1">
      <c r="A17" s="28" t="s">
        <v>23</v>
      </c>
      <c r="C17" s="28" t="s">
        <v>17</v>
      </c>
      <c r="E17" s="45">
        <v>2567063</v>
      </c>
      <c r="F17" s="45"/>
      <c r="G17" s="45">
        <v>0</v>
      </c>
      <c r="H17" s="45"/>
      <c r="I17" s="45">
        <v>1086268</v>
      </c>
      <c r="J17" s="45"/>
      <c r="K17" s="45">
        <v>0</v>
      </c>
      <c r="L17" s="45"/>
      <c r="M17" s="45">
        <v>0</v>
      </c>
      <c r="N17" s="45"/>
      <c r="O17" s="45">
        <v>16134</v>
      </c>
      <c r="P17" s="45"/>
      <c r="Q17" s="45">
        <v>0</v>
      </c>
      <c r="R17" s="45"/>
      <c r="S17" s="45">
        <v>0</v>
      </c>
      <c r="T17" s="45"/>
      <c r="U17" s="45">
        <v>0</v>
      </c>
      <c r="V17" s="45"/>
      <c r="W17" s="45">
        <v>0</v>
      </c>
      <c r="X17" s="45"/>
      <c r="Y17" s="45">
        <v>0</v>
      </c>
      <c r="Z17" s="44"/>
      <c r="AA17" s="45">
        <v>0</v>
      </c>
      <c r="AB17" s="44"/>
      <c r="AC17" s="45">
        <f t="shared" si="1"/>
        <v>3669465</v>
      </c>
      <c r="AD17" s="45"/>
      <c r="AE17" s="48">
        <v>0</v>
      </c>
      <c r="AF17" s="48"/>
      <c r="AG17" s="45">
        <v>5872850</v>
      </c>
      <c r="AH17" s="45"/>
      <c r="AI17" s="45">
        <v>7902789</v>
      </c>
      <c r="AJ17" s="45"/>
      <c r="AK17" s="45">
        <v>0</v>
      </c>
      <c r="AL17" s="45"/>
      <c r="AM17" s="45">
        <f>+'Gen rev'!U17-'Gen exp'!AC17-AG17+'Gen rev'!W17+AI17+AK17-'Gen Bal'!S17-'Gen exp'!AE17</f>
        <v>0</v>
      </c>
      <c r="AN17" s="44"/>
      <c r="AO17" s="44"/>
      <c r="AP17" s="44"/>
      <c r="AQ17" s="44"/>
    </row>
    <row r="18" spans="1:45" s="49" customFormat="1" ht="12.75" hidden="1" customHeight="1">
      <c r="A18" s="28" t="s">
        <v>24</v>
      </c>
      <c r="C18" s="28" t="s">
        <v>17</v>
      </c>
      <c r="E18" s="45">
        <v>0</v>
      </c>
      <c r="F18" s="45"/>
      <c r="G18" s="45">
        <v>0</v>
      </c>
      <c r="H18" s="45"/>
      <c r="I18" s="45">
        <v>0</v>
      </c>
      <c r="J18" s="45"/>
      <c r="K18" s="45">
        <v>0</v>
      </c>
      <c r="L18" s="45"/>
      <c r="M18" s="45">
        <v>0</v>
      </c>
      <c r="N18" s="45"/>
      <c r="O18" s="45">
        <v>0</v>
      </c>
      <c r="P18" s="45"/>
      <c r="Q18" s="45">
        <v>0</v>
      </c>
      <c r="R18" s="45"/>
      <c r="S18" s="45">
        <v>0</v>
      </c>
      <c r="T18" s="45"/>
      <c r="U18" s="45">
        <v>0</v>
      </c>
      <c r="V18" s="45"/>
      <c r="W18" s="45">
        <v>0</v>
      </c>
      <c r="X18" s="45"/>
      <c r="Y18" s="45">
        <v>0</v>
      </c>
      <c r="Z18" s="44"/>
      <c r="AA18" s="45">
        <v>0</v>
      </c>
      <c r="AB18" s="44"/>
      <c r="AC18" s="45">
        <f t="shared" si="1"/>
        <v>0</v>
      </c>
      <c r="AD18" s="45"/>
      <c r="AE18" s="48">
        <v>0</v>
      </c>
      <c r="AF18" s="48"/>
      <c r="AG18" s="45">
        <v>0</v>
      </c>
      <c r="AH18" s="45"/>
      <c r="AI18" s="45">
        <v>0</v>
      </c>
      <c r="AJ18" s="45"/>
      <c r="AK18" s="45">
        <v>0</v>
      </c>
      <c r="AL18" s="45"/>
      <c r="AM18" s="45">
        <f>+'Gen rev'!U18-'Gen exp'!AC18-AG18+'Gen rev'!W18+AI18+AK18-'Gen Bal'!S18-'Gen exp'!AE18</f>
        <v>0</v>
      </c>
      <c r="AN18" s="44"/>
      <c r="AO18" s="44"/>
      <c r="AP18" s="44"/>
      <c r="AQ18" s="44"/>
    </row>
    <row r="19" spans="1:45" s="49" customFormat="1" ht="12.75" customHeight="1">
      <c r="A19" s="28" t="s">
        <v>25</v>
      </c>
      <c r="C19" s="28" t="s">
        <v>13</v>
      </c>
      <c r="E19" s="45">
        <v>3992056</v>
      </c>
      <c r="F19" s="45"/>
      <c r="G19" s="45">
        <v>8914707</v>
      </c>
      <c r="H19" s="45"/>
      <c r="I19" s="45">
        <v>776260</v>
      </c>
      <c r="J19" s="45"/>
      <c r="K19" s="45">
        <v>0</v>
      </c>
      <c r="L19" s="45"/>
      <c r="M19" s="45">
        <v>152158</v>
      </c>
      <c r="N19" s="45"/>
      <c r="O19" s="45">
        <v>746732</v>
      </c>
      <c r="P19" s="45"/>
      <c r="Q19" s="45">
        <v>0</v>
      </c>
      <c r="R19" s="45"/>
      <c r="S19" s="45">
        <v>41026</v>
      </c>
      <c r="T19" s="45"/>
      <c r="U19" s="45">
        <v>0</v>
      </c>
      <c r="V19" s="45"/>
      <c r="W19" s="45">
        <v>31076</v>
      </c>
      <c r="X19" s="45"/>
      <c r="Y19" s="45">
        <v>2798</v>
      </c>
      <c r="Z19" s="44"/>
      <c r="AA19" s="45">
        <v>0</v>
      </c>
      <c r="AB19" s="44"/>
      <c r="AC19" s="45">
        <f t="shared" si="1"/>
        <v>14656813</v>
      </c>
      <c r="AD19" s="45"/>
      <c r="AE19" s="48">
        <v>0</v>
      </c>
      <c r="AF19" s="48"/>
      <c r="AG19" s="45">
        <v>1415453</v>
      </c>
      <c r="AH19" s="45"/>
      <c r="AI19" s="45">
        <v>2134704</v>
      </c>
      <c r="AJ19" s="45"/>
      <c r="AK19" s="45">
        <v>0</v>
      </c>
      <c r="AL19" s="45"/>
      <c r="AM19" s="45">
        <f>+'Gen rev'!U19-'Gen exp'!AC19-AG19+'Gen rev'!W19+AI19+AK19-'Gen Bal'!S19-'Gen exp'!AE19</f>
        <v>0</v>
      </c>
      <c r="AN19" s="44"/>
      <c r="AO19" s="44"/>
      <c r="AP19" s="44"/>
      <c r="AQ19" s="44"/>
    </row>
    <row r="20" spans="1:45" s="49" customFormat="1" ht="12.75" customHeight="1">
      <c r="A20" s="28" t="s">
        <v>26</v>
      </c>
      <c r="C20" s="28" t="s">
        <v>27</v>
      </c>
      <c r="E20" s="45">
        <v>2752179</v>
      </c>
      <c r="F20" s="45"/>
      <c r="G20" s="45">
        <v>5146830</v>
      </c>
      <c r="H20" s="45"/>
      <c r="I20" s="45">
        <v>713924</v>
      </c>
      <c r="J20" s="45"/>
      <c r="K20" s="45">
        <v>251421</v>
      </c>
      <c r="L20" s="45"/>
      <c r="M20" s="45">
        <v>157218</v>
      </c>
      <c r="N20" s="45"/>
      <c r="O20" s="45">
        <v>0</v>
      </c>
      <c r="P20" s="45"/>
      <c r="Q20" s="45">
        <v>1782344</v>
      </c>
      <c r="R20" s="45"/>
      <c r="S20" s="45">
        <v>0</v>
      </c>
      <c r="T20" s="45"/>
      <c r="U20" s="45">
        <v>0</v>
      </c>
      <c r="V20" s="45"/>
      <c r="W20" s="45">
        <v>0</v>
      </c>
      <c r="X20" s="45"/>
      <c r="Y20" s="45">
        <v>0</v>
      </c>
      <c r="Z20" s="44"/>
      <c r="AA20" s="45">
        <v>0</v>
      </c>
      <c r="AB20" s="44"/>
      <c r="AC20" s="45">
        <f t="shared" si="1"/>
        <v>10803916</v>
      </c>
      <c r="AD20" s="45"/>
      <c r="AE20" s="48">
        <v>0</v>
      </c>
      <c r="AF20" s="48"/>
      <c r="AG20" s="45">
        <v>1058250</v>
      </c>
      <c r="AH20" s="45"/>
      <c r="AI20" s="45">
        <v>2999534</v>
      </c>
      <c r="AJ20" s="45"/>
      <c r="AK20" s="45">
        <v>0</v>
      </c>
      <c r="AL20" s="45"/>
      <c r="AM20" s="45">
        <f>+'Gen rev'!U20-'Gen exp'!AC20-AG20+'Gen rev'!W20+AI20+AK20-'Gen Bal'!S20-'Gen exp'!AE20</f>
        <v>0</v>
      </c>
      <c r="AN20" s="44"/>
      <c r="AO20" s="44"/>
      <c r="AP20" s="44"/>
      <c r="AQ20" s="44"/>
    </row>
    <row r="21" spans="1:45" s="49" customFormat="1" ht="12.75" customHeight="1">
      <c r="A21" s="28" t="s">
        <v>28</v>
      </c>
      <c r="C21" s="28" t="s">
        <v>27</v>
      </c>
      <c r="E21" s="45">
        <v>4373874</v>
      </c>
      <c r="F21" s="45"/>
      <c r="G21" s="45">
        <f>7474439+6244404</f>
        <v>13718843</v>
      </c>
      <c r="H21" s="45"/>
      <c r="I21" s="45">
        <v>907177</v>
      </c>
      <c r="J21" s="45"/>
      <c r="K21" s="45">
        <v>583933</v>
      </c>
      <c r="L21" s="45"/>
      <c r="M21" s="45">
        <v>7014410</v>
      </c>
      <c r="N21" s="45"/>
      <c r="O21" s="45">
        <v>2254874</v>
      </c>
      <c r="P21" s="45"/>
      <c r="Q21" s="45">
        <v>0</v>
      </c>
      <c r="R21" s="45"/>
      <c r="S21" s="45">
        <v>0</v>
      </c>
      <c r="T21" s="45"/>
      <c r="U21" s="45">
        <v>0</v>
      </c>
      <c r="V21" s="45"/>
      <c r="W21" s="45">
        <v>0</v>
      </c>
      <c r="X21" s="45"/>
      <c r="Y21" s="45">
        <v>0</v>
      </c>
      <c r="Z21" s="44"/>
      <c r="AA21" s="45">
        <v>0</v>
      </c>
      <c r="AB21" s="44"/>
      <c r="AC21" s="45">
        <f t="shared" si="1"/>
        <v>28853111</v>
      </c>
      <c r="AD21" s="45"/>
      <c r="AE21" s="48">
        <v>0</v>
      </c>
      <c r="AF21" s="48"/>
      <c r="AG21" s="45">
        <v>2537923</v>
      </c>
      <c r="AH21" s="45"/>
      <c r="AI21" s="45">
        <v>21498231</v>
      </c>
      <c r="AJ21" s="45"/>
      <c r="AK21" s="45">
        <v>0</v>
      </c>
      <c r="AL21" s="45"/>
      <c r="AM21" s="45">
        <f>+'Gen rev'!U21-'Gen exp'!AC21-AG21+'Gen rev'!W21+AI21+AK21-'Gen Bal'!S21-'Gen exp'!AE21</f>
        <v>0</v>
      </c>
      <c r="AN21" s="44"/>
      <c r="AO21" s="44"/>
      <c r="AP21" s="44"/>
      <c r="AQ21" s="44"/>
    </row>
    <row r="22" spans="1:45" s="49" customFormat="1" ht="12.75" customHeight="1">
      <c r="A22" s="44" t="s">
        <v>29</v>
      </c>
      <c r="C22" s="44" t="s">
        <v>30</v>
      </c>
      <c r="E22" s="45">
        <v>1678040</v>
      </c>
      <c r="F22" s="45"/>
      <c r="G22" s="45">
        <v>0</v>
      </c>
      <c r="H22" s="45"/>
      <c r="I22" s="45">
        <v>619451</v>
      </c>
      <c r="J22" s="45"/>
      <c r="K22" s="45">
        <v>122884</v>
      </c>
      <c r="L22" s="45"/>
      <c r="M22" s="45">
        <v>0</v>
      </c>
      <c r="N22" s="45"/>
      <c r="O22" s="45">
        <v>1180880</v>
      </c>
      <c r="P22" s="45"/>
      <c r="Q22" s="45">
        <v>89176</v>
      </c>
      <c r="R22" s="45"/>
      <c r="S22" s="45">
        <v>332226</v>
      </c>
      <c r="T22" s="45"/>
      <c r="U22" s="45">
        <v>0</v>
      </c>
      <c r="V22" s="45"/>
      <c r="W22" s="45">
        <v>0</v>
      </c>
      <c r="X22" s="45"/>
      <c r="Y22" s="45">
        <v>0</v>
      </c>
      <c r="Z22" s="44"/>
      <c r="AA22" s="45">
        <v>0</v>
      </c>
      <c r="AB22" s="44"/>
      <c r="AC22" s="45">
        <f t="shared" si="1"/>
        <v>4022657</v>
      </c>
      <c r="AD22" s="45"/>
      <c r="AE22" s="48">
        <v>0</v>
      </c>
      <c r="AF22" s="48"/>
      <c r="AG22" s="45">
        <v>950935</v>
      </c>
      <c r="AH22" s="45"/>
      <c r="AI22" s="45">
        <v>3063393</v>
      </c>
      <c r="AJ22" s="45"/>
      <c r="AK22" s="45">
        <v>1914</v>
      </c>
      <c r="AL22" s="45"/>
      <c r="AM22" s="45">
        <f>+'Gen rev'!U22-'Gen exp'!AC22-AG22+'Gen rev'!W22+AI22+AK22-'Gen Bal'!S22-'Gen exp'!AE22</f>
        <v>0</v>
      </c>
      <c r="AN22" s="45"/>
      <c r="AO22" s="45"/>
      <c r="AP22" s="45"/>
      <c r="AQ22" s="45"/>
      <c r="AR22" s="52"/>
      <c r="AS22" s="50"/>
    </row>
    <row r="23" spans="1:45" s="49" customFormat="1" ht="12.75" customHeight="1">
      <c r="A23" s="28" t="s">
        <v>31</v>
      </c>
      <c r="C23" s="28" t="s">
        <v>27</v>
      </c>
      <c r="E23" s="45">
        <v>4420314</v>
      </c>
      <c r="F23" s="45"/>
      <c r="G23" s="45">
        <f>1395211+187715</f>
        <v>1582926</v>
      </c>
      <c r="H23" s="45"/>
      <c r="I23" s="45">
        <v>668849</v>
      </c>
      <c r="J23" s="45"/>
      <c r="K23" s="45">
        <v>159826</v>
      </c>
      <c r="L23" s="45"/>
      <c r="M23" s="45">
        <v>1300586</v>
      </c>
      <c r="N23" s="45"/>
      <c r="O23" s="45">
        <v>1677885</v>
      </c>
      <c r="P23" s="45"/>
      <c r="Q23" s="45">
        <v>699079</v>
      </c>
      <c r="R23" s="45"/>
      <c r="S23" s="45">
        <v>0</v>
      </c>
      <c r="T23" s="45"/>
      <c r="U23" s="45">
        <v>0</v>
      </c>
      <c r="V23" s="45"/>
      <c r="W23" s="45">
        <v>16092</v>
      </c>
      <c r="X23" s="45"/>
      <c r="Y23" s="45">
        <v>8084</v>
      </c>
      <c r="Z23" s="44"/>
      <c r="AA23" s="45">
        <v>0</v>
      </c>
      <c r="AB23" s="44"/>
      <c r="AC23" s="45">
        <f t="shared" si="1"/>
        <v>10533641</v>
      </c>
      <c r="AD23" s="45"/>
      <c r="AE23" s="48">
        <v>0</v>
      </c>
      <c r="AF23" s="48"/>
      <c r="AG23" s="45">
        <v>3710947</v>
      </c>
      <c r="AH23" s="45"/>
      <c r="AI23" s="45">
        <v>8665215</v>
      </c>
      <c r="AJ23" s="45"/>
      <c r="AK23" s="45">
        <v>0</v>
      </c>
      <c r="AL23" s="45"/>
      <c r="AM23" s="45">
        <f>+'Gen rev'!U23-'Gen exp'!AC23-AG23+'Gen rev'!W23+AI23+AK23-'Gen Bal'!S23-'Gen exp'!AE23</f>
        <v>0</v>
      </c>
      <c r="AN23" s="45"/>
      <c r="AO23" s="45"/>
      <c r="AP23" s="45"/>
      <c r="AQ23" s="45"/>
      <c r="AR23" s="52"/>
      <c r="AS23" s="50"/>
    </row>
    <row r="24" spans="1:45" s="49" customFormat="1" ht="12.75" customHeight="1">
      <c r="A24" s="28" t="s">
        <v>32</v>
      </c>
      <c r="C24" s="28" t="s">
        <v>27</v>
      </c>
      <c r="E24" s="45">
        <v>3365123</v>
      </c>
      <c r="F24" s="45"/>
      <c r="G24" s="45">
        <v>6208674</v>
      </c>
      <c r="H24" s="45"/>
      <c r="I24" s="45">
        <v>359760</v>
      </c>
      <c r="J24" s="45"/>
      <c r="K24" s="45">
        <v>351236</v>
      </c>
      <c r="L24" s="45"/>
      <c r="M24" s="45">
        <v>0</v>
      </c>
      <c r="N24" s="45"/>
      <c r="O24" s="45">
        <v>1120826</v>
      </c>
      <c r="P24" s="45"/>
      <c r="Q24" s="45">
        <v>670384</v>
      </c>
      <c r="R24" s="45"/>
      <c r="S24" s="45">
        <v>20204</v>
      </c>
      <c r="T24" s="45"/>
      <c r="U24" s="45">
        <v>0</v>
      </c>
      <c r="V24" s="45"/>
      <c r="W24" s="45">
        <v>0</v>
      </c>
      <c r="X24" s="45"/>
      <c r="Y24" s="45">
        <v>0</v>
      </c>
      <c r="Z24" s="44"/>
      <c r="AA24" s="45">
        <v>0</v>
      </c>
      <c r="AB24" s="44"/>
      <c r="AC24" s="45">
        <f t="shared" si="1"/>
        <v>12096207</v>
      </c>
      <c r="AD24" s="45"/>
      <c r="AE24" s="48">
        <v>0</v>
      </c>
      <c r="AF24" s="48"/>
      <c r="AG24" s="45">
        <v>2716000</v>
      </c>
      <c r="AH24" s="45"/>
      <c r="AI24" s="45">
        <v>5070060</v>
      </c>
      <c r="AJ24" s="45"/>
      <c r="AK24" s="45">
        <v>0</v>
      </c>
      <c r="AL24" s="45"/>
      <c r="AM24" s="45">
        <f>+'Gen rev'!U24-'Gen exp'!AC24-AG24+'Gen rev'!W24+AI24+AK24-'Gen Bal'!S24-'Gen exp'!AE24</f>
        <v>0</v>
      </c>
      <c r="AN24" s="44"/>
      <c r="AO24" s="44"/>
      <c r="AP24" s="44"/>
      <c r="AQ24" s="44"/>
    </row>
    <row r="25" spans="1:45" s="49" customFormat="1" ht="12.75" customHeight="1">
      <c r="A25" s="28" t="s">
        <v>34</v>
      </c>
      <c r="C25" s="28" t="s">
        <v>30</v>
      </c>
      <c r="E25" s="45">
        <v>439633</v>
      </c>
      <c r="F25" s="45"/>
      <c r="G25" s="45">
        <v>14441</v>
      </c>
      <c r="H25" s="45"/>
      <c r="I25" s="45">
        <v>80889</v>
      </c>
      <c r="J25" s="45"/>
      <c r="K25" s="45">
        <v>0</v>
      </c>
      <c r="L25" s="45"/>
      <c r="M25" s="45">
        <v>14755</v>
      </c>
      <c r="N25" s="45"/>
      <c r="O25" s="45">
        <v>0</v>
      </c>
      <c r="P25" s="45"/>
      <c r="Q25" s="45">
        <v>0</v>
      </c>
      <c r="R25" s="45"/>
      <c r="S25" s="45">
        <v>0</v>
      </c>
      <c r="T25" s="45"/>
      <c r="U25" s="45">
        <v>0</v>
      </c>
      <c r="V25" s="45"/>
      <c r="W25" s="45">
        <v>0</v>
      </c>
      <c r="X25" s="45"/>
      <c r="Y25" s="45">
        <v>0</v>
      </c>
      <c r="Z25" s="44"/>
      <c r="AA25" s="45">
        <v>0</v>
      </c>
      <c r="AB25" s="44"/>
      <c r="AC25" s="45">
        <f t="shared" si="1"/>
        <v>549718</v>
      </c>
      <c r="AD25" s="45"/>
      <c r="AE25" s="48">
        <v>0</v>
      </c>
      <c r="AF25" s="48"/>
      <c r="AG25" s="45">
        <v>650000</v>
      </c>
      <c r="AH25" s="45"/>
      <c r="AI25" s="45">
        <v>986719</v>
      </c>
      <c r="AJ25" s="45"/>
      <c r="AK25" s="45">
        <v>0</v>
      </c>
      <c r="AL25" s="45"/>
      <c r="AM25" s="45">
        <f>+'Gen rev'!U25-'Gen exp'!AC25-AG25+'Gen rev'!W25+AI25+AK25-'Gen Bal'!S25-'Gen exp'!AE25</f>
        <v>0</v>
      </c>
      <c r="AN25" s="44"/>
      <c r="AO25" s="44"/>
      <c r="AP25" s="44"/>
      <c r="AQ25" s="44"/>
    </row>
    <row r="26" spans="1:45" s="49" customFormat="1" ht="12.75" customHeight="1">
      <c r="A26" s="28" t="s">
        <v>35</v>
      </c>
      <c r="C26" s="28" t="s">
        <v>36</v>
      </c>
      <c r="E26" s="45">
        <f>1704028+522436</f>
        <v>2226464</v>
      </c>
      <c r="F26" s="45"/>
      <c r="G26" s="45">
        <v>3641541</v>
      </c>
      <c r="H26" s="45"/>
      <c r="I26" s="45">
        <v>39498</v>
      </c>
      <c r="J26" s="45"/>
      <c r="K26" s="45">
        <v>128911</v>
      </c>
      <c r="L26" s="45"/>
      <c r="M26" s="45">
        <v>273447</v>
      </c>
      <c r="N26" s="45"/>
      <c r="O26" s="45">
        <v>0</v>
      </c>
      <c r="P26" s="45"/>
      <c r="Q26" s="45">
        <v>159944</v>
      </c>
      <c r="R26" s="45"/>
      <c r="S26" s="45">
        <v>125296</v>
      </c>
      <c r="T26" s="45"/>
      <c r="U26" s="45">
        <v>0</v>
      </c>
      <c r="V26" s="45"/>
      <c r="W26" s="45">
        <v>0</v>
      </c>
      <c r="X26" s="45"/>
      <c r="Y26" s="45">
        <v>4378</v>
      </c>
      <c r="Z26" s="44"/>
      <c r="AA26" s="45">
        <v>0</v>
      </c>
      <c r="AB26" s="44"/>
      <c r="AC26" s="45">
        <f t="shared" si="1"/>
        <v>6599479</v>
      </c>
      <c r="AD26" s="45"/>
      <c r="AE26" s="48">
        <v>0</v>
      </c>
      <c r="AF26" s="48"/>
      <c r="AG26" s="45">
        <v>901624</v>
      </c>
      <c r="AH26" s="45"/>
      <c r="AI26" s="45">
        <v>3111272</v>
      </c>
      <c r="AJ26" s="45"/>
      <c r="AK26" s="45">
        <v>0</v>
      </c>
      <c r="AL26" s="45"/>
      <c r="AM26" s="45">
        <f>+'Gen rev'!U26-'Gen exp'!AC26-AG26+'Gen rev'!W26+AI26+AK26-'Gen Bal'!S26-'Gen exp'!AE26</f>
        <v>0</v>
      </c>
      <c r="AN26" s="44"/>
      <c r="AO26" s="44"/>
      <c r="AP26" s="44"/>
      <c r="AQ26" s="44"/>
    </row>
    <row r="27" spans="1:45" s="49" customFormat="1" ht="12.75" customHeight="1">
      <c r="A27" s="28" t="s">
        <v>37</v>
      </c>
      <c r="C27" s="28" t="s">
        <v>38</v>
      </c>
      <c r="E27" s="45">
        <f>1344759+268920</f>
        <v>1613679</v>
      </c>
      <c r="F27" s="45"/>
      <c r="G27" s="45">
        <v>1880669</v>
      </c>
      <c r="H27" s="45"/>
      <c r="I27" s="45">
        <v>18183</v>
      </c>
      <c r="J27" s="45"/>
      <c r="K27" s="45">
        <v>0</v>
      </c>
      <c r="L27" s="45"/>
      <c r="M27" s="45">
        <v>0</v>
      </c>
      <c r="N27" s="45"/>
      <c r="O27" s="45">
        <v>0</v>
      </c>
      <c r="P27" s="45"/>
      <c r="Q27" s="45">
        <v>0</v>
      </c>
      <c r="R27" s="45"/>
      <c r="S27" s="45">
        <v>0</v>
      </c>
      <c r="T27" s="45"/>
      <c r="U27" s="45">
        <v>0</v>
      </c>
      <c r="V27" s="45"/>
      <c r="W27" s="45">
        <v>0</v>
      </c>
      <c r="X27" s="45"/>
      <c r="Y27" s="45">
        <v>0</v>
      </c>
      <c r="Z27" s="44"/>
      <c r="AA27" s="45">
        <v>0</v>
      </c>
      <c r="AB27" s="44"/>
      <c r="AC27" s="45">
        <f t="shared" si="1"/>
        <v>3512531</v>
      </c>
      <c r="AD27" s="45"/>
      <c r="AE27" s="48">
        <v>0</v>
      </c>
      <c r="AF27" s="48"/>
      <c r="AG27" s="45">
        <v>591640</v>
      </c>
      <c r="AH27" s="45"/>
      <c r="AI27" s="45">
        <v>865680</v>
      </c>
      <c r="AJ27" s="45"/>
      <c r="AK27" s="45">
        <v>0</v>
      </c>
      <c r="AL27" s="45"/>
      <c r="AM27" s="45">
        <f>+'Gen rev'!U27-'Gen exp'!AC27-AG27+'Gen rev'!W27+AI27+AK27-'Gen Bal'!S27-'Gen exp'!AE27</f>
        <v>0</v>
      </c>
      <c r="AN27" s="44"/>
      <c r="AO27" s="44"/>
      <c r="AP27" s="44"/>
      <c r="AQ27" s="44"/>
    </row>
    <row r="28" spans="1:45" s="49" customFormat="1" ht="12.75" customHeight="1">
      <c r="A28" s="28" t="s">
        <v>39</v>
      </c>
      <c r="C28" s="28" t="s">
        <v>40</v>
      </c>
      <c r="E28" s="45">
        <v>628520</v>
      </c>
      <c r="F28" s="45"/>
      <c r="G28" s="45">
        <f>1038579+167985</f>
        <v>1206564</v>
      </c>
      <c r="H28" s="45"/>
      <c r="I28" s="45">
        <v>0</v>
      </c>
      <c r="J28" s="45"/>
      <c r="K28" s="45">
        <v>41547</v>
      </c>
      <c r="L28" s="45"/>
      <c r="M28" s="45">
        <v>69657</v>
      </c>
      <c r="N28" s="45"/>
      <c r="O28" s="45">
        <v>50740</v>
      </c>
      <c r="P28" s="45"/>
      <c r="Q28" s="45">
        <v>0</v>
      </c>
      <c r="R28" s="45"/>
      <c r="S28" s="45">
        <v>92255</v>
      </c>
      <c r="T28" s="45"/>
      <c r="U28" s="45">
        <v>0</v>
      </c>
      <c r="V28" s="45"/>
      <c r="W28" s="45">
        <v>117319</v>
      </c>
      <c r="X28" s="45"/>
      <c r="Y28" s="45">
        <v>41746</v>
      </c>
      <c r="Z28" s="44"/>
      <c r="AA28" s="45">
        <v>0</v>
      </c>
      <c r="AB28" s="44"/>
      <c r="AC28" s="45">
        <f t="shared" si="1"/>
        <v>2248348</v>
      </c>
      <c r="AD28" s="45"/>
      <c r="AE28" s="48">
        <v>0</v>
      </c>
      <c r="AF28" s="48"/>
      <c r="AG28" s="45">
        <v>190000</v>
      </c>
      <c r="AH28" s="45"/>
      <c r="AI28" s="45">
        <v>1433145</v>
      </c>
      <c r="AJ28" s="45"/>
      <c r="AK28" s="45">
        <v>0</v>
      </c>
      <c r="AL28" s="45"/>
      <c r="AM28" s="45">
        <f>+'Gen rev'!U28-'Gen exp'!AC28-AG28+'Gen rev'!W28+AI28+AK28-'Gen Bal'!S28-'Gen exp'!AE28</f>
        <v>0</v>
      </c>
      <c r="AN28" s="44"/>
      <c r="AO28" s="44"/>
      <c r="AP28" s="44"/>
      <c r="AQ28" s="44"/>
    </row>
    <row r="29" spans="1:45" s="49" customFormat="1" ht="12.75" customHeight="1">
      <c r="A29" s="28" t="s">
        <v>41</v>
      </c>
      <c r="C29" s="28" t="s">
        <v>27</v>
      </c>
      <c r="E29" s="45">
        <v>6190301</v>
      </c>
      <c r="F29" s="45"/>
      <c r="G29" s="45">
        <v>5120258</v>
      </c>
      <c r="H29" s="45"/>
      <c r="I29" s="45">
        <v>503772</v>
      </c>
      <c r="J29" s="45"/>
      <c r="K29" s="45">
        <v>0</v>
      </c>
      <c r="L29" s="45"/>
      <c r="M29" s="45">
        <v>0</v>
      </c>
      <c r="N29" s="45"/>
      <c r="O29" s="45">
        <v>419157</v>
      </c>
      <c r="P29" s="45"/>
      <c r="Q29" s="45">
        <v>1327127</v>
      </c>
      <c r="R29" s="45"/>
      <c r="S29" s="45">
        <v>0</v>
      </c>
      <c r="T29" s="45"/>
      <c r="U29" s="45">
        <v>0</v>
      </c>
      <c r="V29" s="45"/>
      <c r="W29" s="45">
        <v>0</v>
      </c>
      <c r="X29" s="45"/>
      <c r="Y29" s="45">
        <v>0</v>
      </c>
      <c r="Z29" s="44"/>
      <c r="AA29" s="45">
        <v>0</v>
      </c>
      <c r="AB29" s="44"/>
      <c r="AC29" s="45">
        <f t="shared" si="1"/>
        <v>13560615</v>
      </c>
      <c r="AD29" s="45"/>
      <c r="AE29" s="48">
        <v>0</v>
      </c>
      <c r="AF29" s="48"/>
      <c r="AG29" s="45">
        <v>2788670</v>
      </c>
      <c r="AH29" s="45"/>
      <c r="AI29" s="45">
        <v>3623547</v>
      </c>
      <c r="AJ29" s="45"/>
      <c r="AK29" s="45">
        <v>0</v>
      </c>
      <c r="AL29" s="45"/>
      <c r="AM29" s="45">
        <f>+'Gen rev'!U29-'Gen exp'!AC29-AG29+'Gen rev'!W29+AI29+AK29-'Gen Bal'!S29-'Gen exp'!AE29</f>
        <v>0</v>
      </c>
      <c r="AN29" s="44"/>
      <c r="AO29" s="44"/>
      <c r="AP29" s="44"/>
      <c r="AQ29" s="44"/>
    </row>
    <row r="30" spans="1:45" s="49" customFormat="1" ht="12.75" customHeight="1">
      <c r="A30" s="28" t="s">
        <v>42</v>
      </c>
      <c r="C30" s="28" t="s">
        <v>43</v>
      </c>
      <c r="E30" s="45">
        <v>3266621</v>
      </c>
      <c r="F30" s="45"/>
      <c r="G30" s="45">
        <v>5202633</v>
      </c>
      <c r="H30" s="45"/>
      <c r="I30" s="45">
        <v>525750</v>
      </c>
      <c r="J30" s="45"/>
      <c r="K30" s="45">
        <v>91789</v>
      </c>
      <c r="L30" s="45"/>
      <c r="M30" s="45">
        <v>2142</v>
      </c>
      <c r="N30" s="45"/>
      <c r="O30" s="45">
        <v>253560</v>
      </c>
      <c r="P30" s="45"/>
      <c r="Q30" s="45">
        <v>0</v>
      </c>
      <c r="R30" s="45"/>
      <c r="S30" s="45">
        <v>3619450</v>
      </c>
      <c r="T30" s="45"/>
      <c r="U30" s="45">
        <v>36796</v>
      </c>
      <c r="V30" s="45"/>
      <c r="W30" s="45">
        <v>64389</v>
      </c>
      <c r="X30" s="45"/>
      <c r="Y30" s="45">
        <v>6099</v>
      </c>
      <c r="Z30" s="44"/>
      <c r="AA30" s="45">
        <v>164250</v>
      </c>
      <c r="AB30" s="44"/>
      <c r="AC30" s="45">
        <f t="shared" si="1"/>
        <v>13233479</v>
      </c>
      <c r="AD30" s="45"/>
      <c r="AE30" s="48">
        <v>0</v>
      </c>
      <c r="AF30" s="48"/>
      <c r="AG30" s="45">
        <v>2160656</v>
      </c>
      <c r="AH30" s="45"/>
      <c r="AI30" s="45">
        <v>6590690</v>
      </c>
      <c r="AJ30" s="45"/>
      <c r="AK30" s="45">
        <v>0</v>
      </c>
      <c r="AL30" s="45"/>
      <c r="AM30" s="45">
        <f>+'Gen rev'!U30-'Gen exp'!AC30-AG30+'Gen rev'!W30+AI30+AK30-'Gen Bal'!S30-'Gen exp'!AE30</f>
        <v>0</v>
      </c>
      <c r="AN30" s="44"/>
      <c r="AO30" s="44"/>
      <c r="AP30" s="44"/>
      <c r="AQ30" s="44"/>
    </row>
    <row r="31" spans="1:45" s="49" customFormat="1" ht="12.75" customHeight="1">
      <c r="A31" s="28" t="s">
        <v>44</v>
      </c>
      <c r="C31" s="28" t="s">
        <v>45</v>
      </c>
      <c r="E31" s="45">
        <v>7134463</v>
      </c>
      <c r="F31" s="45"/>
      <c r="G31" s="45">
        <v>10007571</v>
      </c>
      <c r="H31" s="45"/>
      <c r="I31" s="45">
        <v>1601674</v>
      </c>
      <c r="J31" s="45"/>
      <c r="K31" s="45">
        <v>0</v>
      </c>
      <c r="L31" s="45"/>
      <c r="M31" s="45">
        <v>0</v>
      </c>
      <c r="N31" s="45"/>
      <c r="O31" s="45">
        <v>0</v>
      </c>
      <c r="P31" s="45"/>
      <c r="Q31" s="45">
        <v>114224</v>
      </c>
      <c r="R31" s="45"/>
      <c r="S31" s="45">
        <v>0</v>
      </c>
      <c r="T31" s="45"/>
      <c r="U31" s="45">
        <v>0</v>
      </c>
      <c r="V31" s="45"/>
      <c r="W31" s="45">
        <v>0</v>
      </c>
      <c r="X31" s="45"/>
      <c r="Y31" s="45">
        <v>0</v>
      </c>
      <c r="Z31" s="44"/>
      <c r="AA31" s="45">
        <v>0</v>
      </c>
      <c r="AB31" s="44"/>
      <c r="AC31" s="45">
        <f t="shared" si="1"/>
        <v>18857932</v>
      </c>
      <c r="AD31" s="45"/>
      <c r="AE31" s="48">
        <v>0</v>
      </c>
      <c r="AF31" s="48"/>
      <c r="AG31" s="45">
        <v>12215913</v>
      </c>
      <c r="AH31" s="45"/>
      <c r="AI31" s="45">
        <v>16894540</v>
      </c>
      <c r="AJ31" s="45"/>
      <c r="AK31" s="45">
        <v>-8148</v>
      </c>
      <c r="AL31" s="45"/>
      <c r="AM31" s="45">
        <f>+'Gen rev'!U31-'Gen exp'!AC31-AG31+'Gen rev'!W31+AI31+AK31-'Gen Bal'!S31-'Gen exp'!AE31</f>
        <v>0</v>
      </c>
      <c r="AN31" s="44"/>
      <c r="AO31" s="44"/>
      <c r="AP31" s="44"/>
      <c r="AQ31" s="44"/>
    </row>
    <row r="32" spans="1:45" s="49" customFormat="1" ht="12.75" customHeight="1">
      <c r="A32" s="28" t="s">
        <v>46</v>
      </c>
      <c r="C32" s="28" t="s">
        <v>47</v>
      </c>
      <c r="E32" s="45">
        <f>1355956+2937759</f>
        <v>4293715</v>
      </c>
      <c r="F32" s="45"/>
      <c r="G32" s="45">
        <f>4098298+3023096+97855</f>
        <v>7219249</v>
      </c>
      <c r="H32" s="45"/>
      <c r="I32" s="45">
        <v>578565</v>
      </c>
      <c r="J32" s="45"/>
      <c r="K32" s="45">
        <v>66711</v>
      </c>
      <c r="L32" s="45"/>
      <c r="M32" s="45">
        <v>1978403</v>
      </c>
      <c r="N32" s="45"/>
      <c r="O32" s="45">
        <v>0</v>
      </c>
      <c r="P32" s="45"/>
      <c r="Q32" s="45">
        <v>649966</v>
      </c>
      <c r="R32" s="45"/>
      <c r="S32" s="45">
        <v>0</v>
      </c>
      <c r="T32" s="45"/>
      <c r="U32" s="45">
        <v>0</v>
      </c>
      <c r="V32" s="45"/>
      <c r="W32" s="45">
        <v>60000</v>
      </c>
      <c r="X32" s="45"/>
      <c r="Y32" s="45">
        <v>15912</v>
      </c>
      <c r="Z32" s="44"/>
      <c r="AA32" s="45">
        <v>0</v>
      </c>
      <c r="AB32" s="44"/>
      <c r="AC32" s="45">
        <f t="shared" si="1"/>
        <v>14862521</v>
      </c>
      <c r="AD32" s="45"/>
      <c r="AE32" s="48">
        <v>0</v>
      </c>
      <c r="AF32" s="48"/>
      <c r="AG32" s="45">
        <v>21240</v>
      </c>
      <c r="AH32" s="45"/>
      <c r="AI32" s="45">
        <v>2795849</v>
      </c>
      <c r="AJ32" s="45"/>
      <c r="AK32" s="45">
        <v>0</v>
      </c>
      <c r="AL32" s="45"/>
      <c r="AM32" s="45">
        <f>+'Gen rev'!U32-'Gen exp'!AC32-AG32+'Gen rev'!W32+AI32+AK32-'Gen Bal'!S32-'Gen exp'!AE32</f>
        <v>0</v>
      </c>
      <c r="AN32" s="45"/>
      <c r="AO32" s="45"/>
      <c r="AP32" s="45"/>
      <c r="AQ32" s="45"/>
      <c r="AR32" s="52"/>
      <c r="AS32" s="50"/>
    </row>
    <row r="33" spans="1:45" s="49" customFormat="1" ht="12.75" customHeight="1">
      <c r="A33" s="28" t="s">
        <v>48</v>
      </c>
      <c r="C33" s="28" t="s">
        <v>27</v>
      </c>
      <c r="E33" s="45">
        <f>5539853+171745</f>
        <v>5711598</v>
      </c>
      <c r="F33" s="45"/>
      <c r="G33" s="45">
        <f>3936733+17733</f>
        <v>3954466</v>
      </c>
      <c r="H33" s="45"/>
      <c r="I33" s="45">
        <v>808377</v>
      </c>
      <c r="J33" s="45"/>
      <c r="K33" s="45">
        <v>1105458</v>
      </c>
      <c r="L33" s="45"/>
      <c r="M33" s="45">
        <v>1670488</v>
      </c>
      <c r="N33" s="45"/>
      <c r="O33" s="45">
        <v>0</v>
      </c>
      <c r="P33" s="45"/>
      <c r="Q33" s="45">
        <v>1428798</v>
      </c>
      <c r="R33" s="45"/>
      <c r="S33" s="45">
        <v>0</v>
      </c>
      <c r="T33" s="45"/>
      <c r="U33" s="45">
        <v>0</v>
      </c>
      <c r="V33" s="45"/>
      <c r="W33" s="45">
        <v>0</v>
      </c>
      <c r="X33" s="45"/>
      <c r="Y33" s="45">
        <v>0</v>
      </c>
      <c r="Z33" s="44"/>
      <c r="AA33" s="45">
        <v>0</v>
      </c>
      <c r="AB33" s="44"/>
      <c r="AC33" s="45">
        <f t="shared" si="1"/>
        <v>14679185</v>
      </c>
      <c r="AD33" s="45"/>
      <c r="AE33" s="48">
        <v>0</v>
      </c>
      <c r="AF33" s="48"/>
      <c r="AG33" s="45">
        <v>700000</v>
      </c>
      <c r="AH33" s="45"/>
      <c r="AI33" s="45">
        <v>6279588</v>
      </c>
      <c r="AJ33" s="45"/>
      <c r="AK33" s="45">
        <v>0</v>
      </c>
      <c r="AL33" s="45"/>
      <c r="AM33" s="45">
        <f>+'Gen rev'!U33-'Gen exp'!AC33-AG33+'Gen rev'!W33+AI33+AK33-'Gen Bal'!S33-'Gen exp'!AE33</f>
        <v>0</v>
      </c>
      <c r="AN33" s="45"/>
      <c r="AO33" s="45"/>
      <c r="AP33" s="45"/>
      <c r="AQ33" s="45"/>
      <c r="AR33" s="52"/>
      <c r="AS33" s="50"/>
    </row>
    <row r="34" spans="1:45" s="49" customFormat="1" ht="12.75" customHeight="1">
      <c r="A34" s="28" t="s">
        <v>49</v>
      </c>
      <c r="C34" s="28" t="s">
        <v>27</v>
      </c>
      <c r="E34" s="45">
        <v>3975124</v>
      </c>
      <c r="F34" s="45"/>
      <c r="G34" s="45">
        <v>3866757</v>
      </c>
      <c r="H34" s="45"/>
      <c r="I34" s="45">
        <v>341455</v>
      </c>
      <c r="J34" s="45"/>
      <c r="K34" s="45">
        <v>285220</v>
      </c>
      <c r="L34" s="45"/>
      <c r="M34" s="45">
        <v>315351</v>
      </c>
      <c r="N34" s="45"/>
      <c r="O34" s="45">
        <v>111339</v>
      </c>
      <c r="P34" s="45"/>
      <c r="Q34" s="45">
        <v>934767</v>
      </c>
      <c r="R34" s="45"/>
      <c r="S34" s="45">
        <v>0</v>
      </c>
      <c r="T34" s="45"/>
      <c r="U34" s="45">
        <v>0</v>
      </c>
      <c r="V34" s="45"/>
      <c r="W34" s="45">
        <v>320000</v>
      </c>
      <c r="X34" s="45"/>
      <c r="Y34" s="45">
        <v>178113</v>
      </c>
      <c r="Z34" s="44"/>
      <c r="AA34" s="45">
        <v>0</v>
      </c>
      <c r="AB34" s="44"/>
      <c r="AC34" s="45">
        <f t="shared" si="1"/>
        <v>10328126</v>
      </c>
      <c r="AD34" s="45"/>
      <c r="AE34" s="48">
        <v>0</v>
      </c>
      <c r="AF34" s="48"/>
      <c r="AG34" s="45">
        <v>440000</v>
      </c>
      <c r="AH34" s="45"/>
      <c r="AI34" s="45">
        <v>2077838</v>
      </c>
      <c r="AJ34" s="45"/>
      <c r="AK34" s="45">
        <v>0</v>
      </c>
      <c r="AL34" s="45"/>
      <c r="AM34" s="45">
        <f>+'Gen rev'!U34-'Gen exp'!AC34-AG34+'Gen rev'!W34+AI34+AK34-'Gen Bal'!S34-'Gen exp'!AE34</f>
        <v>0</v>
      </c>
      <c r="AN34" s="44"/>
      <c r="AO34" s="44"/>
      <c r="AP34" s="44"/>
      <c r="AQ34" s="44"/>
    </row>
    <row r="35" spans="1:45" s="49" customFormat="1" ht="12.75" customHeight="1">
      <c r="A35" s="28" t="s">
        <v>50</v>
      </c>
      <c r="C35" s="28" t="s">
        <v>27</v>
      </c>
      <c r="E35" s="45">
        <v>4776622</v>
      </c>
      <c r="F35" s="45"/>
      <c r="G35" s="45">
        <f>5948246+4044274</f>
        <v>9992520</v>
      </c>
      <c r="H35" s="45"/>
      <c r="I35" s="45">
        <v>987183</v>
      </c>
      <c r="J35" s="45"/>
      <c r="K35" s="45">
        <v>290582</v>
      </c>
      <c r="L35" s="45"/>
      <c r="M35" s="45">
        <v>680060</v>
      </c>
      <c r="N35" s="45"/>
      <c r="O35" s="45">
        <v>2062789</v>
      </c>
      <c r="P35" s="45"/>
      <c r="Q35" s="45">
        <v>2774359</v>
      </c>
      <c r="R35" s="45"/>
      <c r="S35" s="45">
        <v>0</v>
      </c>
      <c r="T35" s="45"/>
      <c r="U35" s="45">
        <v>0</v>
      </c>
      <c r="V35" s="45"/>
      <c r="W35" s="45">
        <v>0</v>
      </c>
      <c r="X35" s="45"/>
      <c r="Y35" s="45">
        <v>0</v>
      </c>
      <c r="Z35" s="44"/>
      <c r="AA35" s="45">
        <v>0</v>
      </c>
      <c r="AB35" s="44"/>
      <c r="AC35" s="45">
        <f t="shared" si="1"/>
        <v>21564115</v>
      </c>
      <c r="AD35" s="45"/>
      <c r="AE35" s="48">
        <v>0</v>
      </c>
      <c r="AF35" s="48"/>
      <c r="AG35" s="45">
        <v>1136000</v>
      </c>
      <c r="AH35" s="45"/>
      <c r="AI35" s="45">
        <v>4026702</v>
      </c>
      <c r="AJ35" s="45"/>
      <c r="AK35" s="45">
        <v>0</v>
      </c>
      <c r="AL35" s="45"/>
      <c r="AM35" s="45">
        <f>+'Gen rev'!U35-'Gen exp'!AC35-AG35+'Gen rev'!W35+AI35+AK35-'Gen Bal'!S35-'Gen exp'!AE35</f>
        <v>0</v>
      </c>
      <c r="AN35" s="45"/>
      <c r="AO35" s="45"/>
      <c r="AP35" s="45"/>
      <c r="AQ35" s="45"/>
      <c r="AR35" s="52"/>
      <c r="AS35" s="50"/>
    </row>
    <row r="36" spans="1:45" s="49" customFormat="1" ht="12.75" customHeight="1">
      <c r="A36" s="28" t="s">
        <v>51</v>
      </c>
      <c r="C36" s="28" t="s">
        <v>27</v>
      </c>
      <c r="E36" s="45">
        <v>2054231</v>
      </c>
      <c r="F36" s="45"/>
      <c r="G36" s="45">
        <v>6109419</v>
      </c>
      <c r="H36" s="45"/>
      <c r="I36" s="45">
        <v>801511</v>
      </c>
      <c r="J36" s="45"/>
      <c r="K36" s="45">
        <v>0</v>
      </c>
      <c r="L36" s="45"/>
      <c r="M36" s="45">
        <v>0</v>
      </c>
      <c r="N36" s="45"/>
      <c r="O36" s="45">
        <v>1522613</v>
      </c>
      <c r="P36" s="45"/>
      <c r="Q36" s="45">
        <v>1826534</v>
      </c>
      <c r="R36" s="45"/>
      <c r="S36" s="45">
        <v>0</v>
      </c>
      <c r="T36" s="45"/>
      <c r="U36" s="45">
        <v>0</v>
      </c>
      <c r="V36" s="45"/>
      <c r="W36" s="45">
        <v>0</v>
      </c>
      <c r="X36" s="45"/>
      <c r="Y36" s="45">
        <v>0</v>
      </c>
      <c r="Z36" s="44"/>
      <c r="AA36" s="45">
        <v>0</v>
      </c>
      <c r="AB36" s="44"/>
      <c r="AC36" s="45">
        <f t="shared" si="1"/>
        <v>12314308</v>
      </c>
      <c r="AD36" s="45"/>
      <c r="AE36" s="48">
        <v>0</v>
      </c>
      <c r="AF36" s="48"/>
      <c r="AG36" s="45">
        <v>715166</v>
      </c>
      <c r="AH36" s="45"/>
      <c r="AI36" s="45">
        <v>5839797</v>
      </c>
      <c r="AJ36" s="45"/>
      <c r="AK36" s="45">
        <v>0</v>
      </c>
      <c r="AL36" s="45"/>
      <c r="AM36" s="45">
        <f>+'Gen rev'!U36-'Gen exp'!AC36-AG36+'Gen rev'!W36+AI36+AK36-'Gen Bal'!S36-'Gen exp'!AE36</f>
        <v>0</v>
      </c>
      <c r="AN36" s="45"/>
      <c r="AO36" s="45"/>
      <c r="AP36" s="45"/>
      <c r="AQ36" s="45"/>
      <c r="AR36" s="52"/>
      <c r="AS36" s="50"/>
    </row>
    <row r="37" spans="1:45" s="49" customFormat="1" ht="12.75" customHeight="1">
      <c r="A37" s="64" t="s">
        <v>462</v>
      </c>
      <c r="B37" s="46"/>
      <c r="C37" s="64" t="s">
        <v>66</v>
      </c>
      <c r="D37" s="46"/>
      <c r="E37" s="45">
        <v>962157</v>
      </c>
      <c r="F37" s="45"/>
      <c r="G37" s="45">
        <v>1894224</v>
      </c>
      <c r="H37" s="45"/>
      <c r="I37" s="45">
        <v>0</v>
      </c>
      <c r="J37" s="45"/>
      <c r="K37" s="45">
        <v>0</v>
      </c>
      <c r="L37" s="45"/>
      <c r="M37" s="45">
        <v>0</v>
      </c>
      <c r="N37" s="45"/>
      <c r="O37" s="45">
        <v>0</v>
      </c>
      <c r="P37" s="45"/>
      <c r="Q37" s="45">
        <v>0</v>
      </c>
      <c r="R37" s="45"/>
      <c r="S37" s="45">
        <v>38013</v>
      </c>
      <c r="T37" s="45"/>
      <c r="U37" s="45">
        <v>0</v>
      </c>
      <c r="V37" s="45"/>
      <c r="W37" s="45">
        <v>4181</v>
      </c>
      <c r="X37" s="45"/>
      <c r="Y37" s="45">
        <v>1221</v>
      </c>
      <c r="Z37" s="44"/>
      <c r="AA37" s="45">
        <v>0</v>
      </c>
      <c r="AB37" s="44"/>
      <c r="AC37" s="45">
        <f t="shared" si="1"/>
        <v>2899796</v>
      </c>
      <c r="AD37" s="45"/>
      <c r="AE37" s="48">
        <v>0</v>
      </c>
      <c r="AF37" s="48"/>
      <c r="AG37" s="45">
        <v>854801</v>
      </c>
      <c r="AH37" s="45"/>
      <c r="AI37" s="45">
        <v>1022129</v>
      </c>
      <c r="AJ37" s="45"/>
      <c r="AK37" s="45">
        <v>0</v>
      </c>
      <c r="AL37" s="45"/>
      <c r="AM37" s="45">
        <f>+'Gen rev'!U37-'Gen exp'!AC37-AG37+'Gen rev'!W37+AI37+AK37-'Gen Bal'!S37-'Gen exp'!AE37</f>
        <v>0</v>
      </c>
      <c r="AN37" s="45"/>
      <c r="AO37" s="45"/>
      <c r="AP37" s="45"/>
      <c r="AQ37" s="45"/>
      <c r="AR37" s="52"/>
      <c r="AS37" s="50"/>
    </row>
    <row r="38" spans="1:45" s="49" customFormat="1" ht="12.75" customHeight="1">
      <c r="A38" s="28" t="s">
        <v>52</v>
      </c>
      <c r="C38" s="28" t="s">
        <v>53</v>
      </c>
      <c r="E38" s="45">
        <v>2928024</v>
      </c>
      <c r="F38" s="45"/>
      <c r="G38" s="45">
        <v>119814</v>
      </c>
      <c r="H38" s="45"/>
      <c r="I38" s="45">
        <v>843506</v>
      </c>
      <c r="J38" s="45"/>
      <c r="K38" s="45">
        <v>5906</v>
      </c>
      <c r="L38" s="45"/>
      <c r="M38" s="45">
        <v>0</v>
      </c>
      <c r="N38" s="45"/>
      <c r="O38" s="45">
        <v>199179</v>
      </c>
      <c r="P38" s="45"/>
      <c r="Q38" s="45">
        <v>0</v>
      </c>
      <c r="R38" s="45"/>
      <c r="S38" s="45">
        <v>0</v>
      </c>
      <c r="T38" s="45"/>
      <c r="U38" s="45">
        <v>0</v>
      </c>
      <c r="V38" s="45"/>
      <c r="W38" s="45">
        <v>0</v>
      </c>
      <c r="X38" s="45"/>
      <c r="Y38" s="45">
        <v>0</v>
      </c>
      <c r="Z38" s="44"/>
      <c r="AA38" s="45">
        <v>0</v>
      </c>
      <c r="AB38" s="44"/>
      <c r="AC38" s="45">
        <f t="shared" si="1"/>
        <v>4096429</v>
      </c>
      <c r="AD38" s="45"/>
      <c r="AE38" s="48">
        <v>0</v>
      </c>
      <c r="AF38" s="48"/>
      <c r="AG38" s="45">
        <v>22827</v>
      </c>
      <c r="AH38" s="45"/>
      <c r="AI38" s="45">
        <v>2974524</v>
      </c>
      <c r="AJ38" s="45"/>
      <c r="AK38" s="45">
        <v>0</v>
      </c>
      <c r="AL38" s="45"/>
      <c r="AM38" s="45">
        <f>+'Gen rev'!U38-'Gen exp'!AC38-AG38+'Gen rev'!W38+AI38+AK38-'Gen Bal'!S38-'Gen exp'!AE38</f>
        <v>0</v>
      </c>
      <c r="AN38" s="45"/>
      <c r="AO38" s="45"/>
      <c r="AP38" s="45"/>
      <c r="AQ38" s="45"/>
      <c r="AR38" s="52"/>
      <c r="AS38" s="50"/>
    </row>
    <row r="39" spans="1:45" s="49" customFormat="1" ht="12.75" customHeight="1">
      <c r="A39" s="28" t="s">
        <v>54</v>
      </c>
      <c r="C39" s="28" t="s">
        <v>55</v>
      </c>
      <c r="E39" s="45">
        <v>2797508</v>
      </c>
      <c r="F39" s="45"/>
      <c r="G39" s="45">
        <v>1641317</v>
      </c>
      <c r="H39" s="45"/>
      <c r="I39" s="45">
        <v>0</v>
      </c>
      <c r="J39" s="45"/>
      <c r="K39" s="45">
        <v>97259</v>
      </c>
      <c r="L39" s="45"/>
      <c r="M39" s="45">
        <v>0</v>
      </c>
      <c r="N39" s="45"/>
      <c r="O39" s="45">
        <v>935310</v>
      </c>
      <c r="P39" s="45"/>
      <c r="Q39" s="45">
        <v>0</v>
      </c>
      <c r="R39" s="45"/>
      <c r="S39" s="45">
        <v>0</v>
      </c>
      <c r="T39" s="45"/>
      <c r="U39" s="45">
        <v>0</v>
      </c>
      <c r="V39" s="45"/>
      <c r="W39" s="45">
        <v>0</v>
      </c>
      <c r="X39" s="45"/>
      <c r="Y39" s="45">
        <v>0</v>
      </c>
      <c r="Z39" s="44"/>
      <c r="AA39" s="45">
        <v>0</v>
      </c>
      <c r="AB39" s="44"/>
      <c r="AC39" s="45">
        <f t="shared" si="1"/>
        <v>5471394</v>
      </c>
      <c r="AD39" s="45"/>
      <c r="AE39" s="48">
        <v>0</v>
      </c>
      <c r="AF39" s="48"/>
      <c r="AG39" s="45">
        <v>2076006</v>
      </c>
      <c r="AH39" s="45"/>
      <c r="AI39" s="45">
        <v>6785636</v>
      </c>
      <c r="AJ39" s="45"/>
      <c r="AK39" s="45">
        <v>0</v>
      </c>
      <c r="AL39" s="45"/>
      <c r="AM39" s="45">
        <f>+'Gen rev'!U39-'Gen exp'!AC39-AG39+'Gen rev'!W39+AI39+AK39-'Gen Bal'!S39-'Gen exp'!AE39</f>
        <v>0</v>
      </c>
      <c r="AN39" s="45"/>
      <c r="AO39" s="45"/>
      <c r="AP39" s="45"/>
      <c r="AQ39" s="45"/>
      <c r="AR39" s="52"/>
      <c r="AS39" s="50"/>
    </row>
    <row r="40" spans="1:45" s="49" customFormat="1" ht="12.75" customHeight="1">
      <c r="A40" s="28" t="s">
        <v>56</v>
      </c>
      <c r="C40" s="28" t="s">
        <v>57</v>
      </c>
      <c r="E40" s="45">
        <v>1222684</v>
      </c>
      <c r="F40" s="45"/>
      <c r="G40" s="45">
        <f>1938854+1191509+155669</f>
        <v>3286032</v>
      </c>
      <c r="H40" s="45"/>
      <c r="I40" s="45">
        <v>0</v>
      </c>
      <c r="J40" s="45"/>
      <c r="K40" s="45">
        <v>231068</v>
      </c>
      <c r="L40" s="45"/>
      <c r="M40" s="45">
        <v>40950</v>
      </c>
      <c r="N40" s="45"/>
      <c r="O40" s="45">
        <v>40133</v>
      </c>
      <c r="P40" s="45"/>
      <c r="Q40" s="45">
        <v>0</v>
      </c>
      <c r="R40" s="45"/>
      <c r="S40" s="45">
        <v>0</v>
      </c>
      <c r="T40" s="45"/>
      <c r="U40" s="45">
        <v>0</v>
      </c>
      <c r="V40" s="45"/>
      <c r="W40" s="45">
        <v>18822</v>
      </c>
      <c r="X40" s="45"/>
      <c r="Y40" s="45">
        <v>13617</v>
      </c>
      <c r="Z40" s="44"/>
      <c r="AA40" s="45">
        <v>0</v>
      </c>
      <c r="AB40" s="44"/>
      <c r="AC40" s="45">
        <f t="shared" si="1"/>
        <v>4853306</v>
      </c>
      <c r="AD40" s="45"/>
      <c r="AE40" s="48">
        <v>0</v>
      </c>
      <c r="AF40" s="48"/>
      <c r="AG40" s="45">
        <v>275178</v>
      </c>
      <c r="AH40" s="45"/>
      <c r="AI40" s="45">
        <v>1717342</v>
      </c>
      <c r="AJ40" s="45"/>
      <c r="AK40" s="45">
        <v>0</v>
      </c>
      <c r="AL40" s="45"/>
      <c r="AM40" s="45">
        <f>+'Gen rev'!U40-'Gen exp'!AC40-AG40+'Gen rev'!W40+AI40+AK40-'Gen Bal'!S40-'Gen exp'!AE40</f>
        <v>0</v>
      </c>
      <c r="AN40" s="45"/>
      <c r="AO40" s="45"/>
      <c r="AP40" s="45"/>
      <c r="AQ40" s="45"/>
      <c r="AR40" s="52"/>
      <c r="AS40" s="50"/>
    </row>
    <row r="41" spans="1:45" s="49" customFormat="1" ht="12.75" customHeight="1">
      <c r="A41" s="28" t="s">
        <v>58</v>
      </c>
      <c r="C41" s="28" t="s">
        <v>59</v>
      </c>
      <c r="E41" s="45">
        <v>2543208</v>
      </c>
      <c r="F41" s="45"/>
      <c r="G41" s="45">
        <v>2186612</v>
      </c>
      <c r="H41" s="45"/>
      <c r="I41" s="45">
        <v>223662</v>
      </c>
      <c r="J41" s="45"/>
      <c r="K41" s="45">
        <v>0</v>
      </c>
      <c r="L41" s="45"/>
      <c r="M41" s="45">
        <v>0</v>
      </c>
      <c r="N41" s="45"/>
      <c r="O41" s="45">
        <v>550054</v>
      </c>
      <c r="P41" s="45"/>
      <c r="Q41" s="45">
        <v>0</v>
      </c>
      <c r="R41" s="45"/>
      <c r="S41" s="45">
        <v>2000</v>
      </c>
      <c r="T41" s="45"/>
      <c r="U41" s="45">
        <v>0</v>
      </c>
      <c r="V41" s="45"/>
      <c r="W41" s="45">
        <v>23670</v>
      </c>
      <c r="X41" s="45"/>
      <c r="Y41" s="45">
        <v>1164</v>
      </c>
      <c r="Z41" s="44"/>
      <c r="AA41" s="45">
        <v>0</v>
      </c>
      <c r="AB41" s="44"/>
      <c r="AC41" s="45">
        <f t="shared" si="1"/>
        <v>5530370</v>
      </c>
      <c r="AD41" s="45"/>
      <c r="AE41" s="48">
        <v>0</v>
      </c>
      <c r="AF41" s="48"/>
      <c r="AG41" s="45">
        <v>700536</v>
      </c>
      <c r="AH41" s="45"/>
      <c r="AI41" s="45">
        <v>1012207</v>
      </c>
      <c r="AJ41" s="45"/>
      <c r="AK41" s="45">
        <v>0</v>
      </c>
      <c r="AL41" s="45"/>
      <c r="AM41" s="45">
        <f>+'Gen rev'!U41-'Gen exp'!AC41-AG41+'Gen rev'!W41+AI41+AK41-'Gen Bal'!S41-'Gen exp'!AE41</f>
        <v>0</v>
      </c>
      <c r="AN41" s="45"/>
      <c r="AO41" s="45"/>
      <c r="AP41" s="45"/>
      <c r="AQ41" s="45"/>
      <c r="AR41" s="52"/>
      <c r="AS41" s="50"/>
    </row>
    <row r="42" spans="1:45" s="49" customFormat="1" ht="12.75" customHeight="1">
      <c r="A42" s="46" t="s">
        <v>476</v>
      </c>
      <c r="B42" s="46"/>
      <c r="C42" s="64" t="s">
        <v>15</v>
      </c>
      <c r="D42" s="46"/>
      <c r="E42" s="45">
        <v>665059</v>
      </c>
      <c r="F42" s="45"/>
      <c r="G42" s="45">
        <v>0</v>
      </c>
      <c r="H42" s="45"/>
      <c r="I42" s="45">
        <v>0</v>
      </c>
      <c r="J42" s="45"/>
      <c r="K42" s="45">
        <v>0</v>
      </c>
      <c r="L42" s="45"/>
      <c r="M42" s="45">
        <v>12562</v>
      </c>
      <c r="N42" s="45"/>
      <c r="O42" s="45">
        <v>50195</v>
      </c>
      <c r="P42" s="45"/>
      <c r="Q42" s="45">
        <v>0</v>
      </c>
      <c r="R42" s="45"/>
      <c r="S42" s="45">
        <v>0</v>
      </c>
      <c r="T42" s="45"/>
      <c r="U42" s="45">
        <v>0</v>
      </c>
      <c r="V42" s="45"/>
      <c r="W42" s="45">
        <v>0</v>
      </c>
      <c r="X42" s="45"/>
      <c r="Y42" s="45">
        <v>0</v>
      </c>
      <c r="Z42" s="44"/>
      <c r="AA42" s="45">
        <v>0</v>
      </c>
      <c r="AB42" s="44"/>
      <c r="AC42" s="45">
        <f t="shared" si="1"/>
        <v>727816</v>
      </c>
      <c r="AD42" s="45"/>
      <c r="AE42" s="48">
        <v>0</v>
      </c>
      <c r="AF42" s="48"/>
      <c r="AG42" s="45">
        <v>1551536</v>
      </c>
      <c r="AH42" s="45"/>
      <c r="AI42" s="45">
        <v>231792</v>
      </c>
      <c r="AJ42" s="45"/>
      <c r="AK42" s="45">
        <v>0</v>
      </c>
      <c r="AL42" s="45"/>
      <c r="AM42" s="45">
        <f>+'Gen rev'!U42-'Gen exp'!AC42-AG42+'Gen rev'!W42+AI42+AK42-'Gen Bal'!S42-'Gen exp'!AE42</f>
        <v>0</v>
      </c>
      <c r="AN42" s="45"/>
      <c r="AO42" s="45"/>
      <c r="AP42" s="45"/>
      <c r="AQ42" s="45"/>
      <c r="AR42" s="52"/>
      <c r="AS42" s="50"/>
    </row>
    <row r="43" spans="1:45" s="49" customFormat="1" ht="12.75" customHeight="1">
      <c r="A43" s="28" t="s">
        <v>60</v>
      </c>
      <c r="C43" s="28" t="s">
        <v>61</v>
      </c>
      <c r="E43" s="45">
        <v>806865</v>
      </c>
      <c r="F43" s="45"/>
      <c r="G43" s="45">
        <v>2249687</v>
      </c>
      <c r="H43" s="45"/>
      <c r="I43" s="45">
        <v>92522</v>
      </c>
      <c r="J43" s="45"/>
      <c r="K43" s="45">
        <v>29609</v>
      </c>
      <c r="L43" s="45"/>
      <c r="M43" s="45">
        <v>0</v>
      </c>
      <c r="N43" s="45"/>
      <c r="O43" s="45">
        <v>0</v>
      </c>
      <c r="P43" s="45"/>
      <c r="Q43" s="45">
        <v>759</v>
      </c>
      <c r="R43" s="45"/>
      <c r="S43" s="45">
        <v>266470</v>
      </c>
      <c r="T43" s="45"/>
      <c r="U43" s="45">
        <v>0</v>
      </c>
      <c r="V43" s="45"/>
      <c r="W43" s="45">
        <v>0</v>
      </c>
      <c r="X43" s="45"/>
      <c r="Y43" s="45">
        <v>0</v>
      </c>
      <c r="Z43" s="44"/>
      <c r="AA43" s="45">
        <v>0</v>
      </c>
      <c r="AB43" s="44"/>
      <c r="AC43" s="45">
        <f t="shared" si="1"/>
        <v>3445912</v>
      </c>
      <c r="AD43" s="45"/>
      <c r="AE43" s="48">
        <v>0</v>
      </c>
      <c r="AF43" s="48"/>
      <c r="AG43" s="45">
        <v>125875</v>
      </c>
      <c r="AH43" s="45"/>
      <c r="AI43" s="45">
        <v>2190464</v>
      </c>
      <c r="AJ43" s="45"/>
      <c r="AK43" s="45">
        <v>0</v>
      </c>
      <c r="AL43" s="45"/>
      <c r="AM43" s="45">
        <f>+'Gen rev'!U43-'Gen exp'!AC43-AG43+'Gen rev'!W43+AI43+AK43-'Gen Bal'!S43-'Gen exp'!AE43</f>
        <v>0</v>
      </c>
      <c r="AN43" s="45"/>
      <c r="AO43" s="45"/>
      <c r="AP43" s="45"/>
      <c r="AQ43" s="45"/>
      <c r="AR43" s="52"/>
      <c r="AS43" s="50"/>
    </row>
    <row r="44" spans="1:45" s="49" customFormat="1" ht="12.75" customHeight="1">
      <c r="A44" s="46" t="s">
        <v>62</v>
      </c>
      <c r="B44" s="46"/>
      <c r="C44" s="64" t="s">
        <v>15</v>
      </c>
      <c r="D44" s="46"/>
      <c r="E44" s="45">
        <v>15779004</v>
      </c>
      <c r="F44" s="45"/>
      <c r="G44" s="45">
        <v>32845383</v>
      </c>
      <c r="H44" s="45"/>
      <c r="I44" s="45">
        <v>0</v>
      </c>
      <c r="J44" s="45"/>
      <c r="K44" s="45">
        <v>2595600</v>
      </c>
      <c r="L44" s="45"/>
      <c r="M44" s="45">
        <v>1286884</v>
      </c>
      <c r="N44" s="45"/>
      <c r="O44" s="45">
        <v>2035593</v>
      </c>
      <c r="P44" s="45"/>
      <c r="Q44" s="45">
        <v>0</v>
      </c>
      <c r="R44" s="45"/>
      <c r="S44" s="45">
        <v>0</v>
      </c>
      <c r="T44" s="45"/>
      <c r="U44" s="45">
        <v>0</v>
      </c>
      <c r="V44" s="45"/>
      <c r="W44" s="45">
        <v>0</v>
      </c>
      <c r="X44" s="45"/>
      <c r="Y44" s="45">
        <v>68150</v>
      </c>
      <c r="Z44" s="44"/>
      <c r="AA44" s="45">
        <v>0</v>
      </c>
      <c r="AB44" s="44"/>
      <c r="AC44" s="45">
        <f t="shared" si="1"/>
        <v>54610614</v>
      </c>
      <c r="AD44" s="45"/>
      <c r="AE44" s="48">
        <v>0</v>
      </c>
      <c r="AF44" s="48"/>
      <c r="AG44" s="45">
        <v>40000</v>
      </c>
      <c r="AH44" s="45"/>
      <c r="AI44" s="45">
        <v>4672611</v>
      </c>
      <c r="AJ44" s="45"/>
      <c r="AK44" s="45">
        <v>0</v>
      </c>
      <c r="AL44" s="45"/>
      <c r="AM44" s="45">
        <f>+'Gen rev'!U44-'Gen exp'!AC44-AG44+'Gen rev'!W44+AI44+AK44-'Gen Bal'!S44-'Gen exp'!AE44</f>
        <v>0</v>
      </c>
      <c r="AN44" s="45"/>
      <c r="AO44" s="45"/>
      <c r="AP44" s="45"/>
      <c r="AQ44" s="45"/>
      <c r="AR44" s="52"/>
      <c r="AS44" s="50"/>
    </row>
    <row r="45" spans="1:45" s="49" customFormat="1" ht="12.75" customHeight="1">
      <c r="A45" s="28" t="s">
        <v>485</v>
      </c>
      <c r="C45" s="28" t="s">
        <v>111</v>
      </c>
      <c r="E45" s="45">
        <v>435684</v>
      </c>
      <c r="F45" s="45"/>
      <c r="G45" s="45">
        <v>267127</v>
      </c>
      <c r="H45" s="45"/>
      <c r="I45" s="45">
        <v>110947</v>
      </c>
      <c r="J45" s="45"/>
      <c r="K45" s="45">
        <v>0</v>
      </c>
      <c r="L45" s="45"/>
      <c r="M45" s="45">
        <v>0</v>
      </c>
      <c r="N45" s="45"/>
      <c r="O45" s="45">
        <v>5626</v>
      </c>
      <c r="P45" s="45"/>
      <c r="Q45" s="45">
        <v>0</v>
      </c>
      <c r="R45" s="45"/>
      <c r="S45" s="45">
        <v>0</v>
      </c>
      <c r="T45" s="45"/>
      <c r="U45" s="45">
        <v>0</v>
      </c>
      <c r="V45" s="45"/>
      <c r="W45" s="45">
        <v>0</v>
      </c>
      <c r="X45" s="45"/>
      <c r="Y45" s="45">
        <v>0</v>
      </c>
      <c r="Z45" s="44"/>
      <c r="AA45" s="45">
        <v>0</v>
      </c>
      <c r="AB45" s="44"/>
      <c r="AC45" s="45">
        <f t="shared" si="1"/>
        <v>819384</v>
      </c>
      <c r="AD45" s="45"/>
      <c r="AE45" s="48">
        <v>0</v>
      </c>
      <c r="AF45" s="48"/>
      <c r="AG45" s="45">
        <v>125500</v>
      </c>
      <c r="AH45" s="45"/>
      <c r="AI45" s="45">
        <v>612075</v>
      </c>
      <c r="AJ45" s="45"/>
      <c r="AK45" s="45">
        <v>0</v>
      </c>
      <c r="AL45" s="45"/>
      <c r="AM45" s="45">
        <f>+'Gen rev'!U45-'Gen exp'!AC45-AG45+'Gen rev'!W45+AI45+AK45-'Gen Bal'!S45-'Gen exp'!AE45</f>
        <v>0</v>
      </c>
      <c r="AN45" s="48"/>
      <c r="AO45" s="48"/>
      <c r="AP45" s="48"/>
      <c r="AQ45" s="48"/>
      <c r="AR45" s="52"/>
      <c r="AS45" s="50"/>
    </row>
    <row r="46" spans="1:45" s="49" customFormat="1" ht="12.75" customHeight="1">
      <c r="A46" s="28" t="s">
        <v>63</v>
      </c>
      <c r="C46" s="28" t="s">
        <v>64</v>
      </c>
      <c r="E46" s="45">
        <v>1224496</v>
      </c>
      <c r="F46" s="45"/>
      <c r="G46" s="45">
        <v>2806470</v>
      </c>
      <c r="H46" s="45"/>
      <c r="I46" s="45">
        <v>44625</v>
      </c>
      <c r="J46" s="45"/>
      <c r="K46" s="45">
        <v>79768</v>
      </c>
      <c r="L46" s="45"/>
      <c r="M46" s="45">
        <v>142720</v>
      </c>
      <c r="N46" s="45"/>
      <c r="O46" s="45">
        <v>84848</v>
      </c>
      <c r="P46" s="45"/>
      <c r="Q46" s="45">
        <v>194915</v>
      </c>
      <c r="R46" s="45"/>
      <c r="S46" s="45">
        <v>0</v>
      </c>
      <c r="T46" s="45"/>
      <c r="U46" s="45">
        <v>0</v>
      </c>
      <c r="V46" s="45"/>
      <c r="W46" s="45">
        <v>0</v>
      </c>
      <c r="X46" s="45"/>
      <c r="Y46" s="45">
        <v>0</v>
      </c>
      <c r="Z46" s="44"/>
      <c r="AA46" s="45">
        <v>0</v>
      </c>
      <c r="AB46" s="44"/>
      <c r="AC46" s="45">
        <f t="shared" si="1"/>
        <v>4577842</v>
      </c>
      <c r="AD46" s="45"/>
      <c r="AE46" s="48">
        <v>0</v>
      </c>
      <c r="AF46" s="48"/>
      <c r="AG46" s="45">
        <v>602375</v>
      </c>
      <c r="AH46" s="45"/>
      <c r="AI46" s="45">
        <v>712180</v>
      </c>
      <c r="AJ46" s="45"/>
      <c r="AK46" s="45">
        <v>0</v>
      </c>
      <c r="AL46" s="45"/>
      <c r="AM46" s="45">
        <f>+'Gen rev'!U46-'Gen exp'!AC46-AG46+'Gen rev'!W46+AI46+AK46-'Gen Bal'!S46-'Gen exp'!AE46</f>
        <v>0</v>
      </c>
      <c r="AN46" s="48"/>
      <c r="AO46" s="48"/>
      <c r="AP46" s="48"/>
      <c r="AQ46" s="48"/>
      <c r="AR46" s="52"/>
      <c r="AS46" s="50"/>
    </row>
    <row r="47" spans="1:45" s="49" customFormat="1" ht="12.75" customHeight="1">
      <c r="A47" s="28" t="s">
        <v>65</v>
      </c>
      <c r="C47" s="28" t="s">
        <v>66</v>
      </c>
      <c r="E47" s="45">
        <v>4300521</v>
      </c>
      <c r="F47" s="45"/>
      <c r="G47" s="45">
        <v>6052492</v>
      </c>
      <c r="H47" s="45"/>
      <c r="I47" s="45">
        <v>289572</v>
      </c>
      <c r="J47" s="45"/>
      <c r="K47" s="45">
        <v>0</v>
      </c>
      <c r="L47" s="45"/>
      <c r="M47" s="45">
        <v>0</v>
      </c>
      <c r="N47" s="45"/>
      <c r="O47" s="45">
        <v>251645</v>
      </c>
      <c r="P47" s="45"/>
      <c r="Q47" s="45">
        <v>0</v>
      </c>
      <c r="R47" s="45"/>
      <c r="S47" s="45">
        <v>0</v>
      </c>
      <c r="T47" s="45"/>
      <c r="U47" s="45">
        <v>0</v>
      </c>
      <c r="V47" s="45"/>
      <c r="W47" s="45">
        <v>0</v>
      </c>
      <c r="X47" s="45"/>
      <c r="Y47" s="45">
        <v>0</v>
      </c>
      <c r="Z47" s="44"/>
      <c r="AA47" s="45">
        <v>0</v>
      </c>
      <c r="AB47" s="44"/>
      <c r="AC47" s="45">
        <f t="shared" si="1"/>
        <v>10894230</v>
      </c>
      <c r="AD47" s="45"/>
      <c r="AE47" s="48">
        <v>0</v>
      </c>
      <c r="AF47" s="48"/>
      <c r="AG47" s="45">
        <v>3849000</v>
      </c>
      <c r="AH47" s="45"/>
      <c r="AI47" s="45">
        <v>10938781</v>
      </c>
      <c r="AJ47" s="45"/>
      <c r="AK47" s="45">
        <v>791</v>
      </c>
      <c r="AL47" s="45"/>
      <c r="AM47" s="45">
        <f>+'Gen rev'!U47-'Gen exp'!AC47-AG47+'Gen rev'!W47+AI47+AK47-'Gen Bal'!S47-'Gen exp'!AE47</f>
        <v>0</v>
      </c>
      <c r="AN47" s="45"/>
      <c r="AO47" s="45"/>
      <c r="AP47" s="45"/>
      <c r="AQ47" s="45"/>
      <c r="AR47" s="52"/>
      <c r="AS47" s="50"/>
    </row>
    <row r="48" spans="1:45" s="49" customFormat="1" ht="12.75" customHeight="1">
      <c r="A48" s="28" t="s">
        <v>67</v>
      </c>
      <c r="C48" s="28" t="s">
        <v>375</v>
      </c>
      <c r="E48" s="45">
        <v>2792330</v>
      </c>
      <c r="F48" s="45"/>
      <c r="G48" s="45">
        <v>1494524</v>
      </c>
      <c r="H48" s="45"/>
      <c r="I48" s="45">
        <v>252417</v>
      </c>
      <c r="J48" s="45"/>
      <c r="K48" s="45">
        <v>13650</v>
      </c>
      <c r="L48" s="45"/>
      <c r="M48" s="45">
        <v>1258635</v>
      </c>
      <c r="N48" s="45"/>
      <c r="O48" s="45">
        <v>0</v>
      </c>
      <c r="P48" s="45"/>
      <c r="Q48" s="45">
        <v>0</v>
      </c>
      <c r="R48" s="45"/>
      <c r="S48" s="45">
        <v>64669</v>
      </c>
      <c r="T48" s="45"/>
      <c r="U48" s="45">
        <v>0</v>
      </c>
      <c r="V48" s="45"/>
      <c r="W48" s="45">
        <v>66304</v>
      </c>
      <c r="X48" s="45"/>
      <c r="Y48" s="45">
        <v>0</v>
      </c>
      <c r="Z48" s="44"/>
      <c r="AA48" s="45">
        <v>0</v>
      </c>
      <c r="AB48" s="44"/>
      <c r="AC48" s="45">
        <f t="shared" si="1"/>
        <v>5942529</v>
      </c>
      <c r="AD48" s="45"/>
      <c r="AE48" s="48">
        <v>0</v>
      </c>
      <c r="AF48" s="48"/>
      <c r="AG48" s="45">
        <v>1080000</v>
      </c>
      <c r="AH48" s="45"/>
      <c r="AI48" s="45">
        <v>2228697</v>
      </c>
      <c r="AJ48" s="45"/>
      <c r="AK48" s="45">
        <v>0</v>
      </c>
      <c r="AL48" s="45"/>
      <c r="AM48" s="45">
        <f>+'Gen rev'!U48-'Gen exp'!AC48-AG48+'Gen rev'!W48+AI48+AK48-'Gen Bal'!S48-'Gen exp'!AE48</f>
        <v>0</v>
      </c>
      <c r="AN48" s="45"/>
      <c r="AO48" s="45"/>
      <c r="AP48" s="45"/>
      <c r="AQ48" s="45"/>
      <c r="AR48" s="52"/>
      <c r="AS48" s="50"/>
    </row>
    <row r="49" spans="1:45" s="49" customFormat="1" ht="12.75" customHeight="1">
      <c r="A49" s="28" t="s">
        <v>68</v>
      </c>
      <c r="C49" s="28" t="s">
        <v>45</v>
      </c>
      <c r="E49" s="45">
        <v>1472108</v>
      </c>
      <c r="F49" s="45"/>
      <c r="G49" s="45">
        <v>2004131</v>
      </c>
      <c r="H49" s="45"/>
      <c r="I49" s="45">
        <v>0</v>
      </c>
      <c r="J49" s="45"/>
      <c r="K49" s="45">
        <v>7174</v>
      </c>
      <c r="L49" s="45"/>
      <c r="M49" s="45">
        <v>147429</v>
      </c>
      <c r="N49" s="45"/>
      <c r="O49" s="45">
        <v>108046</v>
      </c>
      <c r="P49" s="45"/>
      <c r="Q49" s="45">
        <v>359732</v>
      </c>
      <c r="R49" s="45"/>
      <c r="S49" s="45">
        <v>0</v>
      </c>
      <c r="T49" s="45"/>
      <c r="U49" s="45">
        <v>0</v>
      </c>
      <c r="V49" s="45"/>
      <c r="W49" s="45">
        <v>0</v>
      </c>
      <c r="X49" s="45"/>
      <c r="Y49" s="45">
        <v>0</v>
      </c>
      <c r="Z49" s="44"/>
      <c r="AA49" s="45">
        <v>0</v>
      </c>
      <c r="AB49" s="44"/>
      <c r="AC49" s="45">
        <f t="shared" si="1"/>
        <v>4098620</v>
      </c>
      <c r="AD49" s="45"/>
      <c r="AE49" s="48">
        <v>0</v>
      </c>
      <c r="AF49" s="48"/>
      <c r="AG49" s="45">
        <v>53655</v>
      </c>
      <c r="AH49" s="45"/>
      <c r="AI49" s="45">
        <v>525327</v>
      </c>
      <c r="AJ49" s="45"/>
      <c r="AK49" s="45">
        <v>6015</v>
      </c>
      <c r="AL49" s="45"/>
      <c r="AM49" s="45">
        <f>+'Gen rev'!U49-'Gen exp'!AC49-AG49+'Gen rev'!W49+AI49+AK49-'Gen Bal'!S49-'Gen exp'!AE49</f>
        <v>0</v>
      </c>
      <c r="AN49" s="45"/>
      <c r="AO49" s="45"/>
      <c r="AP49" s="45"/>
      <c r="AQ49" s="45"/>
      <c r="AR49" s="52"/>
      <c r="AS49" s="50"/>
    </row>
    <row r="50" spans="1:45" s="49" customFormat="1" ht="12.75" customHeight="1">
      <c r="A50" s="28" t="s">
        <v>69</v>
      </c>
      <c r="C50" s="28" t="s">
        <v>70</v>
      </c>
      <c r="E50" s="45">
        <v>5562639</v>
      </c>
      <c r="F50" s="45"/>
      <c r="G50" s="45">
        <f>5032086+4401302</f>
        <v>9433388</v>
      </c>
      <c r="H50" s="45"/>
      <c r="I50" s="45">
        <v>119</v>
      </c>
      <c r="J50" s="45"/>
      <c r="K50" s="45">
        <v>0</v>
      </c>
      <c r="L50" s="45"/>
      <c r="M50" s="45">
        <v>270248</v>
      </c>
      <c r="N50" s="45"/>
      <c r="O50" s="45">
        <v>101988</v>
      </c>
      <c r="P50" s="45"/>
      <c r="Q50" s="45">
        <v>843424</v>
      </c>
      <c r="R50" s="45"/>
      <c r="S50" s="45">
        <v>568</v>
      </c>
      <c r="T50" s="45"/>
      <c r="U50" s="45">
        <v>0</v>
      </c>
      <c r="V50" s="45"/>
      <c r="W50" s="45">
        <v>37525</v>
      </c>
      <c r="X50" s="45"/>
      <c r="Y50" s="45">
        <v>37150</v>
      </c>
      <c r="Z50" s="44"/>
      <c r="AA50" s="45">
        <v>0</v>
      </c>
      <c r="AB50" s="44"/>
      <c r="AC50" s="45">
        <f t="shared" si="1"/>
        <v>16287049</v>
      </c>
      <c r="AD50" s="45"/>
      <c r="AE50" s="48">
        <v>0</v>
      </c>
      <c r="AF50" s="48"/>
      <c r="AG50" s="45">
        <v>2165204</v>
      </c>
      <c r="AH50" s="45"/>
      <c r="AI50" s="45">
        <v>2374618</v>
      </c>
      <c r="AJ50" s="45"/>
      <c r="AK50" s="45">
        <v>0</v>
      </c>
      <c r="AL50" s="45"/>
      <c r="AM50" s="45">
        <f>+'Gen rev'!U50-'Gen exp'!AC50-AG50+'Gen rev'!W50+AI50+AK50-'Gen Bal'!S50-'Gen exp'!AE50</f>
        <v>0</v>
      </c>
      <c r="AN50" s="45"/>
      <c r="AO50" s="45"/>
      <c r="AP50" s="45"/>
      <c r="AQ50" s="45"/>
      <c r="AR50" s="52"/>
      <c r="AS50" s="50"/>
    </row>
    <row r="51" spans="1:45" s="49" customFormat="1" ht="12.75" customHeight="1">
      <c r="A51" s="28" t="s">
        <v>71</v>
      </c>
      <c r="C51" s="28" t="s">
        <v>45</v>
      </c>
      <c r="E51" s="45">
        <v>38545000</v>
      </c>
      <c r="F51" s="45"/>
      <c r="G51" s="45">
        <v>166647000</v>
      </c>
      <c r="H51" s="45"/>
      <c r="I51" s="45">
        <v>5678000</v>
      </c>
      <c r="J51" s="45"/>
      <c r="K51" s="45">
        <v>17151000</v>
      </c>
      <c r="L51" s="45"/>
      <c r="M51" s="45">
        <v>3222000</v>
      </c>
      <c r="N51" s="45"/>
      <c r="O51" s="45">
        <v>18440000</v>
      </c>
      <c r="P51" s="45"/>
      <c r="Q51" s="45">
        <f>20902000+81128000</f>
        <v>102030000</v>
      </c>
      <c r="R51" s="45"/>
      <c r="S51" s="45">
        <v>0</v>
      </c>
      <c r="T51" s="45"/>
      <c r="U51" s="45">
        <v>0</v>
      </c>
      <c r="V51" s="45"/>
      <c r="W51" s="45">
        <v>0</v>
      </c>
      <c r="X51" s="45"/>
      <c r="Y51" s="45">
        <v>0</v>
      </c>
      <c r="Z51" s="44"/>
      <c r="AA51" s="45">
        <v>0</v>
      </c>
      <c r="AB51" s="44"/>
      <c r="AC51" s="45">
        <f t="shared" si="1"/>
        <v>351713000</v>
      </c>
      <c r="AD51" s="45"/>
      <c r="AE51" s="48">
        <v>0</v>
      </c>
      <c r="AF51" s="48"/>
      <c r="AG51" s="45">
        <v>2850000</v>
      </c>
      <c r="AH51" s="45"/>
      <c r="AI51" s="45">
        <v>89995000</v>
      </c>
      <c r="AJ51" s="45"/>
      <c r="AK51" s="45">
        <v>0</v>
      </c>
      <c r="AL51" s="45"/>
      <c r="AM51" s="45">
        <f>+'Gen rev'!U51-'Gen exp'!AC51-AG51+'Gen rev'!W51+AI51+AK51-'Gen Bal'!S51-'Gen exp'!AE51</f>
        <v>0</v>
      </c>
      <c r="AN51" s="45"/>
      <c r="AO51" s="45"/>
      <c r="AP51" s="45"/>
      <c r="AQ51" s="45"/>
      <c r="AR51" s="52"/>
      <c r="AS51" s="50"/>
    </row>
    <row r="52" spans="1:45" s="49" customFormat="1" ht="12.75" customHeight="1">
      <c r="A52" s="47" t="s">
        <v>463</v>
      </c>
      <c r="C52" s="47" t="s">
        <v>464</v>
      </c>
      <c r="E52" s="45">
        <v>2108837</v>
      </c>
      <c r="F52" s="45"/>
      <c r="G52" s="45">
        <f>1402927+574624+99015</f>
        <v>2076566</v>
      </c>
      <c r="H52" s="45"/>
      <c r="I52" s="45">
        <v>9952</v>
      </c>
      <c r="J52" s="45"/>
      <c r="K52" s="45">
        <v>183508</v>
      </c>
      <c r="L52" s="45"/>
      <c r="M52" s="45">
        <v>281787</v>
      </c>
      <c r="N52" s="45"/>
      <c r="O52" s="45">
        <f>73525+19545+25523</f>
        <v>118593</v>
      </c>
      <c r="P52" s="45"/>
      <c r="Q52" s="45">
        <v>0</v>
      </c>
      <c r="R52" s="45"/>
      <c r="S52" s="45">
        <v>0</v>
      </c>
      <c r="T52" s="45"/>
      <c r="U52" s="45">
        <v>0</v>
      </c>
      <c r="V52" s="45"/>
      <c r="W52" s="45">
        <v>31095</v>
      </c>
      <c r="X52" s="45"/>
      <c r="Y52" s="45">
        <v>2323</v>
      </c>
      <c r="Z52" s="44"/>
      <c r="AA52" s="45">
        <v>0</v>
      </c>
      <c r="AB52" s="44"/>
      <c r="AC52" s="45">
        <f t="shared" si="1"/>
        <v>4812661</v>
      </c>
      <c r="AD52" s="45"/>
      <c r="AE52" s="48">
        <v>0</v>
      </c>
      <c r="AF52" s="48"/>
      <c r="AG52" s="45">
        <v>20000</v>
      </c>
      <c r="AH52" s="45"/>
      <c r="AI52" s="45">
        <v>1019235</v>
      </c>
      <c r="AJ52" s="45"/>
      <c r="AK52" s="45">
        <v>0</v>
      </c>
      <c r="AL52" s="45"/>
      <c r="AM52" s="45">
        <f>+'Gen rev'!U52-'Gen exp'!AC52-AG52+'Gen rev'!W52+AI52+AK52-'Gen Bal'!S52-'Gen exp'!AE52</f>
        <v>0</v>
      </c>
      <c r="AN52" s="45"/>
      <c r="AO52" s="45"/>
      <c r="AP52" s="45"/>
      <c r="AQ52" s="45"/>
      <c r="AR52" s="52"/>
      <c r="AS52" s="50"/>
    </row>
    <row r="53" spans="1:45" s="49" customFormat="1" ht="12.75" customHeight="1">
      <c r="A53" s="28" t="s">
        <v>72</v>
      </c>
      <c r="C53" s="28" t="s">
        <v>66</v>
      </c>
      <c r="E53" s="45">
        <v>1924915</v>
      </c>
      <c r="F53" s="45"/>
      <c r="G53" s="45">
        <v>0</v>
      </c>
      <c r="H53" s="45"/>
      <c r="I53" s="45">
        <v>0</v>
      </c>
      <c r="J53" s="45"/>
      <c r="K53" s="45">
        <v>0</v>
      </c>
      <c r="L53" s="45"/>
      <c r="M53" s="45">
        <v>0</v>
      </c>
      <c r="N53" s="45"/>
      <c r="O53" s="45">
        <v>0</v>
      </c>
      <c r="P53" s="45"/>
      <c r="Q53" s="45">
        <v>0</v>
      </c>
      <c r="R53" s="45"/>
      <c r="S53" s="45">
        <v>0</v>
      </c>
      <c r="T53" s="45"/>
      <c r="U53" s="45">
        <v>0</v>
      </c>
      <c r="V53" s="45"/>
      <c r="W53" s="45">
        <v>0</v>
      </c>
      <c r="X53" s="45"/>
      <c r="Y53" s="45">
        <v>0</v>
      </c>
      <c r="Z53" s="44"/>
      <c r="AA53" s="45">
        <v>0</v>
      </c>
      <c r="AB53" s="44"/>
      <c r="AC53" s="45">
        <f t="shared" si="1"/>
        <v>1924915</v>
      </c>
      <c r="AD53" s="45"/>
      <c r="AE53" s="48">
        <v>0</v>
      </c>
      <c r="AF53" s="48"/>
      <c r="AG53" s="45">
        <v>666018</v>
      </c>
      <c r="AH53" s="45"/>
      <c r="AI53" s="45">
        <v>1519482</v>
      </c>
      <c r="AJ53" s="45"/>
      <c r="AK53" s="45">
        <v>0</v>
      </c>
      <c r="AL53" s="45"/>
      <c r="AM53" s="45">
        <f>+'Gen rev'!U53-'Gen exp'!AC53-AG53+'Gen rev'!W53+AI53+AK53-'Gen Bal'!S53-'Gen exp'!AE53</f>
        <v>0</v>
      </c>
      <c r="AN53" s="45"/>
      <c r="AO53" s="45"/>
      <c r="AP53" s="45"/>
      <c r="AQ53" s="45"/>
      <c r="AR53" s="52"/>
      <c r="AS53" s="50"/>
    </row>
    <row r="54" spans="1:45" s="49" customFormat="1" ht="12.75" customHeight="1">
      <c r="A54" s="28" t="s">
        <v>73</v>
      </c>
      <c r="C54" s="28" t="s">
        <v>27</v>
      </c>
      <c r="E54" s="45">
        <v>72063000</v>
      </c>
      <c r="F54" s="45"/>
      <c r="G54" s="45">
        <v>301100000</v>
      </c>
      <c r="H54" s="45"/>
      <c r="I54" s="45">
        <v>1188000</v>
      </c>
      <c r="J54" s="45"/>
      <c r="K54" s="45">
        <v>5240000</v>
      </c>
      <c r="L54" s="45"/>
      <c r="M54" s="45">
        <v>34394000</v>
      </c>
      <c r="N54" s="45"/>
      <c r="O54" s="45">
        <v>34715000</v>
      </c>
      <c r="P54" s="45"/>
      <c r="Q54" s="45">
        <f>8337000+11490000</f>
        <v>19827000</v>
      </c>
      <c r="R54" s="45"/>
      <c r="S54" s="45">
        <v>0</v>
      </c>
      <c r="T54" s="45"/>
      <c r="U54" s="45">
        <v>0</v>
      </c>
      <c r="V54" s="45"/>
      <c r="W54" s="45">
        <v>0</v>
      </c>
      <c r="X54" s="45"/>
      <c r="Y54" s="45">
        <v>0</v>
      </c>
      <c r="Z54" s="44"/>
      <c r="AA54" s="45">
        <v>0</v>
      </c>
      <c r="AB54" s="44"/>
      <c r="AC54" s="45">
        <f t="shared" si="1"/>
        <v>468527000</v>
      </c>
      <c r="AD54" s="45"/>
      <c r="AE54" s="48">
        <v>0</v>
      </c>
      <c r="AF54" s="48"/>
      <c r="AG54" s="45">
        <v>16164000</v>
      </c>
      <c r="AH54" s="45"/>
      <c r="AI54" s="45">
        <v>5865000</v>
      </c>
      <c r="AJ54" s="45"/>
      <c r="AK54" s="45">
        <v>0</v>
      </c>
      <c r="AL54" s="45"/>
      <c r="AM54" s="45">
        <f>+'Gen rev'!U54-'Gen exp'!AC54-AG54+'Gen rev'!W54+AI54+AK54-'Gen Bal'!S54-'Gen exp'!AE54</f>
        <v>0</v>
      </c>
      <c r="AN54" s="45"/>
      <c r="AO54" s="45"/>
      <c r="AP54" s="45"/>
      <c r="AQ54" s="45"/>
      <c r="AR54" s="52"/>
      <c r="AS54" s="50"/>
    </row>
    <row r="55" spans="1:45" s="49" customFormat="1" ht="12.75" customHeight="1">
      <c r="A55" s="28" t="s">
        <v>74</v>
      </c>
      <c r="C55" s="28" t="s">
        <v>27</v>
      </c>
      <c r="E55" s="45">
        <v>13616055</v>
      </c>
      <c r="F55" s="45"/>
      <c r="G55" s="45">
        <v>15173880</v>
      </c>
      <c r="H55" s="45"/>
      <c r="I55" s="45">
        <v>1717269</v>
      </c>
      <c r="J55" s="45"/>
      <c r="K55" s="45">
        <v>357744</v>
      </c>
      <c r="L55" s="45"/>
      <c r="M55" s="45">
        <v>2997055</v>
      </c>
      <c r="N55" s="45"/>
      <c r="O55" s="45">
        <v>1849152</v>
      </c>
      <c r="P55" s="45"/>
      <c r="Q55" s="45">
        <v>2116004</v>
      </c>
      <c r="R55" s="45"/>
      <c r="S55" s="45">
        <v>91947</v>
      </c>
      <c r="T55" s="45"/>
      <c r="U55" s="45">
        <v>0</v>
      </c>
      <c r="V55" s="45"/>
      <c r="W55" s="45">
        <v>15723</v>
      </c>
      <c r="X55" s="45"/>
      <c r="Y55" s="45">
        <v>509</v>
      </c>
      <c r="Z55" s="44"/>
      <c r="AA55" s="45">
        <v>0</v>
      </c>
      <c r="AB55" s="44"/>
      <c r="AC55" s="45">
        <f t="shared" si="1"/>
        <v>37935338</v>
      </c>
      <c r="AD55" s="45"/>
      <c r="AE55" s="48">
        <v>0</v>
      </c>
      <c r="AF55" s="48"/>
      <c r="AG55" s="45">
        <v>3351610</v>
      </c>
      <c r="AH55" s="45"/>
      <c r="AI55" s="45">
        <v>5806251</v>
      </c>
      <c r="AJ55" s="45"/>
      <c r="AK55" s="45">
        <v>0</v>
      </c>
      <c r="AL55" s="45"/>
      <c r="AM55" s="45">
        <f>+'Gen rev'!U55-'Gen exp'!AC55-AG55+'Gen rev'!W55+AI55+AK55-'Gen Bal'!S55-'Gen exp'!AE55</f>
        <v>0</v>
      </c>
      <c r="AN55" s="48"/>
      <c r="AO55" s="48"/>
      <c r="AP55" s="48"/>
      <c r="AQ55" s="48"/>
      <c r="AR55" s="52"/>
      <c r="AS55" s="50"/>
    </row>
    <row r="56" spans="1:45" s="49" customFormat="1" ht="12.75" customHeight="1">
      <c r="A56" s="28" t="s">
        <v>75</v>
      </c>
      <c r="C56" s="28" t="s">
        <v>76</v>
      </c>
      <c r="E56" s="45">
        <v>1003248</v>
      </c>
      <c r="F56" s="45"/>
      <c r="G56" s="45">
        <v>1777797</v>
      </c>
      <c r="H56" s="45"/>
      <c r="I56" s="45">
        <v>282988</v>
      </c>
      <c r="J56" s="45"/>
      <c r="K56" s="45">
        <v>431721</v>
      </c>
      <c r="L56" s="45"/>
      <c r="M56" s="45">
        <v>0</v>
      </c>
      <c r="N56" s="45"/>
      <c r="O56" s="45">
        <v>0</v>
      </c>
      <c r="P56" s="45"/>
      <c r="Q56" s="45">
        <v>0</v>
      </c>
      <c r="R56" s="45"/>
      <c r="S56" s="45">
        <v>0</v>
      </c>
      <c r="T56" s="45"/>
      <c r="U56" s="45">
        <v>0</v>
      </c>
      <c r="V56" s="45"/>
      <c r="W56" s="45">
        <v>109323</v>
      </c>
      <c r="X56" s="45"/>
      <c r="Y56" s="45">
        <v>15141</v>
      </c>
      <c r="Z56" s="44"/>
      <c r="AA56" s="45">
        <v>0</v>
      </c>
      <c r="AB56" s="44"/>
      <c r="AC56" s="45">
        <f t="shared" si="1"/>
        <v>3620218</v>
      </c>
      <c r="AD56" s="45"/>
      <c r="AE56" s="48">
        <v>0</v>
      </c>
      <c r="AF56" s="48"/>
      <c r="AG56" s="45">
        <v>132448</v>
      </c>
      <c r="AH56" s="45"/>
      <c r="AI56" s="45">
        <v>423208</v>
      </c>
      <c r="AJ56" s="45"/>
      <c r="AK56" s="45">
        <v>0</v>
      </c>
      <c r="AL56" s="45"/>
      <c r="AM56" s="45">
        <f>+'Gen rev'!U56-'Gen exp'!AC56-AG56+'Gen rev'!W56+AI56+AK56-'Gen Bal'!S56-'Gen exp'!AE56</f>
        <v>0</v>
      </c>
      <c r="AN56" s="45"/>
      <c r="AO56" s="45"/>
      <c r="AP56" s="45"/>
      <c r="AQ56" s="45"/>
      <c r="AR56" s="52"/>
      <c r="AS56" s="50"/>
    </row>
    <row r="57" spans="1:45" s="49" customFormat="1" ht="12.75" customHeight="1">
      <c r="A57" s="28" t="s">
        <v>77</v>
      </c>
      <c r="C57" s="28" t="s">
        <v>43</v>
      </c>
      <c r="E57" s="45">
        <v>91951000</v>
      </c>
      <c r="F57" s="45"/>
      <c r="G57" s="45">
        <v>473625000</v>
      </c>
      <c r="H57" s="45"/>
      <c r="I57" s="45">
        <v>20971000</v>
      </c>
      <c r="J57" s="45"/>
      <c r="K57" s="45">
        <v>0</v>
      </c>
      <c r="L57" s="45"/>
      <c r="M57" s="45">
        <v>40030000</v>
      </c>
      <c r="N57" s="45"/>
      <c r="O57" s="45">
        <v>0</v>
      </c>
      <c r="P57" s="45"/>
      <c r="Q57" s="45">
        <v>0</v>
      </c>
      <c r="R57" s="45"/>
      <c r="S57" s="45">
        <v>1107000</v>
      </c>
      <c r="T57" s="45"/>
      <c r="U57" s="45">
        <v>0</v>
      </c>
      <c r="V57" s="45"/>
      <c r="W57" s="45">
        <v>0</v>
      </c>
      <c r="X57" s="45"/>
      <c r="Y57" s="45">
        <v>0</v>
      </c>
      <c r="Z57" s="44"/>
      <c r="AA57" s="45">
        <v>0</v>
      </c>
      <c r="AB57" s="44"/>
      <c r="AC57" s="45">
        <f t="shared" si="1"/>
        <v>627684000</v>
      </c>
      <c r="AD57" s="45"/>
      <c r="AE57" s="48">
        <v>0</v>
      </c>
      <c r="AF57" s="48"/>
      <c r="AG57" s="45">
        <v>39349000</v>
      </c>
      <c r="AH57" s="45"/>
      <c r="AI57" s="45">
        <v>51630000</v>
      </c>
      <c r="AJ57" s="45"/>
      <c r="AK57" s="45">
        <v>0</v>
      </c>
      <c r="AL57" s="45"/>
      <c r="AM57" s="45">
        <f>+'Gen rev'!U57-'Gen exp'!AC57-AG57+'Gen rev'!W57+AI57+AK57-'Gen Bal'!S57-'Gen exp'!AE57</f>
        <v>0</v>
      </c>
      <c r="AN57" s="35"/>
      <c r="AO57" s="35"/>
      <c r="AP57" s="35"/>
      <c r="AQ57" s="35"/>
      <c r="AR57" s="50"/>
      <c r="AS57" s="50"/>
    </row>
    <row r="58" spans="1:45" s="49" customFormat="1" ht="12.75" customHeight="1">
      <c r="A58" s="28" t="s">
        <v>94</v>
      </c>
      <c r="C58" s="28" t="s">
        <v>94</v>
      </c>
      <c r="E58" s="45">
        <v>274146</v>
      </c>
      <c r="F58" s="45"/>
      <c r="G58" s="45">
        <v>1295777</v>
      </c>
      <c r="H58" s="45"/>
      <c r="I58" s="45">
        <v>0</v>
      </c>
      <c r="J58" s="45"/>
      <c r="K58" s="45">
        <v>0</v>
      </c>
      <c r="L58" s="45"/>
      <c r="M58" s="45">
        <v>0</v>
      </c>
      <c r="N58" s="45"/>
      <c r="O58" s="45">
        <v>0</v>
      </c>
      <c r="P58" s="45"/>
      <c r="Q58" s="45">
        <v>0</v>
      </c>
      <c r="R58" s="45"/>
      <c r="S58" s="45">
        <v>0</v>
      </c>
      <c r="T58" s="45"/>
      <c r="U58" s="45">
        <v>0</v>
      </c>
      <c r="V58" s="45"/>
      <c r="W58" s="45">
        <v>0</v>
      </c>
      <c r="X58" s="45"/>
      <c r="Y58" s="45">
        <v>0</v>
      </c>
      <c r="Z58" s="44"/>
      <c r="AA58" s="45">
        <v>0</v>
      </c>
      <c r="AB58" s="44"/>
      <c r="AC58" s="45">
        <f t="shared" si="1"/>
        <v>1569923</v>
      </c>
      <c r="AD58" s="45"/>
      <c r="AE58" s="48">
        <v>0</v>
      </c>
      <c r="AF58" s="48"/>
      <c r="AG58" s="45">
        <v>398400</v>
      </c>
      <c r="AH58" s="45"/>
      <c r="AI58" s="45">
        <v>169989</v>
      </c>
      <c r="AJ58" s="45"/>
      <c r="AK58" s="45">
        <v>0</v>
      </c>
      <c r="AL58" s="45"/>
      <c r="AM58" s="45">
        <f>+'Gen rev'!U59-'Gen exp'!AC58-AG58+'Gen rev'!W59+AI58+AK58-'Gen Bal'!S58-'Gen exp'!AE58</f>
        <v>0</v>
      </c>
      <c r="AN58" s="44"/>
      <c r="AO58" s="44"/>
      <c r="AP58" s="44"/>
      <c r="AQ58" s="44"/>
    </row>
    <row r="59" spans="1:45" s="49" customFormat="1" ht="12.75" customHeight="1">
      <c r="A59" s="28" t="s">
        <v>78</v>
      </c>
      <c r="C59" s="28" t="s">
        <v>19</v>
      </c>
      <c r="E59" s="45">
        <v>1195724</v>
      </c>
      <c r="F59" s="45"/>
      <c r="G59" s="45">
        <v>2257891</v>
      </c>
      <c r="H59" s="45"/>
      <c r="I59" s="45">
        <v>69966</v>
      </c>
      <c r="J59" s="45"/>
      <c r="K59" s="45">
        <v>312852</v>
      </c>
      <c r="L59" s="45"/>
      <c r="M59" s="45">
        <v>0</v>
      </c>
      <c r="N59" s="45"/>
      <c r="O59" s="45">
        <v>40889</v>
      </c>
      <c r="P59" s="45"/>
      <c r="Q59" s="45">
        <v>3112</v>
      </c>
      <c r="R59" s="45"/>
      <c r="S59" s="45">
        <v>0</v>
      </c>
      <c r="T59" s="45"/>
      <c r="U59" s="45">
        <v>0</v>
      </c>
      <c r="V59" s="45"/>
      <c r="W59" s="45">
        <v>50914</v>
      </c>
      <c r="X59" s="45"/>
      <c r="Y59" s="45">
        <v>8776</v>
      </c>
      <c r="Z59" s="44"/>
      <c r="AA59" s="45">
        <v>0</v>
      </c>
      <c r="AB59" s="44"/>
      <c r="AC59" s="45">
        <f t="shared" si="1"/>
        <v>3940124</v>
      </c>
      <c r="AD59" s="45"/>
      <c r="AE59" s="48">
        <v>0</v>
      </c>
      <c r="AF59" s="48"/>
      <c r="AG59" s="45">
        <v>60750</v>
      </c>
      <c r="AH59" s="45"/>
      <c r="AI59" s="45">
        <v>422459</v>
      </c>
      <c r="AJ59" s="45"/>
      <c r="AK59" s="45">
        <v>0</v>
      </c>
      <c r="AL59" s="45"/>
      <c r="AM59" s="45">
        <f>+'Gen rev'!U60-'Gen exp'!AC59-AG59+'Gen rev'!W60+AI59+AK59-'Gen Bal'!S59-'Gen exp'!AE59</f>
        <v>0</v>
      </c>
      <c r="AN59" s="44"/>
      <c r="AO59" s="44"/>
      <c r="AP59" s="44"/>
      <c r="AQ59" s="44"/>
    </row>
    <row r="60" spans="1:45" s="49" customFormat="1" ht="12.75" customHeight="1">
      <c r="A60" s="28" t="s">
        <v>79</v>
      </c>
      <c r="C60" s="28" t="s">
        <v>80</v>
      </c>
      <c r="E60" s="45">
        <v>777362</v>
      </c>
      <c r="F60" s="45"/>
      <c r="G60" s="45">
        <v>45671</v>
      </c>
      <c r="H60" s="45"/>
      <c r="I60" s="45">
        <v>47319</v>
      </c>
      <c r="J60" s="45"/>
      <c r="K60" s="45">
        <v>0</v>
      </c>
      <c r="L60" s="45"/>
      <c r="M60" s="45">
        <v>0</v>
      </c>
      <c r="N60" s="45"/>
      <c r="O60" s="45">
        <v>13610</v>
      </c>
      <c r="P60" s="45"/>
      <c r="Q60" s="45">
        <v>29590</v>
      </c>
      <c r="R60" s="45"/>
      <c r="S60" s="45">
        <v>0</v>
      </c>
      <c r="T60" s="45"/>
      <c r="U60" s="45">
        <v>0</v>
      </c>
      <c r="V60" s="45"/>
      <c r="W60" s="45">
        <v>0</v>
      </c>
      <c r="X60" s="45"/>
      <c r="Y60" s="45">
        <v>0</v>
      </c>
      <c r="Z60" s="44"/>
      <c r="AA60" s="45">
        <v>0</v>
      </c>
      <c r="AB60" s="44"/>
      <c r="AC60" s="45">
        <f t="shared" si="1"/>
        <v>913552</v>
      </c>
      <c r="AD60" s="45"/>
      <c r="AE60" s="48">
        <v>0</v>
      </c>
      <c r="AF60" s="48"/>
      <c r="AG60" s="45">
        <v>56000</v>
      </c>
      <c r="AH60" s="45"/>
      <c r="AI60" s="45">
        <v>694376</v>
      </c>
      <c r="AJ60" s="45"/>
      <c r="AK60" s="45">
        <v>0</v>
      </c>
      <c r="AL60" s="45"/>
      <c r="AM60" s="45">
        <f>+'Gen rev'!U61-'Gen exp'!AC60-AG60+'Gen rev'!W61+AI60+AK60-'Gen Bal'!S61-'Gen exp'!AE60</f>
        <v>0</v>
      </c>
      <c r="AN60" s="44"/>
      <c r="AO60" s="44"/>
      <c r="AP60" s="44"/>
      <c r="AQ60" s="44"/>
    </row>
    <row r="61" spans="1:45" s="49" customFormat="1" ht="12.75" customHeight="1">
      <c r="A61" s="28" t="s">
        <v>81</v>
      </c>
      <c r="C61" s="28" t="s">
        <v>81</v>
      </c>
      <c r="E61" s="45">
        <v>1562177</v>
      </c>
      <c r="F61" s="45"/>
      <c r="G61" s="45">
        <v>2168901</v>
      </c>
      <c r="H61" s="45"/>
      <c r="I61" s="45">
        <v>15176</v>
      </c>
      <c r="J61" s="45"/>
      <c r="K61" s="45">
        <v>377359</v>
      </c>
      <c r="L61" s="45"/>
      <c r="M61" s="45">
        <v>0</v>
      </c>
      <c r="N61" s="45"/>
      <c r="O61" s="45">
        <v>135082</v>
      </c>
      <c r="P61" s="45"/>
      <c r="Q61" s="45">
        <v>0</v>
      </c>
      <c r="R61" s="45"/>
      <c r="S61" s="45">
        <v>0</v>
      </c>
      <c r="T61" s="45"/>
      <c r="U61" s="45">
        <v>0</v>
      </c>
      <c r="V61" s="45"/>
      <c r="W61" s="45">
        <v>0</v>
      </c>
      <c r="X61" s="45"/>
      <c r="Y61" s="45">
        <v>0</v>
      </c>
      <c r="Z61" s="44"/>
      <c r="AA61" s="45">
        <v>0</v>
      </c>
      <c r="AB61" s="44"/>
      <c r="AC61" s="45">
        <f t="shared" si="1"/>
        <v>4258695</v>
      </c>
      <c r="AD61" s="45"/>
      <c r="AE61" s="48">
        <v>0</v>
      </c>
      <c r="AF61" s="48"/>
      <c r="AG61" s="45">
        <v>0</v>
      </c>
      <c r="AH61" s="45"/>
      <c r="AI61" s="45">
        <v>210246</v>
      </c>
      <c r="AJ61" s="45"/>
      <c r="AK61" s="45">
        <v>0</v>
      </c>
      <c r="AL61" s="45"/>
      <c r="AM61" s="45">
        <f>+'Gen rev'!U62-'Gen exp'!AC61-AG61+'Gen rev'!W62+AI61+AK61-'Gen Bal'!S62-'Gen exp'!AE61</f>
        <v>0</v>
      </c>
      <c r="AN61" s="44"/>
      <c r="AO61" s="44"/>
      <c r="AP61" s="44"/>
      <c r="AQ61" s="44"/>
    </row>
    <row r="62" spans="1:45" s="123" customFormat="1" ht="12.75" hidden="1" customHeight="1">
      <c r="A62" s="122" t="s">
        <v>465</v>
      </c>
      <c r="B62" s="122"/>
      <c r="C62" s="122" t="s">
        <v>57</v>
      </c>
      <c r="D62" s="129"/>
      <c r="E62" s="127">
        <v>0</v>
      </c>
      <c r="F62" s="127"/>
      <c r="G62" s="127">
        <v>0</v>
      </c>
      <c r="H62" s="127"/>
      <c r="I62" s="127">
        <v>0</v>
      </c>
      <c r="J62" s="127"/>
      <c r="K62" s="127">
        <v>0</v>
      </c>
      <c r="L62" s="127"/>
      <c r="M62" s="127">
        <v>0</v>
      </c>
      <c r="N62" s="127"/>
      <c r="O62" s="127">
        <v>0</v>
      </c>
      <c r="P62" s="127"/>
      <c r="Q62" s="127">
        <v>0</v>
      </c>
      <c r="R62" s="127"/>
      <c r="S62" s="127">
        <v>0</v>
      </c>
      <c r="T62" s="127"/>
      <c r="U62" s="127">
        <v>0</v>
      </c>
      <c r="V62" s="127"/>
      <c r="W62" s="127">
        <v>0</v>
      </c>
      <c r="X62" s="127"/>
      <c r="Y62" s="127">
        <v>0</v>
      </c>
      <c r="Z62" s="121"/>
      <c r="AA62" s="127">
        <v>0</v>
      </c>
      <c r="AB62" s="121"/>
      <c r="AC62" s="127">
        <f t="shared" si="1"/>
        <v>0</v>
      </c>
      <c r="AD62" s="127"/>
      <c r="AE62" s="130">
        <v>0</v>
      </c>
      <c r="AF62" s="130"/>
      <c r="AG62" s="127">
        <v>0</v>
      </c>
      <c r="AH62" s="127"/>
      <c r="AI62" s="127">
        <v>0</v>
      </c>
      <c r="AJ62" s="127"/>
      <c r="AK62" s="127">
        <v>0</v>
      </c>
      <c r="AL62" s="127"/>
      <c r="AM62" s="127">
        <f>+'Gen rev'!U63-'Gen exp'!AC62-AG62+'Gen rev'!W63+AI62+AK62-'Gen Bal'!S63-'Gen exp'!AE62</f>
        <v>0</v>
      </c>
    </row>
    <row r="63" spans="1:45" s="49" customFormat="1" ht="12.75" customHeight="1">
      <c r="A63" s="28" t="s">
        <v>82</v>
      </c>
      <c r="C63" s="28" t="s">
        <v>13</v>
      </c>
      <c r="E63" s="45">
        <v>5758696</v>
      </c>
      <c r="F63" s="45"/>
      <c r="G63" s="45">
        <v>17446275</v>
      </c>
      <c r="H63" s="45"/>
      <c r="I63" s="45">
        <v>1228223</v>
      </c>
      <c r="J63" s="45"/>
      <c r="K63" s="45">
        <v>0</v>
      </c>
      <c r="L63" s="45"/>
      <c r="M63" s="45">
        <v>0</v>
      </c>
      <c r="N63" s="45"/>
      <c r="O63" s="45">
        <v>2036439</v>
      </c>
      <c r="P63" s="45"/>
      <c r="Q63" s="45">
        <v>0</v>
      </c>
      <c r="R63" s="45"/>
      <c r="S63" s="45">
        <v>0</v>
      </c>
      <c r="T63" s="45"/>
      <c r="U63" s="45">
        <v>0</v>
      </c>
      <c r="V63" s="45"/>
      <c r="W63" s="45">
        <v>0</v>
      </c>
      <c r="X63" s="45"/>
      <c r="Y63" s="45">
        <v>0</v>
      </c>
      <c r="Z63" s="44"/>
      <c r="AA63" s="45">
        <v>0</v>
      </c>
      <c r="AB63" s="44"/>
      <c r="AC63" s="45">
        <f t="shared" si="1"/>
        <v>26469633</v>
      </c>
      <c r="AD63" s="45"/>
      <c r="AE63" s="48">
        <v>0</v>
      </c>
      <c r="AF63" s="48"/>
      <c r="AG63" s="45">
        <v>5066216</v>
      </c>
      <c r="AH63" s="45"/>
      <c r="AI63" s="45">
        <v>6623137</v>
      </c>
      <c r="AJ63" s="45"/>
      <c r="AK63" s="45">
        <f>-6691-2712</f>
        <v>-9403</v>
      </c>
      <c r="AL63" s="45"/>
      <c r="AM63" s="45">
        <f>+'Gen rev'!U64-'Gen exp'!AC63-AG63+'Gen rev'!W64+AI63+AK63-'Gen Bal'!S64-'Gen exp'!AE63</f>
        <v>0</v>
      </c>
      <c r="AN63" s="44"/>
      <c r="AO63" s="44"/>
      <c r="AP63" s="44"/>
      <c r="AQ63" s="44"/>
    </row>
    <row r="64" spans="1:45" s="49" customFormat="1" ht="12.75" customHeight="1">
      <c r="A64" s="64" t="s">
        <v>83</v>
      </c>
      <c r="B64" s="46"/>
      <c r="C64" s="64" t="s">
        <v>66</v>
      </c>
      <c r="D64" s="46"/>
      <c r="E64" s="45">
        <v>13632637</v>
      </c>
      <c r="F64" s="45"/>
      <c r="G64" s="45">
        <v>89644301</v>
      </c>
      <c r="H64" s="45"/>
      <c r="I64" s="45">
        <f>11993079+3202710</f>
        <v>15195789</v>
      </c>
      <c r="J64" s="45"/>
      <c r="K64" s="45">
        <v>40130</v>
      </c>
      <c r="L64" s="45"/>
      <c r="M64" s="45">
        <v>3549220</v>
      </c>
      <c r="N64" s="45"/>
      <c r="O64" s="45">
        <v>0</v>
      </c>
      <c r="P64" s="45"/>
      <c r="Q64" s="45">
        <v>25598035</v>
      </c>
      <c r="R64" s="45"/>
      <c r="S64" s="45">
        <v>0</v>
      </c>
      <c r="T64" s="45"/>
      <c r="U64" s="45">
        <v>0</v>
      </c>
      <c r="V64" s="45"/>
      <c r="W64" s="45">
        <v>0</v>
      </c>
      <c r="X64" s="45"/>
      <c r="Y64" s="45">
        <v>0</v>
      </c>
      <c r="Z64" s="44"/>
      <c r="AA64" s="45">
        <v>0</v>
      </c>
      <c r="AB64" s="44"/>
      <c r="AC64" s="45">
        <f t="shared" si="1"/>
        <v>147660112</v>
      </c>
      <c r="AD64" s="45"/>
      <c r="AE64" s="48">
        <v>0</v>
      </c>
      <c r="AF64" s="48"/>
      <c r="AG64" s="45">
        <v>9552426</v>
      </c>
      <c r="AH64" s="45"/>
      <c r="AI64" s="45">
        <v>35838414</v>
      </c>
      <c r="AJ64" s="45"/>
      <c r="AK64" s="45">
        <v>0</v>
      </c>
      <c r="AL64" s="45"/>
      <c r="AM64" s="45">
        <f>+'Gen rev'!U65-'Gen exp'!AC64-AG64+'Gen rev'!W65+AI64+AK64-'Gen Bal'!S65-'Gen exp'!AE64</f>
        <v>0</v>
      </c>
      <c r="AN64" s="44"/>
      <c r="AO64" s="44"/>
      <c r="AP64" s="44"/>
      <c r="AQ64" s="44"/>
    </row>
    <row r="65" spans="1:45" s="49" customFormat="1" ht="12.75" customHeight="1">
      <c r="A65" s="64" t="s">
        <v>84</v>
      </c>
      <c r="B65" s="46"/>
      <c r="C65" s="64" t="s">
        <v>45</v>
      </c>
      <c r="D65" s="46"/>
      <c r="E65" s="45">
        <v>1245073</v>
      </c>
      <c r="F65" s="45"/>
      <c r="G65" s="45">
        <v>1197687</v>
      </c>
      <c r="H65" s="45"/>
      <c r="I65" s="45">
        <v>928</v>
      </c>
      <c r="J65" s="45"/>
      <c r="K65" s="45">
        <v>0</v>
      </c>
      <c r="L65" s="45"/>
      <c r="M65" s="45">
        <v>37130</v>
      </c>
      <c r="N65" s="45"/>
      <c r="O65" s="45">
        <v>33047</v>
      </c>
      <c r="P65" s="45"/>
      <c r="Q65" s="45">
        <v>0</v>
      </c>
      <c r="R65" s="45"/>
      <c r="S65" s="45">
        <v>10095</v>
      </c>
      <c r="T65" s="45"/>
      <c r="U65" s="45">
        <v>0</v>
      </c>
      <c r="V65" s="45"/>
      <c r="W65" s="45">
        <v>24612</v>
      </c>
      <c r="X65" s="45"/>
      <c r="Y65" s="45">
        <v>2151</v>
      </c>
      <c r="Z65" s="44"/>
      <c r="AA65" s="45">
        <v>0</v>
      </c>
      <c r="AB65" s="44"/>
      <c r="AC65" s="45">
        <f t="shared" si="1"/>
        <v>2550723</v>
      </c>
      <c r="AD65" s="45"/>
      <c r="AE65" s="48">
        <v>0</v>
      </c>
      <c r="AF65" s="48"/>
      <c r="AG65" s="45">
        <v>213188</v>
      </c>
      <c r="AH65" s="45"/>
      <c r="AI65" s="45">
        <v>1284955</v>
      </c>
      <c r="AJ65" s="45"/>
      <c r="AK65" s="45">
        <v>0</v>
      </c>
      <c r="AL65" s="45"/>
      <c r="AM65" s="45">
        <f>+'Gen rev'!U66-'Gen exp'!AC65-AG65+'Gen rev'!W66+AI65+AK65-'Gen Bal'!S66-'Gen exp'!AE65</f>
        <v>0</v>
      </c>
      <c r="AN65" s="44"/>
      <c r="AO65" s="44"/>
      <c r="AP65" s="44"/>
      <c r="AQ65" s="44"/>
    </row>
    <row r="66" spans="1:45" s="46" customFormat="1" ht="12.75" customHeight="1">
      <c r="A66" s="28" t="s">
        <v>85</v>
      </c>
      <c r="B66" s="49"/>
      <c r="C66" s="28" t="s">
        <v>85</v>
      </c>
      <c r="D66" s="49"/>
      <c r="E66" s="45">
        <v>2792555</v>
      </c>
      <c r="F66" s="45"/>
      <c r="G66" s="45">
        <v>4509749</v>
      </c>
      <c r="H66" s="45"/>
      <c r="I66" s="45">
        <f>502949+52629</f>
        <v>555578</v>
      </c>
      <c r="J66" s="45"/>
      <c r="K66" s="45">
        <v>209367</v>
      </c>
      <c r="L66" s="45"/>
      <c r="M66" s="45">
        <v>0</v>
      </c>
      <c r="N66" s="45"/>
      <c r="O66" s="45">
        <v>542834</v>
      </c>
      <c r="P66" s="45"/>
      <c r="Q66" s="45">
        <v>0</v>
      </c>
      <c r="R66" s="45"/>
      <c r="S66" s="45">
        <v>0</v>
      </c>
      <c r="T66" s="45"/>
      <c r="U66" s="45">
        <v>0</v>
      </c>
      <c r="V66" s="45"/>
      <c r="W66" s="45">
        <v>5160</v>
      </c>
      <c r="X66" s="45"/>
      <c r="Y66" s="45">
        <v>378</v>
      </c>
      <c r="Z66" s="44"/>
      <c r="AA66" s="45">
        <v>0</v>
      </c>
      <c r="AB66" s="44"/>
      <c r="AC66" s="45">
        <f t="shared" si="1"/>
        <v>8615621</v>
      </c>
      <c r="AD66" s="45"/>
      <c r="AE66" s="48">
        <v>0</v>
      </c>
      <c r="AF66" s="48"/>
      <c r="AG66" s="45">
        <v>444000</v>
      </c>
      <c r="AH66" s="45"/>
      <c r="AI66" s="45">
        <v>2343146</v>
      </c>
      <c r="AJ66" s="45"/>
      <c r="AK66" s="45">
        <v>0</v>
      </c>
      <c r="AL66" s="45"/>
      <c r="AM66" s="45">
        <f>+'Gen rev'!U67-'Gen exp'!AC66-AG66+'Gen rev'!W67+AI66+AK66-'Gen Bal'!S67-'Gen exp'!AE66</f>
        <v>0</v>
      </c>
    </row>
    <row r="67" spans="1:45" s="44" customFormat="1" ht="12.75" customHeight="1">
      <c r="A67" s="35" t="s">
        <v>86</v>
      </c>
      <c r="C67" s="35" t="s">
        <v>86</v>
      </c>
      <c r="E67" s="45">
        <v>3907997</v>
      </c>
      <c r="F67" s="45"/>
      <c r="G67" s="45">
        <f>6302547+972190+669365</f>
        <v>7944102</v>
      </c>
      <c r="H67" s="45"/>
      <c r="I67" s="45">
        <v>169635</v>
      </c>
      <c r="J67" s="45"/>
      <c r="K67" s="45">
        <v>0</v>
      </c>
      <c r="L67" s="45"/>
      <c r="M67" s="45">
        <v>0</v>
      </c>
      <c r="N67" s="45"/>
      <c r="O67" s="45">
        <v>0</v>
      </c>
      <c r="P67" s="45"/>
      <c r="Q67" s="45">
        <v>0</v>
      </c>
      <c r="R67" s="45"/>
      <c r="S67" s="45">
        <v>0</v>
      </c>
      <c r="T67" s="45"/>
      <c r="U67" s="45">
        <v>0</v>
      </c>
      <c r="V67" s="45"/>
      <c r="W67" s="45">
        <v>0</v>
      </c>
      <c r="X67" s="45"/>
      <c r="Y67" s="45">
        <v>0</v>
      </c>
      <c r="AA67" s="45">
        <v>0</v>
      </c>
      <c r="AC67" s="45">
        <f t="shared" si="1"/>
        <v>12021734</v>
      </c>
      <c r="AD67" s="45"/>
      <c r="AE67" s="48">
        <v>0</v>
      </c>
      <c r="AF67" s="48"/>
      <c r="AG67" s="45">
        <v>3299640</v>
      </c>
      <c r="AH67" s="45"/>
      <c r="AI67" s="45">
        <v>3674881</v>
      </c>
      <c r="AJ67" s="45"/>
      <c r="AK67" s="45">
        <v>0</v>
      </c>
      <c r="AL67" s="45"/>
      <c r="AM67" s="45">
        <f>+'Gen rev'!U68-'Gen exp'!AC67-AG67+'Gen rev'!W68+AI67+AK67-'Gen Bal'!S68-'Gen exp'!AE67</f>
        <v>0</v>
      </c>
    </row>
    <row r="68" spans="1:45" s="46" customFormat="1" ht="12.75" customHeight="1">
      <c r="A68" s="64"/>
      <c r="C68" s="64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4"/>
      <c r="AA68" s="45"/>
      <c r="AB68" s="44"/>
      <c r="AC68" s="45"/>
      <c r="AD68" s="45"/>
      <c r="AE68" s="48"/>
      <c r="AF68" s="48"/>
      <c r="AG68" s="48" t="s">
        <v>484</v>
      </c>
      <c r="AH68" s="45"/>
      <c r="AI68" s="45"/>
      <c r="AJ68" s="45"/>
      <c r="AK68" s="48"/>
      <c r="AL68" s="45"/>
      <c r="AM68" s="45"/>
    </row>
    <row r="69" spans="1:45" s="46" customFormat="1" ht="12.75" customHeight="1">
      <c r="A69" s="64" t="s">
        <v>87</v>
      </c>
      <c r="C69" s="64" t="s">
        <v>88</v>
      </c>
      <c r="E69" s="94">
        <v>243460</v>
      </c>
      <c r="F69" s="94"/>
      <c r="G69" s="94">
        <v>1973528</v>
      </c>
      <c r="H69" s="94"/>
      <c r="I69" s="94">
        <v>0</v>
      </c>
      <c r="J69" s="94"/>
      <c r="K69" s="94">
        <v>51650</v>
      </c>
      <c r="L69" s="94"/>
      <c r="M69" s="94">
        <v>0</v>
      </c>
      <c r="N69" s="94"/>
      <c r="O69" s="94">
        <v>410766</v>
      </c>
      <c r="P69" s="94"/>
      <c r="Q69" s="94">
        <v>0</v>
      </c>
      <c r="R69" s="94"/>
      <c r="S69" s="94">
        <v>79497</v>
      </c>
      <c r="T69" s="94"/>
      <c r="U69" s="94">
        <v>0</v>
      </c>
      <c r="V69" s="94"/>
      <c r="W69" s="94">
        <v>0</v>
      </c>
      <c r="X69" s="94"/>
      <c r="Y69" s="94">
        <v>0</v>
      </c>
      <c r="AA69" s="94">
        <v>0</v>
      </c>
      <c r="AC69" s="94">
        <f t="shared" si="1"/>
        <v>2758901</v>
      </c>
      <c r="AD69" s="94"/>
      <c r="AE69" s="68">
        <v>0</v>
      </c>
      <c r="AF69" s="68"/>
      <c r="AG69" s="94">
        <v>185000</v>
      </c>
      <c r="AH69" s="94"/>
      <c r="AI69" s="94">
        <v>551608</v>
      </c>
      <c r="AJ69" s="94"/>
      <c r="AK69" s="94">
        <v>0</v>
      </c>
      <c r="AL69" s="94"/>
      <c r="AM69" s="94">
        <f>+'Gen rev'!U69-'Gen exp'!AC69-AG69+'Gen rev'!W69+AI69+AK69-'Gen Bal'!S69-'Gen exp'!AE69</f>
        <v>0</v>
      </c>
    </row>
    <row r="70" spans="1:45" s="44" customFormat="1" ht="12.75" customHeight="1">
      <c r="A70" s="35" t="s">
        <v>394</v>
      </c>
      <c r="C70" s="35" t="s">
        <v>89</v>
      </c>
      <c r="E70" s="45">
        <v>1114329</v>
      </c>
      <c r="F70" s="45"/>
      <c r="G70" s="45">
        <v>3532367</v>
      </c>
      <c r="H70" s="45"/>
      <c r="I70" s="45">
        <v>103808</v>
      </c>
      <c r="J70" s="45"/>
      <c r="K70" s="45">
        <v>9324</v>
      </c>
      <c r="L70" s="45"/>
      <c r="M70" s="45">
        <v>0</v>
      </c>
      <c r="N70" s="45"/>
      <c r="O70" s="45">
        <v>823753</v>
      </c>
      <c r="P70" s="45"/>
      <c r="Q70" s="45">
        <v>610467</v>
      </c>
      <c r="R70" s="45"/>
      <c r="S70" s="45">
        <v>0</v>
      </c>
      <c r="T70" s="45"/>
      <c r="U70" s="45">
        <v>0</v>
      </c>
      <c r="V70" s="45"/>
      <c r="W70" s="45">
        <v>0</v>
      </c>
      <c r="X70" s="45"/>
      <c r="Y70" s="45">
        <v>0</v>
      </c>
      <c r="AA70" s="44">
        <v>0</v>
      </c>
      <c r="AC70" s="45">
        <f t="shared" ref="AC70" si="2">SUM(E70:AA70)</f>
        <v>6194048</v>
      </c>
      <c r="AD70" s="45"/>
      <c r="AE70" s="48">
        <v>0</v>
      </c>
      <c r="AF70" s="48"/>
      <c r="AG70" s="45">
        <v>0</v>
      </c>
      <c r="AH70" s="45"/>
      <c r="AI70" s="45">
        <v>573465</v>
      </c>
      <c r="AJ70" s="45"/>
      <c r="AK70" s="45">
        <v>0</v>
      </c>
      <c r="AL70" s="45"/>
      <c r="AM70" s="45">
        <f>+'Gen rev'!U70-'Gen exp'!AC70-AG70+'Gen rev'!W70+AI70+AK70-'Gen Bal'!S70-'Gen exp'!AE70</f>
        <v>0</v>
      </c>
    </row>
    <row r="71" spans="1:45" s="49" customFormat="1" ht="12.75" customHeight="1">
      <c r="A71" s="28" t="s">
        <v>90</v>
      </c>
      <c r="C71" s="28" t="s">
        <v>43</v>
      </c>
      <c r="E71" s="45">
        <v>20281325</v>
      </c>
      <c r="F71" s="45"/>
      <c r="G71" s="45">
        <v>294144</v>
      </c>
      <c r="H71" s="45"/>
      <c r="I71" s="45">
        <v>6004249</v>
      </c>
      <c r="J71" s="45"/>
      <c r="K71" s="45">
        <v>204704</v>
      </c>
      <c r="L71" s="45"/>
      <c r="M71" s="45">
        <v>0</v>
      </c>
      <c r="N71" s="45"/>
      <c r="O71" s="45">
        <v>6028171</v>
      </c>
      <c r="P71" s="45"/>
      <c r="Q71" s="45">
        <v>3217901</v>
      </c>
      <c r="R71" s="45"/>
      <c r="S71" s="45">
        <v>147904</v>
      </c>
      <c r="T71" s="45"/>
      <c r="U71" s="45">
        <v>0</v>
      </c>
      <c r="V71" s="45"/>
      <c r="W71" s="45">
        <v>0</v>
      </c>
      <c r="X71" s="45"/>
      <c r="Y71" s="45">
        <v>0</v>
      </c>
      <c r="Z71" s="44"/>
      <c r="AA71" s="45">
        <v>0</v>
      </c>
      <c r="AB71" s="44"/>
      <c r="AC71" s="45">
        <f t="shared" ref="AC71:AC130" si="3">SUM(E71:AA71)</f>
        <v>36178398</v>
      </c>
      <c r="AD71" s="45"/>
      <c r="AE71" s="48">
        <v>0</v>
      </c>
      <c r="AF71" s="48"/>
      <c r="AG71" s="45">
        <v>13900000</v>
      </c>
      <c r="AH71" s="45"/>
      <c r="AI71" s="45">
        <v>35234024</v>
      </c>
      <c r="AJ71" s="45"/>
      <c r="AK71" s="45">
        <v>0</v>
      </c>
      <c r="AL71" s="45"/>
      <c r="AM71" s="45">
        <f>+'Gen rev'!U71-'Gen exp'!AC71-AG71+'Gen rev'!W71+AI71+AK71-'Gen Bal'!S71-'Gen exp'!AE71</f>
        <v>0</v>
      </c>
      <c r="AN71" s="44"/>
      <c r="AO71" s="44"/>
      <c r="AP71" s="44"/>
      <c r="AQ71" s="44"/>
    </row>
    <row r="72" spans="1:45" s="129" customFormat="1" ht="12.75" hidden="1" customHeight="1">
      <c r="A72" s="122" t="s">
        <v>488</v>
      </c>
      <c r="B72" s="122"/>
      <c r="C72" s="122" t="s">
        <v>27</v>
      </c>
      <c r="E72" s="127">
        <v>0</v>
      </c>
      <c r="F72" s="127"/>
      <c r="G72" s="127">
        <v>0</v>
      </c>
      <c r="H72" s="127"/>
      <c r="I72" s="127">
        <v>0</v>
      </c>
      <c r="J72" s="127"/>
      <c r="K72" s="127">
        <v>0</v>
      </c>
      <c r="L72" s="127"/>
      <c r="M72" s="127">
        <v>0</v>
      </c>
      <c r="N72" s="127"/>
      <c r="O72" s="127">
        <v>0</v>
      </c>
      <c r="P72" s="127"/>
      <c r="Q72" s="127">
        <v>0</v>
      </c>
      <c r="R72" s="127"/>
      <c r="S72" s="127">
        <v>0</v>
      </c>
      <c r="T72" s="127"/>
      <c r="U72" s="127">
        <v>0</v>
      </c>
      <c r="V72" s="127"/>
      <c r="W72" s="127">
        <v>0</v>
      </c>
      <c r="X72" s="127"/>
      <c r="Y72" s="127">
        <v>0</v>
      </c>
      <c r="Z72" s="121"/>
      <c r="AA72" s="127">
        <v>0</v>
      </c>
      <c r="AB72" s="121"/>
      <c r="AC72" s="127">
        <f t="shared" si="3"/>
        <v>0</v>
      </c>
      <c r="AD72" s="127"/>
      <c r="AE72" s="130">
        <v>0</v>
      </c>
      <c r="AF72" s="130"/>
      <c r="AG72" s="127">
        <v>0</v>
      </c>
      <c r="AH72" s="127"/>
      <c r="AI72" s="127">
        <v>0</v>
      </c>
      <c r="AJ72" s="127"/>
      <c r="AK72" s="127">
        <v>0</v>
      </c>
      <c r="AL72" s="127"/>
      <c r="AM72" s="127">
        <f>+'Gen rev'!U72-'Gen exp'!AC72-AG72+'Gen rev'!W72+AI72+AK72-'Gen Bal'!S72-'Gen exp'!AE72</f>
        <v>0</v>
      </c>
      <c r="AN72" s="121"/>
      <c r="AO72" s="121"/>
      <c r="AP72" s="121"/>
      <c r="AQ72" s="121"/>
    </row>
    <row r="73" spans="1:45" s="49" customFormat="1" ht="12.75" customHeight="1">
      <c r="A73" s="44" t="s">
        <v>93</v>
      </c>
      <c r="B73" s="47"/>
      <c r="C73" s="44" t="s">
        <v>94</v>
      </c>
      <c r="E73" s="45">
        <v>1294996</v>
      </c>
      <c r="F73" s="45"/>
      <c r="G73" s="45">
        <v>0</v>
      </c>
      <c r="H73" s="45"/>
      <c r="I73" s="45">
        <v>122389</v>
      </c>
      <c r="J73" s="45"/>
      <c r="K73" s="45">
        <v>142960</v>
      </c>
      <c r="L73" s="45"/>
      <c r="M73" s="45">
        <v>0</v>
      </c>
      <c r="N73" s="45"/>
      <c r="O73" s="45">
        <v>126566</v>
      </c>
      <c r="P73" s="45"/>
      <c r="Q73" s="45">
        <v>0</v>
      </c>
      <c r="R73" s="45"/>
      <c r="S73" s="45">
        <v>0</v>
      </c>
      <c r="T73" s="45"/>
      <c r="U73" s="45">
        <v>0</v>
      </c>
      <c r="V73" s="45"/>
      <c r="W73" s="45">
        <v>880</v>
      </c>
      <c r="X73" s="45"/>
      <c r="Y73" s="45">
        <v>259</v>
      </c>
      <c r="Z73" s="44"/>
      <c r="AA73" s="45">
        <v>0</v>
      </c>
      <c r="AB73" s="44"/>
      <c r="AC73" s="45">
        <f t="shared" si="3"/>
        <v>1688050</v>
      </c>
      <c r="AD73" s="45"/>
      <c r="AE73" s="48">
        <v>0</v>
      </c>
      <c r="AF73" s="48"/>
      <c r="AG73" s="45">
        <v>2173694</v>
      </c>
      <c r="AH73" s="45"/>
      <c r="AI73" s="45">
        <v>445007</v>
      </c>
      <c r="AJ73" s="45"/>
      <c r="AK73" s="45">
        <v>0</v>
      </c>
      <c r="AL73" s="45"/>
      <c r="AM73" s="45">
        <f>+'Gen rev'!U73-'Gen exp'!AC73-AG73+'Gen rev'!W73+AI73+AK73-'Gen Bal'!S73-'Gen exp'!AE73</f>
        <v>0</v>
      </c>
      <c r="AN73" s="44"/>
      <c r="AO73" s="44"/>
      <c r="AP73" s="44"/>
      <c r="AQ73" s="44"/>
    </row>
    <row r="74" spans="1:45" s="46" customFormat="1" ht="12.75" customHeight="1">
      <c r="A74" s="64" t="s">
        <v>95</v>
      </c>
      <c r="C74" s="64" t="s">
        <v>94</v>
      </c>
      <c r="E74" s="45">
        <v>434076</v>
      </c>
      <c r="F74" s="45"/>
      <c r="G74" s="45">
        <v>879378</v>
      </c>
      <c r="H74" s="45"/>
      <c r="I74" s="45">
        <v>0</v>
      </c>
      <c r="J74" s="45"/>
      <c r="K74" s="45">
        <v>28095</v>
      </c>
      <c r="L74" s="45"/>
      <c r="M74" s="45">
        <v>0</v>
      </c>
      <c r="N74" s="45"/>
      <c r="O74" s="45">
        <v>0</v>
      </c>
      <c r="P74" s="45"/>
      <c r="Q74" s="45">
        <v>0</v>
      </c>
      <c r="R74" s="45"/>
      <c r="S74" s="45">
        <v>0</v>
      </c>
      <c r="T74" s="45"/>
      <c r="U74" s="45">
        <v>0</v>
      </c>
      <c r="V74" s="45"/>
      <c r="W74" s="45">
        <v>2472</v>
      </c>
      <c r="X74" s="45"/>
      <c r="Y74" s="45">
        <v>2724</v>
      </c>
      <c r="Z74" s="44"/>
      <c r="AA74" s="45">
        <v>0</v>
      </c>
      <c r="AB74" s="44"/>
      <c r="AC74" s="45">
        <f t="shared" si="3"/>
        <v>1346745</v>
      </c>
      <c r="AD74" s="45"/>
      <c r="AE74" s="48">
        <v>0</v>
      </c>
      <c r="AF74" s="48"/>
      <c r="AG74" s="45">
        <v>91341</v>
      </c>
      <c r="AH74" s="45"/>
      <c r="AI74" s="45">
        <v>-482741</v>
      </c>
      <c r="AJ74" s="45"/>
      <c r="AK74" s="45">
        <v>0</v>
      </c>
      <c r="AL74" s="45"/>
      <c r="AM74" s="45">
        <f>+'Gen rev'!U74-'Gen exp'!AC74-AG74+'Gen rev'!W74+AI74+AK74-'Gen Bal'!S74-'Gen exp'!AE74</f>
        <v>0</v>
      </c>
    </row>
    <row r="75" spans="1:45" s="49" customFormat="1" ht="12.75" hidden="1" customHeight="1">
      <c r="A75" s="28" t="s">
        <v>91</v>
      </c>
      <c r="C75" s="28" t="s">
        <v>92</v>
      </c>
      <c r="E75" s="45">
        <v>0</v>
      </c>
      <c r="F75" s="45"/>
      <c r="G75" s="45">
        <v>0</v>
      </c>
      <c r="H75" s="45"/>
      <c r="I75" s="45">
        <v>0</v>
      </c>
      <c r="J75" s="45"/>
      <c r="K75" s="45">
        <v>0</v>
      </c>
      <c r="L75" s="45"/>
      <c r="M75" s="45">
        <v>0</v>
      </c>
      <c r="N75" s="45"/>
      <c r="O75" s="45">
        <v>0</v>
      </c>
      <c r="P75" s="45"/>
      <c r="Q75" s="45">
        <v>0</v>
      </c>
      <c r="R75" s="45"/>
      <c r="S75" s="45">
        <v>0</v>
      </c>
      <c r="T75" s="45"/>
      <c r="U75" s="45">
        <v>0</v>
      </c>
      <c r="V75" s="45"/>
      <c r="W75" s="45">
        <v>0</v>
      </c>
      <c r="X75" s="45"/>
      <c r="Y75" s="45">
        <v>0</v>
      </c>
      <c r="Z75" s="44"/>
      <c r="AA75" s="45">
        <v>0</v>
      </c>
      <c r="AB75" s="44"/>
      <c r="AC75" s="45">
        <f t="shared" si="3"/>
        <v>0</v>
      </c>
      <c r="AD75" s="45"/>
      <c r="AE75" s="48">
        <v>0</v>
      </c>
      <c r="AF75" s="48"/>
      <c r="AG75" s="45">
        <v>0</v>
      </c>
      <c r="AH75" s="45"/>
      <c r="AI75" s="45">
        <v>0</v>
      </c>
      <c r="AJ75" s="45"/>
      <c r="AK75" s="45">
        <v>0</v>
      </c>
      <c r="AL75" s="45"/>
      <c r="AM75" s="45">
        <f>+'Gen rev'!U75-'Gen exp'!AC75-AG75+'Gen rev'!W75+AI75+AK75-'Gen Bal'!S75-'Gen exp'!AE75</f>
        <v>0</v>
      </c>
      <c r="AN75" s="44"/>
      <c r="AO75" s="44"/>
      <c r="AP75" s="44"/>
      <c r="AQ75" s="44"/>
    </row>
    <row r="76" spans="1:45" s="49" customFormat="1" ht="12.75" customHeight="1">
      <c r="A76" s="28" t="s">
        <v>96</v>
      </c>
      <c r="C76" s="28" t="s">
        <v>97</v>
      </c>
      <c r="E76" s="45">
        <v>1350341</v>
      </c>
      <c r="F76" s="45"/>
      <c r="G76" s="45">
        <v>1137330</v>
      </c>
      <c r="H76" s="45"/>
      <c r="I76" s="45">
        <v>204942</v>
      </c>
      <c r="J76" s="45"/>
      <c r="K76" s="45">
        <v>27129</v>
      </c>
      <c r="L76" s="45"/>
      <c r="M76" s="45">
        <v>336566</v>
      </c>
      <c r="N76" s="45"/>
      <c r="O76" s="45">
        <v>0</v>
      </c>
      <c r="P76" s="45"/>
      <c r="Q76" s="45">
        <v>0</v>
      </c>
      <c r="R76" s="45"/>
      <c r="S76" s="45">
        <v>3234</v>
      </c>
      <c r="T76" s="45"/>
      <c r="U76" s="45">
        <v>0</v>
      </c>
      <c r="V76" s="45"/>
      <c r="W76" s="45">
        <v>0</v>
      </c>
      <c r="X76" s="45"/>
      <c r="Y76" s="45">
        <v>0</v>
      </c>
      <c r="Z76" s="44"/>
      <c r="AA76" s="45">
        <v>0</v>
      </c>
      <c r="AB76" s="44"/>
      <c r="AC76" s="45">
        <f t="shared" si="3"/>
        <v>3059542</v>
      </c>
      <c r="AD76" s="45"/>
      <c r="AE76" s="48">
        <v>0</v>
      </c>
      <c r="AF76" s="48"/>
      <c r="AG76" s="45">
        <v>138085</v>
      </c>
      <c r="AH76" s="45"/>
      <c r="AI76" s="45">
        <v>2308811</v>
      </c>
      <c r="AJ76" s="45"/>
      <c r="AK76" s="45">
        <v>0</v>
      </c>
      <c r="AL76" s="45"/>
      <c r="AM76" s="45">
        <f>+'Gen rev'!U76-'Gen exp'!AC76-AG76+'Gen rev'!W76+AI76+AK76-'Gen Bal'!S76-'Gen exp'!AE76</f>
        <v>0</v>
      </c>
      <c r="AN76" s="44"/>
      <c r="AO76" s="44"/>
      <c r="AP76" s="44"/>
      <c r="AQ76" s="44"/>
    </row>
    <row r="77" spans="1:45" s="49" customFormat="1" ht="12.75" customHeight="1">
      <c r="A77" s="28" t="s">
        <v>98</v>
      </c>
      <c r="C77" s="28" t="s">
        <v>17</v>
      </c>
      <c r="E77" s="45">
        <v>6379869</v>
      </c>
      <c r="F77" s="45"/>
      <c r="G77" s="45">
        <v>13703464</v>
      </c>
      <c r="H77" s="45"/>
      <c r="I77" s="45">
        <v>777326</v>
      </c>
      <c r="J77" s="45"/>
      <c r="K77" s="45">
        <v>1577353</v>
      </c>
      <c r="L77" s="45"/>
      <c r="M77" s="45">
        <v>0</v>
      </c>
      <c r="N77" s="45"/>
      <c r="O77" s="45">
        <v>1248958</v>
      </c>
      <c r="P77" s="45"/>
      <c r="Q77" s="45">
        <v>0</v>
      </c>
      <c r="R77" s="45"/>
      <c r="S77" s="45">
        <v>105242</v>
      </c>
      <c r="T77" s="45"/>
      <c r="U77" s="45">
        <v>0</v>
      </c>
      <c r="V77" s="45"/>
      <c r="W77" s="45">
        <v>0</v>
      </c>
      <c r="X77" s="45"/>
      <c r="Y77" s="45">
        <v>0</v>
      </c>
      <c r="Z77" s="44"/>
      <c r="AA77" s="45">
        <v>0</v>
      </c>
      <c r="AB77" s="44"/>
      <c r="AC77" s="45">
        <f t="shared" si="3"/>
        <v>23792212</v>
      </c>
      <c r="AD77" s="45"/>
      <c r="AE77" s="48">
        <v>0</v>
      </c>
      <c r="AF77" s="48"/>
      <c r="AG77" s="45">
        <v>272901</v>
      </c>
      <c r="AH77" s="45"/>
      <c r="AI77" s="45">
        <v>571509</v>
      </c>
      <c r="AJ77" s="45"/>
      <c r="AK77" s="45">
        <v>0</v>
      </c>
      <c r="AL77" s="45"/>
      <c r="AM77" s="45">
        <f>+'Gen rev'!U77-'Gen exp'!AC77-AG77+'Gen rev'!W77+AI77+AK77-'Gen Bal'!S77-'Gen exp'!AE77</f>
        <v>0</v>
      </c>
      <c r="AN77" s="44"/>
      <c r="AO77" s="44"/>
      <c r="AP77" s="44"/>
      <c r="AQ77" s="44"/>
    </row>
    <row r="78" spans="1:45" s="49" customFormat="1" ht="12.75" customHeight="1">
      <c r="A78" s="28" t="s">
        <v>99</v>
      </c>
      <c r="C78" s="28" t="s">
        <v>66</v>
      </c>
      <c r="E78" s="45">
        <v>1059517</v>
      </c>
      <c r="F78" s="45"/>
      <c r="G78" s="45">
        <v>0</v>
      </c>
      <c r="H78" s="45"/>
      <c r="I78" s="45">
        <v>473301</v>
      </c>
      <c r="J78" s="45"/>
      <c r="K78" s="45">
        <v>5328</v>
      </c>
      <c r="L78" s="45"/>
      <c r="M78" s="45">
        <v>0</v>
      </c>
      <c r="N78" s="45"/>
      <c r="O78" s="45">
        <v>214477</v>
      </c>
      <c r="P78" s="45"/>
      <c r="Q78" s="45">
        <v>0</v>
      </c>
      <c r="R78" s="45"/>
      <c r="S78" s="45">
        <v>0</v>
      </c>
      <c r="T78" s="45"/>
      <c r="U78" s="45">
        <v>0</v>
      </c>
      <c r="V78" s="45"/>
      <c r="W78" s="45">
        <v>0</v>
      </c>
      <c r="X78" s="45"/>
      <c r="Y78" s="45">
        <v>0</v>
      </c>
      <c r="Z78" s="44"/>
      <c r="AA78" s="45">
        <v>0</v>
      </c>
      <c r="AB78" s="44"/>
      <c r="AC78" s="45">
        <f t="shared" si="3"/>
        <v>1752623</v>
      </c>
      <c r="AD78" s="45"/>
      <c r="AE78" s="48">
        <v>0</v>
      </c>
      <c r="AF78" s="48"/>
      <c r="AG78" s="45">
        <v>5058500</v>
      </c>
      <c r="AH78" s="45"/>
      <c r="AI78" s="45">
        <v>2908878</v>
      </c>
      <c r="AJ78" s="45"/>
      <c r="AK78" s="45">
        <v>0</v>
      </c>
      <c r="AL78" s="45"/>
      <c r="AM78" s="45">
        <f>+'Gen rev'!U78-'Gen exp'!AC78-AG78+'Gen rev'!W78+AI78+AK78-'Gen Bal'!S78-'Gen exp'!AE78</f>
        <v>0</v>
      </c>
      <c r="AN78" s="44"/>
      <c r="AO78" s="44"/>
      <c r="AP78" s="44"/>
      <c r="AQ78" s="44"/>
    </row>
    <row r="79" spans="1:45" s="49" customFormat="1" ht="12.75" customHeight="1">
      <c r="A79" s="28" t="s">
        <v>100</v>
      </c>
      <c r="C79" s="28" t="s">
        <v>27</v>
      </c>
      <c r="E79" s="45">
        <v>11990915</v>
      </c>
      <c r="F79" s="45"/>
      <c r="G79" s="45">
        <v>19997562</v>
      </c>
      <c r="H79" s="45"/>
      <c r="I79" s="45">
        <v>1073460</v>
      </c>
      <c r="J79" s="45"/>
      <c r="K79" s="45">
        <v>272263</v>
      </c>
      <c r="L79" s="45"/>
      <c r="M79" s="45">
        <v>0</v>
      </c>
      <c r="N79" s="45"/>
      <c r="O79" s="45">
        <v>440101</v>
      </c>
      <c r="P79" s="45"/>
      <c r="Q79" s="45">
        <v>1916687</v>
      </c>
      <c r="R79" s="45"/>
      <c r="S79" s="45">
        <v>0</v>
      </c>
      <c r="T79" s="45"/>
      <c r="U79" s="45">
        <v>0</v>
      </c>
      <c r="V79" s="45"/>
      <c r="W79" s="45">
        <v>231029</v>
      </c>
      <c r="X79" s="45"/>
      <c r="Y79" s="45">
        <v>107289</v>
      </c>
      <c r="Z79" s="44"/>
      <c r="AA79" s="45">
        <v>0</v>
      </c>
      <c r="AB79" s="44"/>
      <c r="AC79" s="45">
        <f t="shared" si="3"/>
        <v>36029306</v>
      </c>
      <c r="AD79" s="45"/>
      <c r="AE79" s="48">
        <v>0</v>
      </c>
      <c r="AF79" s="48"/>
      <c r="AG79" s="45">
        <v>305800</v>
      </c>
      <c r="AH79" s="45"/>
      <c r="AI79" s="45">
        <v>6533157</v>
      </c>
      <c r="AJ79" s="45"/>
      <c r="AK79" s="45">
        <v>0</v>
      </c>
      <c r="AL79" s="45"/>
      <c r="AM79" s="45">
        <f>+'Gen rev'!U79-'Gen exp'!AC79-AG79+'Gen rev'!W79+AI79+AK79-'Gen Bal'!S79-'Gen exp'!AE79</f>
        <v>0</v>
      </c>
      <c r="AN79" s="44"/>
      <c r="AO79" s="44"/>
      <c r="AP79" s="44"/>
      <c r="AQ79" s="44"/>
    </row>
    <row r="80" spans="1:45" s="49" customFormat="1" ht="12.75" customHeight="1">
      <c r="A80" s="28" t="s">
        <v>101</v>
      </c>
      <c r="C80" s="28" t="s">
        <v>30</v>
      </c>
      <c r="E80" s="45">
        <v>5889672</v>
      </c>
      <c r="F80" s="45"/>
      <c r="G80" s="45">
        <v>0</v>
      </c>
      <c r="H80" s="45"/>
      <c r="I80" s="45">
        <v>697832</v>
      </c>
      <c r="J80" s="45"/>
      <c r="K80" s="45">
        <v>0</v>
      </c>
      <c r="L80" s="45"/>
      <c r="M80" s="45">
        <v>0</v>
      </c>
      <c r="N80" s="45"/>
      <c r="O80" s="45">
        <v>196177</v>
      </c>
      <c r="P80" s="45"/>
      <c r="Q80" s="45">
        <v>0</v>
      </c>
      <c r="R80" s="45"/>
      <c r="S80" s="45">
        <v>33547</v>
      </c>
      <c r="T80" s="45"/>
      <c r="U80" s="45">
        <v>0</v>
      </c>
      <c r="V80" s="45"/>
      <c r="W80" s="45">
        <v>10299</v>
      </c>
      <c r="X80" s="45"/>
      <c r="Y80" s="45">
        <v>3469</v>
      </c>
      <c r="Z80" s="44"/>
      <c r="AA80" s="45">
        <v>0</v>
      </c>
      <c r="AB80" s="44"/>
      <c r="AC80" s="45">
        <f t="shared" si="3"/>
        <v>6830996</v>
      </c>
      <c r="AD80" s="45"/>
      <c r="AE80" s="48">
        <v>0</v>
      </c>
      <c r="AF80" s="48"/>
      <c r="AG80" s="45">
        <v>10009724</v>
      </c>
      <c r="AH80" s="45"/>
      <c r="AI80" s="45">
        <v>3766435</v>
      </c>
      <c r="AJ80" s="45"/>
      <c r="AK80" s="45">
        <v>0</v>
      </c>
      <c r="AL80" s="45"/>
      <c r="AM80" s="45">
        <f>+'Gen rev'!U80-'Gen exp'!AC80-AG80+'Gen rev'!W80+AI80+AK80-'Gen Bal'!S80-'Gen exp'!AE80</f>
        <v>0</v>
      </c>
      <c r="AN80" s="45"/>
      <c r="AO80" s="45"/>
      <c r="AP80" s="45"/>
      <c r="AQ80" s="45"/>
      <c r="AR80" s="52"/>
      <c r="AS80" s="50"/>
    </row>
    <row r="81" spans="1:45" s="49" customFormat="1" ht="12.75" customHeight="1">
      <c r="A81" s="28" t="s">
        <v>102</v>
      </c>
      <c r="C81" s="28" t="s">
        <v>103</v>
      </c>
      <c r="E81" s="45">
        <v>7250236</v>
      </c>
      <c r="F81" s="45"/>
      <c r="G81" s="45">
        <v>10031383</v>
      </c>
      <c r="H81" s="45"/>
      <c r="I81" s="45">
        <v>1451970</v>
      </c>
      <c r="J81" s="45"/>
      <c r="K81" s="45">
        <v>22441</v>
      </c>
      <c r="L81" s="45"/>
      <c r="M81" s="45">
        <v>0</v>
      </c>
      <c r="N81" s="45"/>
      <c r="O81" s="45">
        <v>2683583</v>
      </c>
      <c r="P81" s="45"/>
      <c r="Q81" s="45">
        <v>510171</v>
      </c>
      <c r="R81" s="45"/>
      <c r="S81" s="45">
        <v>312023</v>
      </c>
      <c r="T81" s="45"/>
      <c r="U81" s="45">
        <v>0</v>
      </c>
      <c r="V81" s="45"/>
      <c r="W81" s="45">
        <v>73549</v>
      </c>
      <c r="X81" s="45"/>
      <c r="Y81" s="45">
        <v>16735</v>
      </c>
      <c r="Z81" s="44"/>
      <c r="AA81" s="45">
        <v>0</v>
      </c>
      <c r="AB81" s="44"/>
      <c r="AC81" s="45">
        <f t="shared" si="3"/>
        <v>22352091</v>
      </c>
      <c r="AD81" s="45"/>
      <c r="AE81" s="48">
        <v>0</v>
      </c>
      <c r="AF81" s="48"/>
      <c r="AG81" s="45">
        <v>2255000</v>
      </c>
      <c r="AH81" s="45"/>
      <c r="AI81" s="45">
        <v>10586610</v>
      </c>
      <c r="AJ81" s="45"/>
      <c r="AK81" s="45">
        <v>0</v>
      </c>
      <c r="AL81" s="45"/>
      <c r="AM81" s="45">
        <f>+'Gen rev'!U81-'Gen exp'!AC81-AG81+'Gen rev'!W81+AI81+AK81-'Gen Bal'!S81-'Gen exp'!AE81</f>
        <v>0</v>
      </c>
      <c r="AN81" s="45"/>
      <c r="AO81" s="45"/>
      <c r="AP81" s="45"/>
      <c r="AQ81" s="45"/>
      <c r="AR81" s="52"/>
      <c r="AS81" s="50"/>
    </row>
    <row r="82" spans="1:45" s="49" customFormat="1" ht="12.75" customHeight="1">
      <c r="A82" s="28" t="s">
        <v>104</v>
      </c>
      <c r="C82" s="28" t="s">
        <v>13</v>
      </c>
      <c r="E82" s="45">
        <v>1503749</v>
      </c>
      <c r="F82" s="45"/>
      <c r="G82" s="45">
        <v>5592117</v>
      </c>
      <c r="H82" s="45"/>
      <c r="I82" s="45">
        <v>41806</v>
      </c>
      <c r="J82" s="45"/>
      <c r="K82" s="45">
        <v>122137</v>
      </c>
      <c r="L82" s="45"/>
      <c r="M82" s="45">
        <v>1792325</v>
      </c>
      <c r="N82" s="45"/>
      <c r="O82" s="45">
        <v>277175</v>
      </c>
      <c r="P82" s="45"/>
      <c r="Q82" s="45">
        <v>182337</v>
      </c>
      <c r="R82" s="45"/>
      <c r="S82" s="45">
        <v>0</v>
      </c>
      <c r="T82" s="45"/>
      <c r="U82" s="45">
        <v>0</v>
      </c>
      <c r="V82" s="45"/>
      <c r="W82" s="45">
        <v>0</v>
      </c>
      <c r="X82" s="45"/>
      <c r="Y82" s="45">
        <v>0</v>
      </c>
      <c r="Z82" s="44"/>
      <c r="AA82" s="45">
        <v>0</v>
      </c>
      <c r="AB82" s="44"/>
      <c r="AC82" s="45">
        <f t="shared" si="3"/>
        <v>9511646</v>
      </c>
      <c r="AD82" s="45"/>
      <c r="AE82" s="48">
        <v>0</v>
      </c>
      <c r="AF82" s="48"/>
      <c r="AG82" s="45">
        <v>384473</v>
      </c>
      <c r="AH82" s="45"/>
      <c r="AI82" s="45">
        <v>6943962</v>
      </c>
      <c r="AJ82" s="45"/>
      <c r="AK82" s="45">
        <v>12684</v>
      </c>
      <c r="AL82" s="45"/>
      <c r="AM82" s="45">
        <f>+'Gen rev'!U82-'Gen exp'!AC82-AG82+'Gen rev'!W82+AI82+AK82-'Gen Bal'!S82-'Gen exp'!AE82</f>
        <v>0</v>
      </c>
      <c r="AN82" s="45"/>
      <c r="AO82" s="45"/>
      <c r="AP82" s="45"/>
      <c r="AQ82" s="45"/>
      <c r="AR82" s="52"/>
      <c r="AS82" s="50"/>
    </row>
    <row r="83" spans="1:45" s="49" customFormat="1" ht="12.75" customHeight="1">
      <c r="A83" s="28" t="s">
        <v>105</v>
      </c>
      <c r="C83" s="28" t="s">
        <v>27</v>
      </c>
      <c r="E83" s="45">
        <v>1924650</v>
      </c>
      <c r="F83" s="45"/>
      <c r="G83" s="45">
        <v>4967697</v>
      </c>
      <c r="H83" s="45"/>
      <c r="I83" s="45">
        <v>271935</v>
      </c>
      <c r="J83" s="45"/>
      <c r="K83" s="45">
        <v>1795</v>
      </c>
      <c r="L83" s="45"/>
      <c r="M83" s="45">
        <v>115010</v>
      </c>
      <c r="N83" s="45"/>
      <c r="O83" s="45">
        <v>685399</v>
      </c>
      <c r="P83" s="45"/>
      <c r="Q83" s="45">
        <v>1011700</v>
      </c>
      <c r="R83" s="45"/>
      <c r="S83" s="45">
        <v>0</v>
      </c>
      <c r="T83" s="45"/>
      <c r="U83" s="45">
        <v>0</v>
      </c>
      <c r="V83" s="45"/>
      <c r="W83" s="45">
        <v>0</v>
      </c>
      <c r="X83" s="45"/>
      <c r="Y83" s="45">
        <v>0</v>
      </c>
      <c r="Z83" s="44"/>
      <c r="AA83" s="45">
        <v>0</v>
      </c>
      <c r="AB83" s="44"/>
      <c r="AC83" s="45">
        <f t="shared" si="3"/>
        <v>8978186</v>
      </c>
      <c r="AD83" s="45"/>
      <c r="AE83" s="48">
        <v>0</v>
      </c>
      <c r="AF83" s="48"/>
      <c r="AG83" s="45">
        <v>739500</v>
      </c>
      <c r="AH83" s="45"/>
      <c r="AI83" s="45">
        <v>1832296</v>
      </c>
      <c r="AJ83" s="45"/>
      <c r="AK83" s="45">
        <v>0</v>
      </c>
      <c r="AL83" s="45"/>
      <c r="AM83" s="45">
        <f>+'Gen rev'!U83-'Gen exp'!AC83-AG83+'Gen rev'!W83+AI83+AK83-'Gen Bal'!S83-'Gen exp'!AE83</f>
        <v>0</v>
      </c>
      <c r="AN83" s="44"/>
      <c r="AO83" s="44"/>
      <c r="AP83" s="44"/>
      <c r="AQ83" s="44"/>
    </row>
    <row r="84" spans="1:45" s="49" customFormat="1" ht="12.75" customHeight="1">
      <c r="A84" s="28" t="s">
        <v>106</v>
      </c>
      <c r="C84" s="28" t="s">
        <v>107</v>
      </c>
      <c r="E84" s="45">
        <v>5616963</v>
      </c>
      <c r="F84" s="45"/>
      <c r="G84" s="45">
        <v>14732422</v>
      </c>
      <c r="H84" s="45"/>
      <c r="I84" s="45">
        <v>0</v>
      </c>
      <c r="J84" s="45"/>
      <c r="K84" s="45">
        <v>1724559</v>
      </c>
      <c r="L84" s="45"/>
      <c r="M84" s="45">
        <v>0</v>
      </c>
      <c r="N84" s="45"/>
      <c r="O84" s="45">
        <v>1258449</v>
      </c>
      <c r="P84" s="45"/>
      <c r="Q84" s="45">
        <v>0</v>
      </c>
      <c r="R84" s="45"/>
      <c r="S84" s="45">
        <v>1317179</v>
      </c>
      <c r="T84" s="45"/>
      <c r="U84" s="45">
        <v>0</v>
      </c>
      <c r="V84" s="45"/>
      <c r="W84" s="45">
        <v>0</v>
      </c>
      <c r="X84" s="45"/>
      <c r="Y84" s="45">
        <v>0</v>
      </c>
      <c r="Z84" s="44"/>
      <c r="AA84" s="45">
        <v>0</v>
      </c>
      <c r="AB84" s="44"/>
      <c r="AC84" s="45">
        <f t="shared" si="3"/>
        <v>24649572</v>
      </c>
      <c r="AD84" s="45"/>
      <c r="AE84" s="48">
        <v>0</v>
      </c>
      <c r="AF84" s="48"/>
      <c r="AG84" s="45">
        <v>1707131</v>
      </c>
      <c r="AH84" s="45"/>
      <c r="AI84" s="45">
        <v>4235782</v>
      </c>
      <c r="AJ84" s="45"/>
      <c r="AK84" s="45">
        <v>-32688</v>
      </c>
      <c r="AL84" s="45"/>
      <c r="AM84" s="45">
        <f>+'Gen rev'!U84-'Gen exp'!AC84-AG84+'Gen rev'!W84+AI84+AK84-'Gen Bal'!S84-'Gen exp'!AE84</f>
        <v>0</v>
      </c>
      <c r="AN84" s="48"/>
      <c r="AO84" s="48"/>
      <c r="AP84" s="48"/>
      <c r="AQ84" s="48"/>
      <c r="AR84" s="52"/>
      <c r="AS84" s="50"/>
    </row>
    <row r="85" spans="1:45" s="49" customFormat="1" ht="12.75" customHeight="1">
      <c r="A85" s="28" t="s">
        <v>108</v>
      </c>
      <c r="C85" s="28" t="s">
        <v>45</v>
      </c>
      <c r="E85" s="45">
        <v>2070213</v>
      </c>
      <c r="F85" s="45"/>
      <c r="G85" s="45">
        <v>5281744</v>
      </c>
      <c r="H85" s="45"/>
      <c r="I85" s="45">
        <v>466151</v>
      </c>
      <c r="J85" s="45"/>
      <c r="K85" s="45">
        <v>21000</v>
      </c>
      <c r="L85" s="45"/>
      <c r="M85" s="45">
        <v>975727</v>
      </c>
      <c r="N85" s="45"/>
      <c r="O85" s="45">
        <v>251522</v>
      </c>
      <c r="P85" s="45"/>
      <c r="Q85" s="45">
        <v>0</v>
      </c>
      <c r="R85" s="45"/>
      <c r="S85" s="45">
        <v>33181</v>
      </c>
      <c r="T85" s="45"/>
      <c r="U85" s="45">
        <v>0</v>
      </c>
      <c r="V85" s="45"/>
      <c r="W85" s="45">
        <v>0</v>
      </c>
      <c r="X85" s="45"/>
      <c r="Y85" s="45">
        <v>0</v>
      </c>
      <c r="Z85" s="44"/>
      <c r="AA85" s="45">
        <v>0</v>
      </c>
      <c r="AB85" s="44"/>
      <c r="AC85" s="45">
        <f t="shared" si="3"/>
        <v>9099538</v>
      </c>
      <c r="AD85" s="45"/>
      <c r="AE85" s="48">
        <v>0</v>
      </c>
      <c r="AF85" s="48"/>
      <c r="AG85" s="45">
        <v>441505</v>
      </c>
      <c r="AH85" s="45"/>
      <c r="AI85" s="45">
        <v>2997524</v>
      </c>
      <c r="AJ85" s="45"/>
      <c r="AK85" s="45">
        <v>0</v>
      </c>
      <c r="AL85" s="45"/>
      <c r="AM85" s="45">
        <f>+'Gen rev'!U85-'Gen exp'!AC85-AG85+'Gen rev'!W85+AI85+AK85-'Gen Bal'!S85-'Gen exp'!AE85</f>
        <v>0</v>
      </c>
      <c r="AN85" s="44"/>
      <c r="AO85" s="44"/>
      <c r="AP85" s="44"/>
      <c r="AQ85" s="44"/>
    </row>
    <row r="86" spans="1:45" s="44" customFormat="1" ht="12.75" customHeight="1">
      <c r="A86" s="35" t="s">
        <v>109</v>
      </c>
      <c r="C86" s="35" t="s">
        <v>110</v>
      </c>
      <c r="E86" s="45">
        <v>1527813</v>
      </c>
      <c r="F86" s="45"/>
      <c r="G86" s="45">
        <v>4510462</v>
      </c>
      <c r="H86" s="45"/>
      <c r="I86" s="45">
        <v>55836</v>
      </c>
      <c r="J86" s="45"/>
      <c r="K86" s="45">
        <v>153616</v>
      </c>
      <c r="L86" s="45"/>
      <c r="M86" s="45">
        <v>52058</v>
      </c>
      <c r="N86" s="45"/>
      <c r="O86" s="45">
        <v>0</v>
      </c>
      <c r="P86" s="45"/>
      <c r="Q86" s="45">
        <v>7787</v>
      </c>
      <c r="R86" s="45"/>
      <c r="S86" s="45">
        <v>0</v>
      </c>
      <c r="T86" s="45"/>
      <c r="U86" s="45">
        <v>0</v>
      </c>
      <c r="V86" s="45"/>
      <c r="W86" s="45">
        <v>0</v>
      </c>
      <c r="X86" s="45"/>
      <c r="Y86" s="45">
        <v>0</v>
      </c>
      <c r="AA86" s="45">
        <v>0</v>
      </c>
      <c r="AC86" s="45">
        <f t="shared" si="3"/>
        <v>6307572</v>
      </c>
      <c r="AD86" s="45"/>
      <c r="AE86" s="48">
        <v>0</v>
      </c>
      <c r="AF86" s="48"/>
      <c r="AG86" s="45">
        <v>920016</v>
      </c>
      <c r="AH86" s="45"/>
      <c r="AI86" s="45">
        <v>677671</v>
      </c>
      <c r="AJ86" s="45"/>
      <c r="AK86" s="45">
        <v>0</v>
      </c>
      <c r="AL86" s="45"/>
      <c r="AM86" s="45">
        <f>+'Gen rev'!U86-'Gen exp'!AC86-AG86+'Gen rev'!W86+AI86+AK86-'Gen Bal'!S86-'Gen exp'!AE86</f>
        <v>0</v>
      </c>
    </row>
    <row r="87" spans="1:45" s="49" customFormat="1" ht="12.75" customHeight="1">
      <c r="A87" s="28" t="s">
        <v>43</v>
      </c>
      <c r="C87" s="28" t="s">
        <v>111</v>
      </c>
      <c r="E87" s="45">
        <v>2188164</v>
      </c>
      <c r="F87" s="45"/>
      <c r="G87" s="45">
        <v>2832761</v>
      </c>
      <c r="H87" s="45"/>
      <c r="I87" s="45">
        <v>0</v>
      </c>
      <c r="J87" s="45"/>
      <c r="K87" s="45">
        <v>0</v>
      </c>
      <c r="L87" s="45"/>
      <c r="M87" s="45">
        <v>0</v>
      </c>
      <c r="N87" s="45"/>
      <c r="O87" s="45">
        <v>40410</v>
      </c>
      <c r="P87" s="45"/>
      <c r="Q87" s="45">
        <v>0</v>
      </c>
      <c r="R87" s="45"/>
      <c r="S87" s="45">
        <v>0</v>
      </c>
      <c r="T87" s="45"/>
      <c r="U87" s="45">
        <v>0</v>
      </c>
      <c r="V87" s="45"/>
      <c r="W87" s="45">
        <v>0</v>
      </c>
      <c r="X87" s="45"/>
      <c r="Y87" s="45">
        <v>0</v>
      </c>
      <c r="Z87" s="44"/>
      <c r="AA87" s="45">
        <v>50000</v>
      </c>
      <c r="AB87" s="44"/>
      <c r="AC87" s="45">
        <f t="shared" si="3"/>
        <v>5111335</v>
      </c>
      <c r="AD87" s="45"/>
      <c r="AE87" s="48">
        <v>0</v>
      </c>
      <c r="AF87" s="48"/>
      <c r="AG87" s="45">
        <v>1215253</v>
      </c>
      <c r="AH87" s="45"/>
      <c r="AI87" s="45">
        <v>1375212</v>
      </c>
      <c r="AJ87" s="45"/>
      <c r="AK87" s="45">
        <v>0</v>
      </c>
      <c r="AL87" s="45"/>
      <c r="AM87" s="45">
        <f>+'Gen rev'!U87-'Gen exp'!AC87-AG87+'Gen rev'!W87+AI87+AK87-'Gen Bal'!S87-'Gen exp'!AE87</f>
        <v>0</v>
      </c>
      <c r="AN87" s="45"/>
      <c r="AO87" s="45"/>
      <c r="AP87" s="45"/>
      <c r="AQ87" s="45"/>
      <c r="AR87" s="52"/>
      <c r="AS87" s="50"/>
    </row>
    <row r="88" spans="1:45" s="49" customFormat="1" ht="12.75" customHeight="1">
      <c r="A88" s="28" t="s">
        <v>112</v>
      </c>
      <c r="C88" s="28" t="s">
        <v>76</v>
      </c>
      <c r="E88" s="45">
        <v>1781537</v>
      </c>
      <c r="F88" s="45"/>
      <c r="G88" s="45">
        <v>5008203</v>
      </c>
      <c r="H88" s="45"/>
      <c r="I88" s="45">
        <f>122554+109255</f>
        <v>231809</v>
      </c>
      <c r="J88" s="45"/>
      <c r="K88" s="45">
        <v>16305</v>
      </c>
      <c r="L88" s="45"/>
      <c r="M88" s="45">
        <v>0</v>
      </c>
      <c r="N88" s="45"/>
      <c r="O88" s="45">
        <v>615718</v>
      </c>
      <c r="P88" s="45"/>
      <c r="Q88" s="45">
        <v>0</v>
      </c>
      <c r="R88" s="45"/>
      <c r="S88" s="45">
        <v>0</v>
      </c>
      <c r="T88" s="45"/>
      <c r="U88" s="45">
        <v>0</v>
      </c>
      <c r="V88" s="45"/>
      <c r="W88" s="45">
        <v>0</v>
      </c>
      <c r="X88" s="45"/>
      <c r="Y88" s="45">
        <v>0</v>
      </c>
      <c r="Z88" s="44"/>
      <c r="AA88" s="45">
        <v>0</v>
      </c>
      <c r="AB88" s="44"/>
      <c r="AC88" s="45">
        <f t="shared" si="3"/>
        <v>7653572</v>
      </c>
      <c r="AD88" s="45"/>
      <c r="AE88" s="48">
        <v>0</v>
      </c>
      <c r="AF88" s="48"/>
      <c r="AG88" s="45">
        <v>1110000</v>
      </c>
      <c r="AH88" s="45"/>
      <c r="AI88" s="45">
        <v>2435770</v>
      </c>
      <c r="AJ88" s="45"/>
      <c r="AK88" s="45">
        <v>0</v>
      </c>
      <c r="AL88" s="45"/>
      <c r="AM88" s="45">
        <f>+'Gen rev'!U88-'Gen exp'!AC88-AG88+'Gen rev'!W88+AI88+AK88-'Gen Bal'!S88-'Gen exp'!AE88</f>
        <v>0</v>
      </c>
      <c r="AN88" s="44"/>
      <c r="AO88" s="44"/>
      <c r="AP88" s="44"/>
      <c r="AQ88" s="44"/>
    </row>
    <row r="89" spans="1:45" s="49" customFormat="1" ht="12.75" customHeight="1">
      <c r="A89" s="28" t="s">
        <v>113</v>
      </c>
      <c r="C89" s="28" t="s">
        <v>43</v>
      </c>
      <c r="E89" s="45">
        <v>3892201</v>
      </c>
      <c r="F89" s="45"/>
      <c r="G89" s="45">
        <v>7393910</v>
      </c>
      <c r="H89" s="45"/>
      <c r="I89" s="45">
        <v>2553705</v>
      </c>
      <c r="J89" s="45"/>
      <c r="K89" s="45">
        <v>195382</v>
      </c>
      <c r="L89" s="45"/>
      <c r="M89" s="45">
        <v>1066801</v>
      </c>
      <c r="N89" s="45"/>
      <c r="O89" s="45">
        <v>2760515</v>
      </c>
      <c r="P89" s="45"/>
      <c r="Q89" s="45">
        <v>2253385</v>
      </c>
      <c r="R89" s="45"/>
      <c r="S89" s="45">
        <v>2987082</v>
      </c>
      <c r="T89" s="45"/>
      <c r="U89" s="45">
        <v>0</v>
      </c>
      <c r="V89" s="45"/>
      <c r="W89" s="45">
        <v>18330</v>
      </c>
      <c r="X89" s="45"/>
      <c r="Y89" s="45">
        <v>337</v>
      </c>
      <c r="Z89" s="44"/>
      <c r="AA89" s="45">
        <v>0</v>
      </c>
      <c r="AB89" s="44"/>
      <c r="AC89" s="45">
        <f t="shared" si="3"/>
        <v>23121648</v>
      </c>
      <c r="AD89" s="45"/>
      <c r="AE89" s="48">
        <v>0</v>
      </c>
      <c r="AF89" s="48"/>
      <c r="AG89" s="45">
        <v>1489408</v>
      </c>
      <c r="AH89" s="45"/>
      <c r="AI89" s="45">
        <v>18920186</v>
      </c>
      <c r="AJ89" s="45"/>
      <c r="AK89" s="45">
        <v>0</v>
      </c>
      <c r="AL89" s="45"/>
      <c r="AM89" s="45">
        <f>+'Gen rev'!U89-'Gen exp'!AC89-AG89+'Gen rev'!W89+AI89+AK89-'Gen Bal'!S89-'Gen exp'!AE89</f>
        <v>0</v>
      </c>
      <c r="AN89" s="44"/>
      <c r="AO89" s="44"/>
      <c r="AP89" s="44"/>
      <c r="AQ89" s="44"/>
    </row>
    <row r="90" spans="1:45" s="49" customFormat="1" ht="12.75" customHeight="1">
      <c r="A90" s="64" t="s">
        <v>490</v>
      </c>
      <c r="B90" s="46"/>
      <c r="C90" s="64" t="s">
        <v>57</v>
      </c>
      <c r="D90" s="46"/>
      <c r="E90" s="45">
        <v>1358342</v>
      </c>
      <c r="F90" s="45"/>
      <c r="G90" s="45">
        <f>450873+296554</f>
        <v>747427</v>
      </c>
      <c r="H90" s="45"/>
      <c r="I90" s="45">
        <v>0</v>
      </c>
      <c r="J90" s="45"/>
      <c r="K90" s="45">
        <v>435893</v>
      </c>
      <c r="L90" s="45"/>
      <c r="M90" s="45">
        <v>0</v>
      </c>
      <c r="N90" s="45"/>
      <c r="O90" s="45">
        <v>0</v>
      </c>
      <c r="P90" s="45"/>
      <c r="Q90" s="45">
        <v>0</v>
      </c>
      <c r="R90" s="45"/>
      <c r="S90" s="45">
        <v>0</v>
      </c>
      <c r="T90" s="45"/>
      <c r="U90" s="45">
        <v>0</v>
      </c>
      <c r="V90" s="45"/>
      <c r="W90" s="45">
        <v>16479</v>
      </c>
      <c r="X90" s="45"/>
      <c r="Y90" s="45">
        <v>29376</v>
      </c>
      <c r="Z90" s="44"/>
      <c r="AA90" s="45">
        <v>0</v>
      </c>
      <c r="AB90" s="44"/>
      <c r="AC90" s="45">
        <f t="shared" si="3"/>
        <v>2587517</v>
      </c>
      <c r="AD90" s="45"/>
      <c r="AE90" s="48">
        <v>0</v>
      </c>
      <c r="AF90" s="48"/>
      <c r="AG90" s="45">
        <v>1243994</v>
      </c>
      <c r="AH90" s="45"/>
      <c r="AI90" s="45">
        <v>4451890</v>
      </c>
      <c r="AJ90" s="45"/>
      <c r="AK90" s="45">
        <v>0</v>
      </c>
      <c r="AL90" s="45"/>
      <c r="AM90" s="45">
        <f>+'Gen rev'!U90-'Gen exp'!AC90-AG90+'Gen rev'!W90+AI90+AK90-'Gen Bal'!S90-'Gen exp'!AE90</f>
        <v>0</v>
      </c>
      <c r="AN90" s="45"/>
      <c r="AO90" s="45"/>
      <c r="AP90" s="45"/>
      <c r="AQ90" s="45"/>
      <c r="AR90" s="52"/>
      <c r="AS90" s="50"/>
    </row>
    <row r="91" spans="1:45" s="49" customFormat="1" ht="12.75" customHeight="1">
      <c r="A91" s="28" t="s">
        <v>114</v>
      </c>
      <c r="C91" s="28" t="s">
        <v>27</v>
      </c>
      <c r="E91" s="45">
        <v>8266578</v>
      </c>
      <c r="F91" s="45"/>
      <c r="G91" s="45">
        <v>11192201</v>
      </c>
      <c r="H91" s="45"/>
      <c r="I91" s="45">
        <v>118635</v>
      </c>
      <c r="J91" s="45"/>
      <c r="K91" s="45">
        <v>220596</v>
      </c>
      <c r="L91" s="45"/>
      <c r="M91" s="45">
        <v>27246</v>
      </c>
      <c r="N91" s="45"/>
      <c r="O91" s="45">
        <v>0</v>
      </c>
      <c r="P91" s="45"/>
      <c r="Q91" s="45">
        <v>1798939</v>
      </c>
      <c r="R91" s="45"/>
      <c r="S91" s="45">
        <v>0</v>
      </c>
      <c r="T91" s="45"/>
      <c r="U91" s="45">
        <v>0</v>
      </c>
      <c r="V91" s="45"/>
      <c r="W91" s="45">
        <v>0</v>
      </c>
      <c r="X91" s="45"/>
      <c r="Y91" s="45">
        <v>148934</v>
      </c>
      <c r="Z91" s="44"/>
      <c r="AA91" s="45">
        <v>0</v>
      </c>
      <c r="AB91" s="44"/>
      <c r="AC91" s="45">
        <f t="shared" si="3"/>
        <v>21773129</v>
      </c>
      <c r="AD91" s="45"/>
      <c r="AE91" s="48">
        <v>0</v>
      </c>
      <c r="AF91" s="48"/>
      <c r="AG91" s="45">
        <v>1976666</v>
      </c>
      <c r="AH91" s="45"/>
      <c r="AI91" s="45">
        <v>-4989290</v>
      </c>
      <c r="AJ91" s="45"/>
      <c r="AK91" s="45">
        <v>0</v>
      </c>
      <c r="AL91" s="45"/>
      <c r="AM91" s="45">
        <f>+'Gen rev'!U91-'Gen exp'!AC91-AG91+'Gen rev'!W91+AI91+AK91-'Gen Bal'!S91-'Gen exp'!AE91</f>
        <v>0</v>
      </c>
      <c r="AN91" s="45"/>
      <c r="AO91" s="45"/>
      <c r="AP91" s="45"/>
      <c r="AQ91" s="45"/>
      <c r="AR91" s="52"/>
      <c r="AS91" s="50"/>
    </row>
    <row r="92" spans="1:45" s="49" customFormat="1" ht="12.75" customHeight="1">
      <c r="A92" s="28" t="s">
        <v>115</v>
      </c>
      <c r="C92" s="28" t="s">
        <v>19</v>
      </c>
      <c r="E92" s="45">
        <v>831557</v>
      </c>
      <c r="F92" s="45"/>
      <c r="G92" s="45">
        <v>1902860</v>
      </c>
      <c r="H92" s="45"/>
      <c r="I92" s="45">
        <v>97103</v>
      </c>
      <c r="J92" s="45"/>
      <c r="K92" s="45">
        <v>0</v>
      </c>
      <c r="L92" s="45"/>
      <c r="M92" s="45">
        <v>0</v>
      </c>
      <c r="N92" s="45"/>
      <c r="O92" s="45">
        <v>171170</v>
      </c>
      <c r="P92" s="45"/>
      <c r="Q92" s="45">
        <v>0</v>
      </c>
      <c r="R92" s="45"/>
      <c r="S92" s="45">
        <v>0</v>
      </c>
      <c r="T92" s="45"/>
      <c r="U92" s="45">
        <v>0</v>
      </c>
      <c r="V92" s="45"/>
      <c r="W92" s="45">
        <v>1047</v>
      </c>
      <c r="X92" s="45"/>
      <c r="Y92" s="45">
        <v>358</v>
      </c>
      <c r="Z92" s="44"/>
      <c r="AA92" s="45">
        <v>0</v>
      </c>
      <c r="AB92" s="44"/>
      <c r="AC92" s="45">
        <f t="shared" si="3"/>
        <v>3004095</v>
      </c>
      <c r="AD92" s="45"/>
      <c r="AE92" s="48">
        <v>0</v>
      </c>
      <c r="AF92" s="48"/>
      <c r="AG92" s="45">
        <v>816197</v>
      </c>
      <c r="AH92" s="45"/>
      <c r="AI92" s="45">
        <v>1595023</v>
      </c>
      <c r="AJ92" s="45"/>
      <c r="AK92" s="45">
        <v>0</v>
      </c>
      <c r="AL92" s="45"/>
      <c r="AM92" s="45">
        <f>+'Gen rev'!U92-'Gen exp'!AC92-AG92+'Gen rev'!W92+AI92+AK92-'Gen Bal'!S92-'Gen exp'!AE92</f>
        <v>0</v>
      </c>
      <c r="AN92" s="45"/>
      <c r="AO92" s="45"/>
      <c r="AP92" s="45"/>
      <c r="AQ92" s="45"/>
      <c r="AR92" s="52"/>
      <c r="AS92" s="50"/>
    </row>
    <row r="93" spans="1:45" s="49" customFormat="1" ht="12.75" customHeight="1">
      <c r="A93" s="64" t="s">
        <v>116</v>
      </c>
      <c r="B93" s="46"/>
      <c r="C93" s="64" t="s">
        <v>80</v>
      </c>
      <c r="D93" s="46"/>
      <c r="E93" s="45">
        <v>1720885</v>
      </c>
      <c r="F93" s="45"/>
      <c r="G93" s="45">
        <v>2549107</v>
      </c>
      <c r="H93" s="45"/>
      <c r="I93" s="45">
        <v>0</v>
      </c>
      <c r="J93" s="45"/>
      <c r="K93" s="45">
        <v>52209</v>
      </c>
      <c r="L93" s="45"/>
      <c r="M93" s="45">
        <v>14639</v>
      </c>
      <c r="N93" s="45"/>
      <c r="O93" s="45">
        <v>0</v>
      </c>
      <c r="P93" s="45"/>
      <c r="Q93" s="45">
        <v>0</v>
      </c>
      <c r="R93" s="45"/>
      <c r="S93" s="45">
        <v>0</v>
      </c>
      <c r="T93" s="45"/>
      <c r="U93" s="45">
        <v>0</v>
      </c>
      <c r="V93" s="45"/>
      <c r="W93" s="45">
        <v>0</v>
      </c>
      <c r="X93" s="45"/>
      <c r="Y93" s="45">
        <v>0</v>
      </c>
      <c r="Z93" s="44"/>
      <c r="AA93" s="45">
        <v>0</v>
      </c>
      <c r="AB93" s="44"/>
      <c r="AC93" s="45">
        <f t="shared" si="3"/>
        <v>4336840</v>
      </c>
      <c r="AD93" s="45"/>
      <c r="AE93" s="48">
        <v>0</v>
      </c>
      <c r="AF93" s="48"/>
      <c r="AG93" s="45">
        <v>58000</v>
      </c>
      <c r="AH93" s="45"/>
      <c r="AI93" s="45">
        <v>64861</v>
      </c>
      <c r="AJ93" s="45"/>
      <c r="AK93" s="45">
        <v>0</v>
      </c>
      <c r="AL93" s="45"/>
      <c r="AM93" s="45">
        <f>+'Gen rev'!U93-'Gen exp'!AC93-AG93+'Gen rev'!W93+AI93+AK93-'Gen Bal'!S93-'Gen exp'!AE93</f>
        <v>0</v>
      </c>
      <c r="AN93" s="45"/>
      <c r="AO93" s="45"/>
      <c r="AP93" s="45"/>
      <c r="AQ93" s="45"/>
      <c r="AR93" s="52"/>
      <c r="AS93" s="50"/>
    </row>
    <row r="94" spans="1:45" s="49" customFormat="1" ht="12.75" customHeight="1">
      <c r="A94" s="47" t="s">
        <v>117</v>
      </c>
      <c r="C94" s="28" t="s">
        <v>43</v>
      </c>
      <c r="E94" s="45">
        <v>2031014</v>
      </c>
      <c r="F94" s="45"/>
      <c r="G94" s="45">
        <v>4228563</v>
      </c>
      <c r="H94" s="45"/>
      <c r="I94" s="45">
        <v>0</v>
      </c>
      <c r="J94" s="45"/>
      <c r="K94" s="45">
        <v>0</v>
      </c>
      <c r="L94" s="45"/>
      <c r="M94" s="45">
        <v>317865</v>
      </c>
      <c r="N94" s="45"/>
      <c r="O94" s="45">
        <v>757289</v>
      </c>
      <c r="P94" s="45"/>
      <c r="Q94" s="45">
        <v>599846</v>
      </c>
      <c r="R94" s="45"/>
      <c r="S94" s="45">
        <v>53583</v>
      </c>
      <c r="T94" s="45"/>
      <c r="U94" s="45">
        <v>0</v>
      </c>
      <c r="V94" s="45"/>
      <c r="W94" s="45">
        <v>10074</v>
      </c>
      <c r="X94" s="45"/>
      <c r="Y94" s="45">
        <v>984</v>
      </c>
      <c r="Z94" s="44"/>
      <c r="AA94" s="45">
        <v>0</v>
      </c>
      <c r="AB94" s="44"/>
      <c r="AC94" s="45">
        <f t="shared" si="3"/>
        <v>7999218</v>
      </c>
      <c r="AD94" s="45"/>
      <c r="AE94" s="48">
        <v>0</v>
      </c>
      <c r="AF94" s="48"/>
      <c r="AG94" s="45">
        <v>498229</v>
      </c>
      <c r="AH94" s="45"/>
      <c r="AI94" s="45">
        <v>3786172</v>
      </c>
      <c r="AJ94" s="45"/>
      <c r="AK94" s="45">
        <v>0</v>
      </c>
      <c r="AL94" s="45"/>
      <c r="AM94" s="45">
        <f>+'Gen rev'!U94-'Gen exp'!AC94-AG94+'Gen rev'!W94+AI94+AK94-'Gen Bal'!S94-'Gen exp'!AE94</f>
        <v>0</v>
      </c>
      <c r="AN94" s="45"/>
      <c r="AO94" s="45"/>
      <c r="AP94" s="45"/>
      <c r="AQ94" s="45"/>
      <c r="AR94" s="52"/>
      <c r="AS94" s="50"/>
    </row>
    <row r="95" spans="1:45" s="49" customFormat="1" ht="12.75" customHeight="1">
      <c r="A95" s="28" t="s">
        <v>118</v>
      </c>
      <c r="C95" s="28" t="s">
        <v>13</v>
      </c>
      <c r="E95" s="45">
        <v>7030542</v>
      </c>
      <c r="F95" s="45"/>
      <c r="G95" s="45">
        <v>1705172</v>
      </c>
      <c r="H95" s="45"/>
      <c r="I95" s="45">
        <v>0</v>
      </c>
      <c r="J95" s="45"/>
      <c r="K95" s="45">
        <v>243833</v>
      </c>
      <c r="L95" s="45"/>
      <c r="M95" s="45">
        <v>0</v>
      </c>
      <c r="N95" s="45"/>
      <c r="O95" s="45">
        <v>0</v>
      </c>
      <c r="P95" s="45"/>
      <c r="Q95" s="45">
        <v>0</v>
      </c>
      <c r="R95" s="45"/>
      <c r="S95" s="45">
        <v>0</v>
      </c>
      <c r="T95" s="45"/>
      <c r="U95" s="45">
        <v>0</v>
      </c>
      <c r="V95" s="45"/>
      <c r="W95" s="45">
        <v>371580</v>
      </c>
      <c r="X95" s="45"/>
      <c r="Y95" s="45">
        <v>628420</v>
      </c>
      <c r="Z95" s="44"/>
      <c r="AA95" s="45">
        <v>0</v>
      </c>
      <c r="AB95" s="44"/>
      <c r="AC95" s="45">
        <f t="shared" si="3"/>
        <v>9979547</v>
      </c>
      <c r="AD95" s="45"/>
      <c r="AE95" s="48">
        <v>0</v>
      </c>
      <c r="AF95" s="48"/>
      <c r="AG95" s="45">
        <v>12450000</v>
      </c>
      <c r="AH95" s="45"/>
      <c r="AI95" s="45">
        <v>25607512</v>
      </c>
      <c r="AJ95" s="45"/>
      <c r="AK95" s="45">
        <v>0</v>
      </c>
      <c r="AL95" s="45"/>
      <c r="AM95" s="45">
        <f>+'Gen rev'!U95-'Gen exp'!AC95-AG95+'Gen rev'!W95+AI95+AK95-'Gen Bal'!S95-'Gen exp'!AE95</f>
        <v>0</v>
      </c>
      <c r="AN95" s="45"/>
      <c r="AO95" s="45"/>
      <c r="AP95" s="45"/>
      <c r="AQ95" s="45"/>
      <c r="AR95" s="52"/>
      <c r="AS95" s="50"/>
    </row>
    <row r="96" spans="1:45" s="49" customFormat="1" ht="12.75" customHeight="1">
      <c r="A96" s="28" t="s">
        <v>120</v>
      </c>
      <c r="C96" s="28" t="s">
        <v>121</v>
      </c>
      <c r="E96" s="45">
        <v>1880762</v>
      </c>
      <c r="F96" s="45"/>
      <c r="G96" s="45">
        <v>4178576</v>
      </c>
      <c r="H96" s="45"/>
      <c r="I96" s="45">
        <v>473</v>
      </c>
      <c r="J96" s="45"/>
      <c r="K96" s="45">
        <v>311</v>
      </c>
      <c r="L96" s="45"/>
      <c r="M96" s="45">
        <v>101368</v>
      </c>
      <c r="N96" s="45"/>
      <c r="O96" s="45">
        <v>420274</v>
      </c>
      <c r="P96" s="45"/>
      <c r="Q96" s="45">
        <v>181660</v>
      </c>
      <c r="R96" s="45"/>
      <c r="S96" s="45">
        <v>501122</v>
      </c>
      <c r="T96" s="45"/>
      <c r="U96" s="45">
        <v>0</v>
      </c>
      <c r="V96" s="45"/>
      <c r="W96" s="45">
        <v>67756</v>
      </c>
      <c r="X96" s="45"/>
      <c r="Y96" s="45">
        <v>23090</v>
      </c>
      <c r="Z96" s="44"/>
      <c r="AA96" s="45">
        <v>0</v>
      </c>
      <c r="AB96" s="44"/>
      <c r="AC96" s="45">
        <f t="shared" si="3"/>
        <v>7355392</v>
      </c>
      <c r="AD96" s="45"/>
      <c r="AE96" s="48">
        <v>0</v>
      </c>
      <c r="AF96" s="48"/>
      <c r="AG96" s="45">
        <v>1390973</v>
      </c>
      <c r="AH96" s="45"/>
      <c r="AI96" s="45">
        <v>3195689</v>
      </c>
      <c r="AJ96" s="45"/>
      <c r="AK96" s="45">
        <v>0</v>
      </c>
      <c r="AL96" s="45"/>
      <c r="AM96" s="45">
        <f>+'Gen rev'!U96-'Gen exp'!AC96-AG96+'Gen rev'!W96+AI96+AK96-'Gen Bal'!S96-'Gen exp'!AE96</f>
        <v>0</v>
      </c>
      <c r="AN96" s="45"/>
      <c r="AO96" s="45"/>
      <c r="AP96" s="45"/>
      <c r="AQ96" s="45"/>
      <c r="AR96" s="52"/>
      <c r="AS96" s="50"/>
    </row>
    <row r="97" spans="1:45" s="49" customFormat="1" ht="12.75" customHeight="1">
      <c r="A97" s="28" t="s">
        <v>122</v>
      </c>
      <c r="C97" s="28" t="s">
        <v>43</v>
      </c>
      <c r="E97" s="45">
        <v>7529658</v>
      </c>
      <c r="F97" s="45"/>
      <c r="G97" s="45">
        <v>8791211</v>
      </c>
      <c r="H97" s="45"/>
      <c r="I97" s="45">
        <v>1045168</v>
      </c>
      <c r="J97" s="45"/>
      <c r="K97" s="45">
        <v>250669</v>
      </c>
      <c r="L97" s="45"/>
      <c r="M97" s="45">
        <v>0</v>
      </c>
      <c r="N97" s="45"/>
      <c r="O97" s="45">
        <v>664077</v>
      </c>
      <c r="P97" s="45"/>
      <c r="Q97" s="45">
        <v>0</v>
      </c>
      <c r="R97" s="45"/>
      <c r="S97" s="45">
        <v>3911512</v>
      </c>
      <c r="T97" s="45"/>
      <c r="U97" s="45">
        <v>0</v>
      </c>
      <c r="V97" s="45"/>
      <c r="W97" s="45">
        <v>77501</v>
      </c>
      <c r="X97" s="45"/>
      <c r="Y97" s="45">
        <v>7003</v>
      </c>
      <c r="Z97" s="44"/>
      <c r="AA97" s="45">
        <v>0</v>
      </c>
      <c r="AB97" s="44"/>
      <c r="AC97" s="45">
        <f t="shared" si="3"/>
        <v>22276799</v>
      </c>
      <c r="AD97" s="45"/>
      <c r="AE97" s="48">
        <v>0</v>
      </c>
      <c r="AF97" s="48"/>
      <c r="AG97" s="45">
        <v>7934022</v>
      </c>
      <c r="AH97" s="45"/>
      <c r="AI97" s="45">
        <v>22252979</v>
      </c>
      <c r="AJ97" s="45"/>
      <c r="AK97" s="45">
        <v>0</v>
      </c>
      <c r="AL97" s="45"/>
      <c r="AM97" s="45">
        <f>+'Gen rev'!U97-'Gen exp'!AC97-AG97+'Gen rev'!W97+AI97+AK97-'Gen Bal'!S97-'Gen exp'!AE97</f>
        <v>0</v>
      </c>
      <c r="AN97" s="45"/>
      <c r="AO97" s="45"/>
      <c r="AP97" s="45"/>
      <c r="AQ97" s="45"/>
      <c r="AR97" s="52"/>
      <c r="AS97" s="50"/>
    </row>
    <row r="98" spans="1:45" s="49" customFormat="1" ht="12.75" customHeight="1">
      <c r="A98" s="47" t="s">
        <v>45</v>
      </c>
      <c r="C98" s="28" t="s">
        <v>103</v>
      </c>
      <c r="E98" s="45">
        <v>3283720</v>
      </c>
      <c r="F98" s="45"/>
      <c r="G98" s="45">
        <v>24322908</v>
      </c>
      <c r="H98" s="45"/>
      <c r="I98" s="45">
        <v>371177</v>
      </c>
      <c r="J98" s="45"/>
      <c r="K98" s="45">
        <v>1088105</v>
      </c>
      <c r="L98" s="45"/>
      <c r="M98" s="45">
        <v>0</v>
      </c>
      <c r="N98" s="45"/>
      <c r="O98" s="45">
        <v>1273858</v>
      </c>
      <c r="P98" s="45"/>
      <c r="Q98" s="45">
        <v>537641</v>
      </c>
      <c r="R98" s="45"/>
      <c r="S98" s="45">
        <v>0</v>
      </c>
      <c r="T98" s="45"/>
      <c r="U98" s="45">
        <v>0</v>
      </c>
      <c r="V98" s="45"/>
      <c r="W98" s="45">
        <v>0</v>
      </c>
      <c r="X98" s="45"/>
      <c r="Y98" s="45">
        <v>0</v>
      </c>
      <c r="Z98" s="44"/>
      <c r="AA98" s="45">
        <v>0</v>
      </c>
      <c r="AB98" s="44"/>
      <c r="AC98" s="45">
        <f t="shared" si="3"/>
        <v>30877409</v>
      </c>
      <c r="AD98" s="45"/>
      <c r="AE98" s="48">
        <v>0</v>
      </c>
      <c r="AF98" s="48"/>
      <c r="AG98" s="45">
        <v>877522</v>
      </c>
      <c r="AH98" s="45"/>
      <c r="AI98" s="45">
        <v>2555718</v>
      </c>
      <c r="AJ98" s="45"/>
      <c r="AK98" s="45">
        <v>0</v>
      </c>
      <c r="AL98" s="45"/>
      <c r="AM98" s="45">
        <f>+'Gen rev'!U98-'Gen exp'!AC98-AG98+'Gen rev'!W98+AI98+AK98-'Gen Bal'!S98-'Gen exp'!AE98</f>
        <v>0</v>
      </c>
      <c r="AN98" s="44"/>
      <c r="AO98" s="44"/>
      <c r="AP98" s="44"/>
      <c r="AQ98" s="44"/>
    </row>
    <row r="99" spans="1:45" s="49" customFormat="1" ht="12.75" customHeight="1">
      <c r="A99" s="47" t="s">
        <v>123</v>
      </c>
      <c r="C99" s="28" t="s">
        <v>45</v>
      </c>
      <c r="E99" s="45">
        <v>1097472</v>
      </c>
      <c r="F99" s="45"/>
      <c r="G99" s="45">
        <v>2299923</v>
      </c>
      <c r="H99" s="45"/>
      <c r="I99" s="45">
        <v>134578</v>
      </c>
      <c r="J99" s="45"/>
      <c r="K99" s="45">
        <v>12562</v>
      </c>
      <c r="L99" s="45"/>
      <c r="M99" s="45">
        <v>0</v>
      </c>
      <c r="N99" s="45"/>
      <c r="O99" s="45">
        <v>55160</v>
      </c>
      <c r="P99" s="45"/>
      <c r="Q99" s="45">
        <v>0</v>
      </c>
      <c r="R99" s="45"/>
      <c r="S99" s="45">
        <v>3153</v>
      </c>
      <c r="T99" s="45"/>
      <c r="U99" s="45">
        <v>0</v>
      </c>
      <c r="V99" s="45"/>
      <c r="W99" s="45">
        <v>49507</v>
      </c>
      <c r="X99" s="45"/>
      <c r="Y99" s="45">
        <v>3767</v>
      </c>
      <c r="Z99" s="44"/>
      <c r="AA99" s="45">
        <v>0</v>
      </c>
      <c r="AB99" s="44"/>
      <c r="AC99" s="45">
        <f t="shared" si="3"/>
        <v>3656122</v>
      </c>
      <c r="AD99" s="45"/>
      <c r="AE99" s="48">
        <v>0</v>
      </c>
      <c r="AF99" s="48"/>
      <c r="AG99" s="45">
        <v>2115734</v>
      </c>
      <c r="AH99" s="45"/>
      <c r="AI99" s="45">
        <v>1511251</v>
      </c>
      <c r="AJ99" s="45"/>
      <c r="AK99" s="45">
        <v>0</v>
      </c>
      <c r="AL99" s="45"/>
      <c r="AM99" s="45">
        <f>+'Gen rev'!U99-'Gen exp'!AC99-AG99+'Gen rev'!W99+AI99+AK99-'Gen Bal'!S99-'Gen exp'!AE99</f>
        <v>0</v>
      </c>
      <c r="AN99" s="44"/>
      <c r="AO99" s="44"/>
      <c r="AP99" s="44"/>
      <c r="AQ99" s="44"/>
    </row>
    <row r="100" spans="1:45" s="49" customFormat="1" ht="12.75" customHeight="1">
      <c r="A100" s="28" t="s">
        <v>124</v>
      </c>
      <c r="C100" s="28" t="s">
        <v>125</v>
      </c>
      <c r="E100" s="45">
        <v>1418799</v>
      </c>
      <c r="F100" s="45"/>
      <c r="G100" s="45">
        <v>3651922</v>
      </c>
      <c r="H100" s="45"/>
      <c r="I100" s="45">
        <v>248970</v>
      </c>
      <c r="J100" s="45"/>
      <c r="K100" s="45">
        <v>55500</v>
      </c>
      <c r="L100" s="45"/>
      <c r="M100" s="45">
        <v>0</v>
      </c>
      <c r="N100" s="45"/>
      <c r="O100" s="45">
        <v>615676</v>
      </c>
      <c r="P100" s="45"/>
      <c r="Q100" s="45">
        <v>0</v>
      </c>
      <c r="R100" s="45"/>
      <c r="S100" s="45">
        <v>0</v>
      </c>
      <c r="T100" s="45"/>
      <c r="U100" s="45">
        <v>0</v>
      </c>
      <c r="V100" s="45"/>
      <c r="W100" s="45">
        <v>0</v>
      </c>
      <c r="X100" s="45"/>
      <c r="Y100" s="45">
        <v>0</v>
      </c>
      <c r="Z100" s="44"/>
      <c r="AA100" s="45">
        <v>0</v>
      </c>
      <c r="AB100" s="44"/>
      <c r="AC100" s="45">
        <f t="shared" si="3"/>
        <v>5990867</v>
      </c>
      <c r="AD100" s="45"/>
      <c r="AE100" s="48">
        <v>0</v>
      </c>
      <c r="AF100" s="48"/>
      <c r="AG100" s="45">
        <v>596215</v>
      </c>
      <c r="AH100" s="45"/>
      <c r="AI100" s="45">
        <v>3775455</v>
      </c>
      <c r="AJ100" s="45"/>
      <c r="AK100" s="45">
        <v>-3476</v>
      </c>
      <c r="AL100" s="45"/>
      <c r="AM100" s="45">
        <f>+'Gen rev'!U100-'Gen exp'!AC100-AG100+'Gen rev'!W100+AI100+AK100-'Gen Bal'!S100-'Gen exp'!AE100</f>
        <v>0</v>
      </c>
      <c r="AN100" s="44"/>
      <c r="AO100" s="44"/>
      <c r="AP100" s="44"/>
      <c r="AQ100" s="44"/>
    </row>
    <row r="101" spans="1:45" s="49" customFormat="1" ht="12.75" customHeight="1">
      <c r="A101" s="28" t="s">
        <v>126</v>
      </c>
      <c r="C101" s="28" t="s">
        <v>27</v>
      </c>
      <c r="E101" s="45">
        <v>2426662</v>
      </c>
      <c r="F101" s="45"/>
      <c r="G101" s="45">
        <v>5211183</v>
      </c>
      <c r="H101" s="45"/>
      <c r="I101" s="45">
        <v>90003</v>
      </c>
      <c r="J101" s="45"/>
      <c r="K101" s="45">
        <v>37892</v>
      </c>
      <c r="L101" s="45"/>
      <c r="M101" s="45">
        <v>0</v>
      </c>
      <c r="N101" s="45"/>
      <c r="O101" s="45">
        <v>19703</v>
      </c>
      <c r="P101" s="45"/>
      <c r="Q101" s="45">
        <v>1816333</v>
      </c>
      <c r="R101" s="45"/>
      <c r="S101" s="45">
        <v>0</v>
      </c>
      <c r="T101" s="45"/>
      <c r="U101" s="45">
        <v>0</v>
      </c>
      <c r="V101" s="45"/>
      <c r="W101" s="45">
        <v>0</v>
      </c>
      <c r="X101" s="45"/>
      <c r="Y101" s="45">
        <v>0</v>
      </c>
      <c r="Z101" s="44"/>
      <c r="AA101" s="45">
        <v>0</v>
      </c>
      <c r="AB101" s="44"/>
      <c r="AC101" s="45">
        <f t="shared" si="3"/>
        <v>9601776</v>
      </c>
      <c r="AD101" s="45"/>
      <c r="AE101" s="48">
        <v>0</v>
      </c>
      <c r="AF101" s="48"/>
      <c r="AG101" s="45">
        <v>1136174</v>
      </c>
      <c r="AH101" s="45"/>
      <c r="AI101" s="45">
        <v>5742597</v>
      </c>
      <c r="AJ101" s="45"/>
      <c r="AK101" s="45">
        <v>-359</v>
      </c>
      <c r="AL101" s="45"/>
      <c r="AM101" s="45">
        <f>+'Gen rev'!U101-'Gen exp'!AC101-AG101+'Gen rev'!W101+AI101+AK101-'Gen Bal'!S101-'Gen exp'!AE101</f>
        <v>0</v>
      </c>
      <c r="AN101" s="44"/>
      <c r="AO101" s="44"/>
      <c r="AP101" s="44"/>
      <c r="AQ101" s="44"/>
    </row>
    <row r="102" spans="1:45" s="49" customFormat="1" ht="12.75" customHeight="1">
      <c r="A102" s="28" t="s">
        <v>127</v>
      </c>
      <c r="C102" s="28" t="s">
        <v>43</v>
      </c>
      <c r="E102" s="45">
        <v>4374417</v>
      </c>
      <c r="F102" s="45"/>
      <c r="G102" s="45">
        <v>8065139</v>
      </c>
      <c r="H102" s="45"/>
      <c r="I102" s="45">
        <v>2816455</v>
      </c>
      <c r="J102" s="45"/>
      <c r="K102" s="45">
        <v>171913</v>
      </c>
      <c r="L102" s="45"/>
      <c r="M102" s="45">
        <v>0</v>
      </c>
      <c r="N102" s="45"/>
      <c r="O102" s="45">
        <v>2777991</v>
      </c>
      <c r="P102" s="45"/>
      <c r="Q102" s="45">
        <v>0</v>
      </c>
      <c r="R102" s="45"/>
      <c r="S102" s="45">
        <v>0</v>
      </c>
      <c r="T102" s="45"/>
      <c r="U102" s="45">
        <v>0</v>
      </c>
      <c r="V102" s="45"/>
      <c r="W102" s="45">
        <v>0</v>
      </c>
      <c r="X102" s="45"/>
      <c r="Y102" s="45">
        <v>0</v>
      </c>
      <c r="Z102" s="44"/>
      <c r="AA102" s="45">
        <v>0</v>
      </c>
      <c r="AB102" s="44"/>
      <c r="AC102" s="45">
        <f t="shared" si="3"/>
        <v>18205915</v>
      </c>
      <c r="AD102" s="45"/>
      <c r="AE102" s="48">
        <v>0</v>
      </c>
      <c r="AF102" s="48"/>
      <c r="AG102" s="45">
        <v>0</v>
      </c>
      <c r="AH102" s="45"/>
      <c r="AI102" s="45">
        <v>3213378</v>
      </c>
      <c r="AJ102" s="45"/>
      <c r="AK102" s="45">
        <v>0</v>
      </c>
      <c r="AL102" s="45"/>
      <c r="AM102" s="45">
        <f>+'Gen rev'!U102-'Gen exp'!AC102-AG102+'Gen rev'!W102+AI102+AK102-'Gen Bal'!S102-'Gen exp'!AE102</f>
        <v>0</v>
      </c>
      <c r="AN102" s="44"/>
      <c r="AO102" s="44"/>
      <c r="AP102" s="44"/>
      <c r="AQ102" s="44"/>
    </row>
    <row r="103" spans="1:45" s="49" customFormat="1" ht="12.75" customHeight="1">
      <c r="A103" s="28" t="s">
        <v>128</v>
      </c>
      <c r="C103" s="28" t="s">
        <v>119</v>
      </c>
      <c r="E103" s="45">
        <f>857576+290771</f>
        <v>1148347</v>
      </c>
      <c r="F103" s="45"/>
      <c r="G103" s="45">
        <v>3099527</v>
      </c>
      <c r="H103" s="45"/>
      <c r="I103" s="45">
        <v>31081</v>
      </c>
      <c r="J103" s="45"/>
      <c r="K103" s="45">
        <v>0</v>
      </c>
      <c r="L103" s="45"/>
      <c r="M103" s="45">
        <v>0</v>
      </c>
      <c r="N103" s="45"/>
      <c r="O103" s="45">
        <v>0</v>
      </c>
      <c r="P103" s="45"/>
      <c r="Q103" s="45">
        <v>0</v>
      </c>
      <c r="R103" s="45"/>
      <c r="S103" s="45">
        <v>174168</v>
      </c>
      <c r="T103" s="45"/>
      <c r="U103" s="45">
        <v>0</v>
      </c>
      <c r="V103" s="45"/>
      <c r="W103" s="45">
        <v>33354</v>
      </c>
      <c r="X103" s="45"/>
      <c r="Y103" s="45">
        <v>685</v>
      </c>
      <c r="Z103" s="44"/>
      <c r="AA103" s="45">
        <v>0</v>
      </c>
      <c r="AB103" s="44"/>
      <c r="AC103" s="45">
        <f t="shared" si="3"/>
        <v>4487162</v>
      </c>
      <c r="AD103" s="45"/>
      <c r="AE103" s="48">
        <v>0</v>
      </c>
      <c r="AF103" s="48"/>
      <c r="AG103" s="45">
        <v>872228</v>
      </c>
      <c r="AH103" s="45"/>
      <c r="AI103" s="45">
        <v>2067535</v>
      </c>
      <c r="AJ103" s="45"/>
      <c r="AK103" s="45">
        <v>0</v>
      </c>
      <c r="AL103" s="45"/>
      <c r="AM103" s="45">
        <f>+'Gen rev'!U103-'Gen exp'!AC103-AG103+'Gen rev'!W103+AI103+AK103-'Gen Bal'!S103-'Gen exp'!AE103</f>
        <v>0</v>
      </c>
      <c r="AN103" s="44"/>
      <c r="AO103" s="44"/>
      <c r="AP103" s="44"/>
      <c r="AQ103" s="44"/>
    </row>
    <row r="104" spans="1:45" s="49" customFormat="1" ht="12.75" customHeight="1">
      <c r="A104" s="28" t="s">
        <v>129</v>
      </c>
      <c r="C104" s="28" t="s">
        <v>80</v>
      </c>
      <c r="E104" s="45">
        <v>379670</v>
      </c>
      <c r="F104" s="45"/>
      <c r="G104" s="45">
        <v>1683672</v>
      </c>
      <c r="H104" s="45"/>
      <c r="I104" s="45">
        <v>516</v>
      </c>
      <c r="J104" s="45"/>
      <c r="K104" s="45">
        <v>14974</v>
      </c>
      <c r="L104" s="45"/>
      <c r="M104" s="45">
        <v>0</v>
      </c>
      <c r="N104" s="45"/>
      <c r="O104" s="45">
        <v>3550</v>
      </c>
      <c r="P104" s="45"/>
      <c r="Q104" s="45">
        <v>0</v>
      </c>
      <c r="R104" s="45"/>
      <c r="S104" s="45">
        <v>0</v>
      </c>
      <c r="T104" s="45"/>
      <c r="U104" s="45">
        <v>0</v>
      </c>
      <c r="V104" s="45"/>
      <c r="W104" s="45">
        <v>11455</v>
      </c>
      <c r="X104" s="45"/>
      <c r="Y104" s="45">
        <v>2933</v>
      </c>
      <c r="Z104" s="44"/>
      <c r="AA104" s="45">
        <v>0</v>
      </c>
      <c r="AB104" s="44"/>
      <c r="AC104" s="45">
        <f t="shared" si="3"/>
        <v>2096770</v>
      </c>
      <c r="AD104" s="45"/>
      <c r="AE104" s="48">
        <v>0</v>
      </c>
      <c r="AF104" s="48"/>
      <c r="AG104" s="45">
        <v>825641</v>
      </c>
      <c r="AH104" s="45"/>
      <c r="AI104" s="45">
        <v>474754</v>
      </c>
      <c r="AJ104" s="45"/>
      <c r="AK104" s="45">
        <v>0</v>
      </c>
      <c r="AL104" s="45"/>
      <c r="AM104" s="45">
        <f>+'Gen rev'!U104-'Gen exp'!AC104-AG104+'Gen rev'!W104+AI104+AK104-'Gen Bal'!S104-'Gen exp'!AE104</f>
        <v>0</v>
      </c>
      <c r="AN104" s="45"/>
      <c r="AO104" s="45"/>
      <c r="AP104" s="45"/>
      <c r="AQ104" s="45"/>
      <c r="AR104" s="52"/>
      <c r="AS104" s="50"/>
    </row>
    <row r="105" spans="1:45" s="49" customFormat="1" ht="12.75" customHeight="1">
      <c r="A105" s="64" t="s">
        <v>130</v>
      </c>
      <c r="B105" s="46"/>
      <c r="C105" s="64" t="s">
        <v>66</v>
      </c>
      <c r="D105" s="46"/>
      <c r="E105" s="45">
        <v>3210664</v>
      </c>
      <c r="F105" s="45"/>
      <c r="G105" s="45">
        <v>970503</v>
      </c>
      <c r="H105" s="45"/>
      <c r="I105" s="45">
        <v>963506</v>
      </c>
      <c r="J105" s="45"/>
      <c r="K105" s="45">
        <v>0</v>
      </c>
      <c r="L105" s="45"/>
      <c r="M105" s="45">
        <v>0</v>
      </c>
      <c r="N105" s="45"/>
      <c r="O105" s="45">
        <v>0</v>
      </c>
      <c r="P105" s="45"/>
      <c r="Q105" s="45">
        <v>0</v>
      </c>
      <c r="R105" s="45"/>
      <c r="S105" s="45">
        <v>128293</v>
      </c>
      <c r="T105" s="45"/>
      <c r="U105" s="45">
        <v>0</v>
      </c>
      <c r="V105" s="45"/>
      <c r="W105" s="45">
        <v>5339</v>
      </c>
      <c r="X105" s="45"/>
      <c r="Y105" s="45">
        <v>93</v>
      </c>
      <c r="Z105" s="44"/>
      <c r="AA105" s="45">
        <v>0</v>
      </c>
      <c r="AB105" s="44"/>
      <c r="AC105" s="45">
        <f t="shared" si="3"/>
        <v>5278398</v>
      </c>
      <c r="AD105" s="45"/>
      <c r="AE105" s="48">
        <v>0</v>
      </c>
      <c r="AF105" s="48"/>
      <c r="AG105" s="45">
        <v>6945000</v>
      </c>
      <c r="AH105" s="45"/>
      <c r="AI105" s="45">
        <v>9209727</v>
      </c>
      <c r="AJ105" s="45"/>
      <c r="AK105" s="45">
        <v>-4212</v>
      </c>
      <c r="AL105" s="45"/>
      <c r="AM105" s="45">
        <f>+'Gen rev'!U105-'Gen exp'!AC105-AG105+'Gen rev'!W105+AI105+AK105-'Gen Bal'!S105-'Gen exp'!AE105</f>
        <v>0</v>
      </c>
      <c r="AN105" s="45"/>
      <c r="AO105" s="45"/>
      <c r="AP105" s="45"/>
      <c r="AQ105" s="45"/>
      <c r="AR105" s="52"/>
      <c r="AS105" s="50"/>
    </row>
    <row r="106" spans="1:45" s="49" customFormat="1" ht="12.75" customHeight="1">
      <c r="A106" s="28" t="s">
        <v>131</v>
      </c>
      <c r="C106" s="28" t="s">
        <v>13</v>
      </c>
      <c r="E106" s="45">
        <v>5194750</v>
      </c>
      <c r="F106" s="45"/>
      <c r="G106" s="45">
        <v>3846661</v>
      </c>
      <c r="H106" s="45"/>
      <c r="I106" s="45">
        <v>1264761</v>
      </c>
      <c r="J106" s="45"/>
      <c r="K106" s="45">
        <v>304824</v>
      </c>
      <c r="L106" s="45"/>
      <c r="M106" s="45">
        <v>0</v>
      </c>
      <c r="N106" s="45"/>
      <c r="O106" s="45">
        <v>0</v>
      </c>
      <c r="P106" s="45"/>
      <c r="Q106" s="45">
        <v>0</v>
      </c>
      <c r="R106" s="45"/>
      <c r="S106" s="45">
        <v>172929</v>
      </c>
      <c r="T106" s="45"/>
      <c r="U106" s="45">
        <v>0</v>
      </c>
      <c r="V106" s="45"/>
      <c r="W106" s="45">
        <v>0</v>
      </c>
      <c r="X106" s="45"/>
      <c r="Y106" s="45">
        <v>0</v>
      </c>
      <c r="Z106" s="44"/>
      <c r="AA106" s="45">
        <v>0</v>
      </c>
      <c r="AB106" s="44"/>
      <c r="AC106" s="45">
        <f t="shared" si="3"/>
        <v>10783925</v>
      </c>
      <c r="AD106" s="45"/>
      <c r="AE106" s="48">
        <v>0</v>
      </c>
      <c r="AF106" s="48"/>
      <c r="AG106" s="45">
        <v>7558147</v>
      </c>
      <c r="AH106" s="45"/>
      <c r="AI106" s="45">
        <v>12858608</v>
      </c>
      <c r="AJ106" s="45"/>
      <c r="AK106" s="45">
        <v>0</v>
      </c>
      <c r="AL106" s="45"/>
      <c r="AM106" s="45">
        <f>+'Gen rev'!U106-'Gen exp'!AC106-AG106+'Gen rev'!W106+AI106+AK106-'Gen Bal'!S106-'Gen exp'!AE106</f>
        <v>0</v>
      </c>
      <c r="AN106" s="45"/>
      <c r="AO106" s="45"/>
      <c r="AP106" s="45"/>
      <c r="AQ106" s="45"/>
      <c r="AR106" s="52"/>
      <c r="AS106" s="50"/>
    </row>
    <row r="107" spans="1:45" s="49" customFormat="1" ht="12.75" customHeight="1">
      <c r="A107" s="28" t="s">
        <v>38</v>
      </c>
      <c r="C107" s="28" t="s">
        <v>132</v>
      </c>
      <c r="E107" s="45">
        <v>880889</v>
      </c>
      <c r="F107" s="45"/>
      <c r="G107" s="45">
        <v>1320812</v>
      </c>
      <c r="H107" s="45"/>
      <c r="I107" s="45">
        <v>0</v>
      </c>
      <c r="J107" s="45"/>
      <c r="K107" s="45">
        <v>0</v>
      </c>
      <c r="L107" s="45"/>
      <c r="M107" s="45">
        <v>0</v>
      </c>
      <c r="N107" s="45"/>
      <c r="O107" s="45">
        <v>0</v>
      </c>
      <c r="P107" s="45"/>
      <c r="Q107" s="45">
        <f>649563+10204</f>
        <v>659767</v>
      </c>
      <c r="R107" s="45"/>
      <c r="S107" s="45">
        <v>0</v>
      </c>
      <c r="T107" s="45"/>
      <c r="U107" s="45">
        <v>0</v>
      </c>
      <c r="V107" s="45"/>
      <c r="W107" s="45">
        <v>0</v>
      </c>
      <c r="X107" s="45"/>
      <c r="Y107" s="45">
        <v>0</v>
      </c>
      <c r="Z107" s="44"/>
      <c r="AA107" s="45">
        <v>0</v>
      </c>
      <c r="AB107" s="44"/>
      <c r="AC107" s="45">
        <f t="shared" si="3"/>
        <v>2861468</v>
      </c>
      <c r="AD107" s="45"/>
      <c r="AE107" s="48">
        <v>0</v>
      </c>
      <c r="AF107" s="48"/>
      <c r="AG107" s="45">
        <v>1146943</v>
      </c>
      <c r="AH107" s="45"/>
      <c r="AI107" s="45">
        <v>834880</v>
      </c>
      <c r="AJ107" s="45"/>
      <c r="AK107" s="45">
        <v>0</v>
      </c>
      <c r="AL107" s="45"/>
      <c r="AM107" s="45">
        <f>+'Gen rev'!U107-'Gen exp'!AC107-AG107+'Gen rev'!W107+AI107+AK107-'Gen Bal'!S107-'Gen exp'!AE107</f>
        <v>0</v>
      </c>
      <c r="AN107" s="45"/>
      <c r="AO107" s="45"/>
      <c r="AP107" s="45"/>
      <c r="AQ107" s="45"/>
      <c r="AR107" s="52"/>
      <c r="AS107" s="50"/>
    </row>
    <row r="108" spans="1:45" s="49" customFormat="1" ht="12.75" customHeight="1">
      <c r="A108" s="28" t="s">
        <v>133</v>
      </c>
      <c r="C108" s="28" t="s">
        <v>27</v>
      </c>
      <c r="E108" s="45">
        <v>5565206</v>
      </c>
      <c r="F108" s="45"/>
      <c r="G108" s="45">
        <v>7739210</v>
      </c>
      <c r="H108" s="45"/>
      <c r="I108" s="45">
        <v>2241800</v>
      </c>
      <c r="J108" s="45"/>
      <c r="K108" s="45">
        <v>0</v>
      </c>
      <c r="L108" s="45"/>
      <c r="M108" s="45">
        <v>769039</v>
      </c>
      <c r="N108" s="45"/>
      <c r="O108" s="45">
        <v>2696945</v>
      </c>
      <c r="P108" s="45"/>
      <c r="Q108" s="45">
        <v>526243</v>
      </c>
      <c r="R108" s="45"/>
      <c r="S108" s="45">
        <v>0</v>
      </c>
      <c r="T108" s="45"/>
      <c r="U108" s="45">
        <v>0</v>
      </c>
      <c r="V108" s="45"/>
      <c r="W108" s="45">
        <v>0</v>
      </c>
      <c r="X108" s="45"/>
      <c r="Y108" s="45">
        <v>0</v>
      </c>
      <c r="Z108" s="44"/>
      <c r="AA108" s="45">
        <v>0</v>
      </c>
      <c r="AB108" s="44"/>
      <c r="AC108" s="45">
        <f t="shared" si="3"/>
        <v>19538443</v>
      </c>
      <c r="AD108" s="45"/>
      <c r="AE108" s="48">
        <v>0</v>
      </c>
      <c r="AF108" s="48"/>
      <c r="AG108" s="45">
        <v>6024000</v>
      </c>
      <c r="AH108" s="45"/>
      <c r="AI108" s="45">
        <v>12791614</v>
      </c>
      <c r="AJ108" s="45"/>
      <c r="AK108" s="45">
        <v>0</v>
      </c>
      <c r="AL108" s="45"/>
      <c r="AM108" s="45">
        <f>+'Gen rev'!U109-'Gen exp'!AC108-AG108+'Gen rev'!W109+AI108+AK108-'Gen Bal'!S108-'Gen exp'!AE108</f>
        <v>0</v>
      </c>
      <c r="AN108" s="45"/>
      <c r="AO108" s="45"/>
      <c r="AP108" s="45"/>
      <c r="AQ108" s="45"/>
      <c r="AR108" s="52"/>
      <c r="AS108" s="50"/>
    </row>
    <row r="109" spans="1:45" s="49" customFormat="1" ht="12.75" customHeight="1">
      <c r="A109" s="28" t="s">
        <v>482</v>
      </c>
      <c r="C109" s="28" t="s">
        <v>45</v>
      </c>
      <c r="E109" s="45">
        <v>1603616</v>
      </c>
      <c r="F109" s="45"/>
      <c r="G109" s="45">
        <v>4694433</v>
      </c>
      <c r="H109" s="45"/>
      <c r="I109" s="45">
        <v>1422459</v>
      </c>
      <c r="J109" s="45"/>
      <c r="K109" s="45">
        <v>142402</v>
      </c>
      <c r="L109" s="45"/>
      <c r="M109" s="45">
        <v>0</v>
      </c>
      <c r="N109" s="45"/>
      <c r="O109" s="45">
        <v>946658</v>
      </c>
      <c r="P109" s="45"/>
      <c r="Q109" s="45">
        <v>0</v>
      </c>
      <c r="R109" s="45"/>
      <c r="S109" s="45">
        <v>0</v>
      </c>
      <c r="T109" s="45"/>
      <c r="U109" s="45">
        <v>0</v>
      </c>
      <c r="V109" s="45"/>
      <c r="W109" s="45">
        <v>0</v>
      </c>
      <c r="X109" s="45"/>
      <c r="Y109" s="45">
        <v>0</v>
      </c>
      <c r="Z109" s="44"/>
      <c r="AA109" s="45">
        <v>0</v>
      </c>
      <c r="AB109" s="44"/>
      <c r="AC109" s="45">
        <f t="shared" si="3"/>
        <v>8809568</v>
      </c>
      <c r="AD109" s="45"/>
      <c r="AE109" s="48">
        <v>0</v>
      </c>
      <c r="AF109" s="48"/>
      <c r="AG109" s="45">
        <v>1197463</v>
      </c>
      <c r="AH109" s="45"/>
      <c r="AI109" s="45">
        <v>2131726</v>
      </c>
      <c r="AJ109" s="45"/>
      <c r="AK109" s="45">
        <v>-136253</v>
      </c>
      <c r="AL109" s="45"/>
      <c r="AM109" s="45">
        <f>+'Gen rev'!U110-'Gen exp'!AC109-AG109+'Gen rev'!W110+AI109+AK109-'Gen Bal'!S109-'Gen exp'!AE109</f>
        <v>0</v>
      </c>
      <c r="AN109" s="45"/>
      <c r="AO109" s="45"/>
      <c r="AP109" s="45"/>
      <c r="AQ109" s="45"/>
      <c r="AR109" s="52"/>
      <c r="AS109" s="50"/>
    </row>
    <row r="110" spans="1:45" s="49" customFormat="1" ht="12.75" customHeight="1">
      <c r="A110" s="28" t="s">
        <v>136</v>
      </c>
      <c r="C110" s="28" t="s">
        <v>136</v>
      </c>
      <c r="E110" s="45">
        <v>1196652</v>
      </c>
      <c r="F110" s="45"/>
      <c r="G110" s="45">
        <v>1762075</v>
      </c>
      <c r="H110" s="45"/>
      <c r="I110" s="45">
        <v>0</v>
      </c>
      <c r="J110" s="45"/>
      <c r="K110" s="45">
        <v>0</v>
      </c>
      <c r="L110" s="45"/>
      <c r="M110" s="45">
        <v>115089</v>
      </c>
      <c r="N110" s="45"/>
      <c r="O110" s="45">
        <v>0</v>
      </c>
      <c r="P110" s="45"/>
      <c r="Q110" s="45">
        <v>0</v>
      </c>
      <c r="R110" s="45"/>
      <c r="S110" s="45">
        <v>0</v>
      </c>
      <c r="T110" s="45"/>
      <c r="U110" s="45">
        <v>0</v>
      </c>
      <c r="V110" s="45"/>
      <c r="W110" s="45">
        <v>796</v>
      </c>
      <c r="X110" s="45"/>
      <c r="Y110" s="45">
        <v>1500</v>
      </c>
      <c r="Z110" s="44"/>
      <c r="AA110" s="45">
        <v>0</v>
      </c>
      <c r="AB110" s="44"/>
      <c r="AC110" s="45">
        <f t="shared" si="3"/>
        <v>3076112</v>
      </c>
      <c r="AD110" s="45"/>
      <c r="AE110" s="48">
        <v>0</v>
      </c>
      <c r="AF110" s="48"/>
      <c r="AG110" s="45">
        <v>169385</v>
      </c>
      <c r="AH110" s="45"/>
      <c r="AI110" s="45">
        <v>1532890</v>
      </c>
      <c r="AJ110" s="45"/>
      <c r="AK110" s="45">
        <v>0</v>
      </c>
      <c r="AL110" s="45"/>
      <c r="AM110" s="45">
        <f>+'Gen rev'!U111-'Gen exp'!AC110-AG110+'Gen rev'!W111+AI110+AK110-'Gen Bal'!S110-'Gen exp'!AE110</f>
        <v>0</v>
      </c>
      <c r="AN110" s="45"/>
      <c r="AO110" s="45"/>
      <c r="AP110" s="45"/>
      <c r="AQ110" s="45"/>
      <c r="AR110" s="52"/>
      <c r="AS110" s="50"/>
    </row>
    <row r="111" spans="1:45" s="49" customFormat="1" ht="12.75" customHeight="1">
      <c r="A111" s="28" t="s">
        <v>137</v>
      </c>
      <c r="C111" s="28" t="s">
        <v>22</v>
      </c>
      <c r="E111" s="45">
        <v>2186391</v>
      </c>
      <c r="F111" s="45"/>
      <c r="G111" s="45">
        <v>4021836</v>
      </c>
      <c r="H111" s="45"/>
      <c r="I111" s="45">
        <v>1378158</v>
      </c>
      <c r="J111" s="45"/>
      <c r="K111" s="45">
        <v>491271</v>
      </c>
      <c r="L111" s="45"/>
      <c r="M111" s="45">
        <v>0</v>
      </c>
      <c r="N111" s="45"/>
      <c r="O111" s="45">
        <v>0</v>
      </c>
      <c r="P111" s="45"/>
      <c r="Q111" s="45">
        <v>0</v>
      </c>
      <c r="R111" s="45"/>
      <c r="S111" s="45">
        <v>0</v>
      </c>
      <c r="T111" s="45"/>
      <c r="U111" s="45">
        <v>0</v>
      </c>
      <c r="V111" s="45"/>
      <c r="W111" s="45">
        <v>0</v>
      </c>
      <c r="X111" s="45"/>
      <c r="Y111" s="45">
        <v>0</v>
      </c>
      <c r="Z111" s="44"/>
      <c r="AA111" s="45">
        <v>0</v>
      </c>
      <c r="AB111" s="44"/>
      <c r="AC111" s="45">
        <f t="shared" si="3"/>
        <v>8077656</v>
      </c>
      <c r="AD111" s="45"/>
      <c r="AE111" s="48">
        <v>0</v>
      </c>
      <c r="AF111" s="48"/>
      <c r="AG111" s="45">
        <v>98469</v>
      </c>
      <c r="AH111" s="45"/>
      <c r="AI111" s="45">
        <v>9432283</v>
      </c>
      <c r="AJ111" s="45"/>
      <c r="AK111" s="45">
        <v>0</v>
      </c>
      <c r="AL111" s="45"/>
      <c r="AM111" s="45">
        <f>+'Gen rev'!U112-'Gen exp'!AC111-AG111+'Gen rev'!W112+AI111+AK111-'Gen Bal'!S111-'Gen exp'!AE111</f>
        <v>0</v>
      </c>
      <c r="AN111" s="45"/>
      <c r="AO111" s="45"/>
      <c r="AP111" s="45"/>
      <c r="AQ111" s="45"/>
      <c r="AR111" s="52"/>
      <c r="AS111" s="50"/>
    </row>
    <row r="112" spans="1:45" s="49" customFormat="1" ht="12.75" hidden="1" customHeight="1">
      <c r="A112" s="28" t="s">
        <v>138</v>
      </c>
      <c r="C112" s="28" t="s">
        <v>139</v>
      </c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5">
        <v>0</v>
      </c>
      <c r="T112" s="45"/>
      <c r="U112" s="45">
        <v>0</v>
      </c>
      <c r="V112" s="45"/>
      <c r="W112" s="45">
        <v>0</v>
      </c>
      <c r="X112" s="45"/>
      <c r="Y112" s="45">
        <v>0</v>
      </c>
      <c r="Z112" s="44"/>
      <c r="AA112" s="45">
        <v>0</v>
      </c>
      <c r="AB112" s="44"/>
      <c r="AC112" s="45">
        <f t="shared" si="3"/>
        <v>0</v>
      </c>
      <c r="AD112" s="45"/>
      <c r="AE112" s="48">
        <v>0</v>
      </c>
      <c r="AF112" s="48"/>
      <c r="AG112" s="45">
        <v>0</v>
      </c>
      <c r="AH112" s="45"/>
      <c r="AI112" s="45">
        <v>0</v>
      </c>
      <c r="AJ112" s="45"/>
      <c r="AK112" s="45">
        <v>0</v>
      </c>
      <c r="AL112" s="45"/>
      <c r="AM112" s="45">
        <f>+'Gen rev'!U113-'Gen exp'!AC112-AG112+'Gen rev'!W113+AI112+AK112-'Gen Bal'!S112-'Gen exp'!AE112</f>
        <v>0</v>
      </c>
      <c r="AN112" s="45"/>
      <c r="AO112" s="45"/>
      <c r="AP112" s="45"/>
      <c r="AQ112" s="45"/>
      <c r="AR112" s="52"/>
      <c r="AS112" s="50"/>
    </row>
    <row r="113" spans="1:45" s="49" customFormat="1" ht="12.75" customHeight="1">
      <c r="A113" s="28" t="s">
        <v>140</v>
      </c>
      <c r="C113" s="28" t="s">
        <v>66</v>
      </c>
      <c r="E113" s="45">
        <v>11139361</v>
      </c>
      <c r="F113" s="45"/>
      <c r="G113" s="45">
        <f>12419691+10202668</f>
        <v>22622359</v>
      </c>
      <c r="H113" s="45"/>
      <c r="I113" s="45">
        <v>0</v>
      </c>
      <c r="J113" s="45"/>
      <c r="K113" s="45">
        <v>0</v>
      </c>
      <c r="L113" s="45"/>
      <c r="M113" s="45">
        <v>2787380</v>
      </c>
      <c r="N113" s="45"/>
      <c r="O113" s="45">
        <v>0</v>
      </c>
      <c r="P113" s="45"/>
      <c r="Q113" s="45">
        <v>0</v>
      </c>
      <c r="R113" s="45"/>
      <c r="S113" s="45">
        <v>0</v>
      </c>
      <c r="T113" s="45"/>
      <c r="U113" s="45">
        <v>0</v>
      </c>
      <c r="V113" s="45"/>
      <c r="W113" s="45">
        <v>0</v>
      </c>
      <c r="X113" s="45"/>
      <c r="Y113" s="45">
        <v>0</v>
      </c>
      <c r="Z113" s="44"/>
      <c r="AA113" s="45">
        <v>0</v>
      </c>
      <c r="AB113" s="44"/>
      <c r="AC113" s="45">
        <f t="shared" si="3"/>
        <v>36549100</v>
      </c>
      <c r="AD113" s="45"/>
      <c r="AE113" s="48">
        <v>0</v>
      </c>
      <c r="AF113" s="48"/>
      <c r="AG113" s="45">
        <v>15221132</v>
      </c>
      <c r="AH113" s="45"/>
      <c r="AI113" s="45">
        <v>40457246</v>
      </c>
      <c r="AJ113" s="45"/>
      <c r="AK113" s="45">
        <v>0</v>
      </c>
      <c r="AL113" s="45"/>
      <c r="AM113" s="45">
        <f>+'Gen rev'!U114-'Gen exp'!AC113-AG113+'Gen rev'!W114+AI113+AK113-'Gen Bal'!S114-'Gen exp'!AE113</f>
        <v>0</v>
      </c>
      <c r="AN113" s="45"/>
      <c r="AO113" s="45"/>
      <c r="AP113" s="45"/>
      <c r="AQ113" s="45"/>
      <c r="AR113" s="52"/>
      <c r="AS113" s="50"/>
    </row>
    <row r="114" spans="1:45" s="49" customFormat="1" ht="12.75" customHeight="1">
      <c r="A114" s="28" t="s">
        <v>478</v>
      </c>
      <c r="C114" s="28" t="s">
        <v>92</v>
      </c>
      <c r="E114" s="45">
        <v>1706617</v>
      </c>
      <c r="F114" s="45"/>
      <c r="G114" s="45">
        <v>1312292</v>
      </c>
      <c r="H114" s="45"/>
      <c r="I114" s="45">
        <v>72136</v>
      </c>
      <c r="J114" s="45"/>
      <c r="K114" s="45">
        <v>78735</v>
      </c>
      <c r="L114" s="45"/>
      <c r="M114" s="45">
        <v>1010655</v>
      </c>
      <c r="N114" s="45"/>
      <c r="O114" s="45">
        <v>112017</v>
      </c>
      <c r="P114" s="45"/>
      <c r="Q114" s="45">
        <v>0</v>
      </c>
      <c r="R114" s="45"/>
      <c r="S114" s="45">
        <v>0</v>
      </c>
      <c r="T114" s="45"/>
      <c r="U114" s="45">
        <v>0</v>
      </c>
      <c r="V114" s="45"/>
      <c r="W114" s="45">
        <v>25416</v>
      </c>
      <c r="X114" s="45"/>
      <c r="Y114" s="45">
        <v>2963</v>
      </c>
      <c r="Z114" s="44"/>
      <c r="AA114" s="45">
        <v>0</v>
      </c>
      <c r="AB114" s="44"/>
      <c r="AC114" s="45">
        <f t="shared" si="3"/>
        <v>4320831</v>
      </c>
      <c r="AD114" s="45"/>
      <c r="AE114" s="48">
        <v>0</v>
      </c>
      <c r="AF114" s="48"/>
      <c r="AG114" s="45">
        <f>75000+490689</f>
        <v>565689</v>
      </c>
      <c r="AH114" s="45"/>
      <c r="AI114" s="45">
        <v>633012</v>
      </c>
      <c r="AJ114" s="45"/>
      <c r="AK114" s="45">
        <v>0</v>
      </c>
      <c r="AL114" s="45"/>
      <c r="AM114" s="45">
        <f>+'Gen rev'!U115-'Gen exp'!AC114-AG114+'Gen rev'!W115+AI114+AK114-'Gen Bal'!S115-'Gen exp'!AE114</f>
        <v>0</v>
      </c>
      <c r="AN114" s="45"/>
      <c r="AO114" s="45"/>
      <c r="AP114" s="45"/>
      <c r="AQ114" s="45"/>
      <c r="AR114" s="52"/>
      <c r="AS114" s="50"/>
    </row>
    <row r="115" spans="1:45" s="49" customFormat="1" ht="12.75" customHeight="1">
      <c r="A115" s="28" t="s">
        <v>141</v>
      </c>
      <c r="C115" s="28" t="s">
        <v>27</v>
      </c>
      <c r="E115" s="45">
        <v>7991623</v>
      </c>
      <c r="F115" s="45"/>
      <c r="G115" s="45">
        <f>10582093+6364514</f>
        <v>16946607</v>
      </c>
      <c r="H115" s="45"/>
      <c r="I115" s="45">
        <v>1916869</v>
      </c>
      <c r="J115" s="45"/>
      <c r="K115" s="45">
        <v>612611</v>
      </c>
      <c r="L115" s="45"/>
      <c r="M115" s="45">
        <v>0</v>
      </c>
      <c r="N115" s="45"/>
      <c r="O115" s="45">
        <v>1542088</v>
      </c>
      <c r="P115" s="45"/>
      <c r="Q115" s="45">
        <v>3150020</v>
      </c>
      <c r="R115" s="45"/>
      <c r="S115" s="45">
        <v>55075</v>
      </c>
      <c r="T115" s="45"/>
      <c r="U115" s="45">
        <v>0</v>
      </c>
      <c r="V115" s="45"/>
      <c r="W115" s="45">
        <v>870883</v>
      </c>
      <c r="X115" s="45"/>
      <c r="Y115" s="45">
        <v>254441</v>
      </c>
      <c r="Z115" s="44"/>
      <c r="AA115" s="45">
        <v>0</v>
      </c>
      <c r="AB115" s="44"/>
      <c r="AC115" s="45">
        <f t="shared" si="3"/>
        <v>33340217</v>
      </c>
      <c r="AD115" s="45"/>
      <c r="AE115" s="48">
        <v>0</v>
      </c>
      <c r="AF115" s="48"/>
      <c r="AG115" s="45">
        <v>2208192</v>
      </c>
      <c r="AH115" s="45"/>
      <c r="AI115" s="45">
        <v>4799764</v>
      </c>
      <c r="AJ115" s="45"/>
      <c r="AK115" s="45">
        <v>0</v>
      </c>
      <c r="AL115" s="45"/>
      <c r="AM115" s="45">
        <f>+'Gen rev'!U116-'Gen exp'!AC115-AG115+'Gen rev'!W116+AI115+AK115-'Gen Bal'!S116-'Gen exp'!AE115</f>
        <v>0</v>
      </c>
      <c r="AN115" s="45"/>
      <c r="AO115" s="45"/>
      <c r="AP115" s="45"/>
      <c r="AQ115" s="45"/>
      <c r="AR115" s="52"/>
      <c r="AS115" s="50"/>
    </row>
    <row r="116" spans="1:45" s="123" customFormat="1" ht="12.75" hidden="1" customHeight="1">
      <c r="A116" s="151" t="s">
        <v>142</v>
      </c>
      <c r="B116" s="129"/>
      <c r="C116" s="151" t="s">
        <v>102</v>
      </c>
      <c r="D116" s="129"/>
      <c r="E116" s="127">
        <v>0</v>
      </c>
      <c r="F116" s="127"/>
      <c r="G116" s="127">
        <v>0</v>
      </c>
      <c r="H116" s="127"/>
      <c r="I116" s="127">
        <v>0</v>
      </c>
      <c r="J116" s="127"/>
      <c r="K116" s="127">
        <v>0</v>
      </c>
      <c r="L116" s="127"/>
      <c r="M116" s="127">
        <v>0</v>
      </c>
      <c r="N116" s="127"/>
      <c r="O116" s="127">
        <v>0</v>
      </c>
      <c r="P116" s="127"/>
      <c r="Q116" s="127">
        <v>0</v>
      </c>
      <c r="R116" s="127"/>
      <c r="S116" s="127">
        <v>0</v>
      </c>
      <c r="T116" s="127"/>
      <c r="U116" s="127">
        <v>0</v>
      </c>
      <c r="V116" s="127"/>
      <c r="W116" s="127">
        <v>0</v>
      </c>
      <c r="X116" s="127"/>
      <c r="Y116" s="127">
        <v>0</v>
      </c>
      <c r="Z116" s="121"/>
      <c r="AA116" s="127">
        <v>0</v>
      </c>
      <c r="AB116" s="121"/>
      <c r="AC116" s="127">
        <f t="shared" si="3"/>
        <v>0</v>
      </c>
      <c r="AD116" s="127"/>
      <c r="AE116" s="130">
        <v>0</v>
      </c>
      <c r="AF116" s="130"/>
      <c r="AG116" s="127">
        <v>0</v>
      </c>
      <c r="AH116" s="127"/>
      <c r="AI116" s="127">
        <v>0</v>
      </c>
      <c r="AJ116" s="127"/>
      <c r="AK116" s="127">
        <v>0</v>
      </c>
      <c r="AL116" s="127"/>
      <c r="AM116" s="127">
        <f>+'Gen rev'!U117-'Gen exp'!AC116-AG116+'Gen rev'!W117+AI116+AK116-'Gen Bal'!S117-'Gen exp'!AE116</f>
        <v>0</v>
      </c>
      <c r="AR116" s="131"/>
      <c r="AS116" s="152"/>
    </row>
    <row r="117" spans="1:45" s="49" customFormat="1" ht="12.75" customHeight="1">
      <c r="A117" s="28" t="s">
        <v>143</v>
      </c>
      <c r="C117" s="28" t="s">
        <v>111</v>
      </c>
      <c r="E117" s="45">
        <v>3720772</v>
      </c>
      <c r="F117" s="45"/>
      <c r="G117" s="45">
        <v>4106904</v>
      </c>
      <c r="H117" s="45"/>
      <c r="I117" s="45">
        <v>719343</v>
      </c>
      <c r="J117" s="45"/>
      <c r="K117" s="45">
        <v>0</v>
      </c>
      <c r="L117" s="45"/>
      <c r="M117" s="45">
        <v>0</v>
      </c>
      <c r="N117" s="45"/>
      <c r="O117" s="45">
        <v>390839</v>
      </c>
      <c r="P117" s="45"/>
      <c r="Q117" s="45">
        <v>0</v>
      </c>
      <c r="R117" s="45"/>
      <c r="S117" s="45">
        <v>0</v>
      </c>
      <c r="T117" s="45"/>
      <c r="U117" s="45">
        <v>0</v>
      </c>
      <c r="V117" s="45"/>
      <c r="W117" s="45">
        <v>438</v>
      </c>
      <c r="X117" s="45"/>
      <c r="Y117" s="45">
        <v>827</v>
      </c>
      <c r="Z117" s="44"/>
      <c r="AA117" s="45">
        <v>0</v>
      </c>
      <c r="AB117" s="44"/>
      <c r="AC117" s="45">
        <f t="shared" si="3"/>
        <v>8939123</v>
      </c>
      <c r="AD117" s="45"/>
      <c r="AE117" s="48">
        <v>0</v>
      </c>
      <c r="AF117" s="48"/>
      <c r="AG117" s="45">
        <v>76120</v>
      </c>
      <c r="AH117" s="45"/>
      <c r="AI117" s="45">
        <v>5000118</v>
      </c>
      <c r="AJ117" s="45"/>
      <c r="AK117" s="45">
        <v>0</v>
      </c>
      <c r="AL117" s="45"/>
      <c r="AM117" s="45">
        <f>+'Gen rev'!U118-'Gen exp'!AC117-AG117+'Gen rev'!W118+AI117+AK117-'Gen Bal'!S118-'Gen exp'!AE117</f>
        <v>0</v>
      </c>
      <c r="AN117" s="45"/>
      <c r="AO117" s="45"/>
      <c r="AP117" s="45"/>
      <c r="AQ117" s="45"/>
      <c r="AR117" s="52"/>
      <c r="AS117" s="50"/>
    </row>
    <row r="118" spans="1:45" s="49" customFormat="1" ht="12.75" customHeight="1">
      <c r="A118" s="28" t="s">
        <v>144</v>
      </c>
      <c r="C118" s="28" t="s">
        <v>88</v>
      </c>
      <c r="E118" s="45">
        <v>7844912</v>
      </c>
      <c r="F118" s="45"/>
      <c r="G118" s="45">
        <v>15251038</v>
      </c>
      <c r="H118" s="45"/>
      <c r="I118" s="45">
        <v>870487</v>
      </c>
      <c r="J118" s="45"/>
      <c r="K118" s="45">
        <v>0</v>
      </c>
      <c r="L118" s="45"/>
      <c r="M118" s="45">
        <v>1572448</v>
      </c>
      <c r="N118" s="45"/>
      <c r="O118" s="45">
        <v>917359</v>
      </c>
      <c r="P118" s="45"/>
      <c r="Q118" s="45">
        <v>0</v>
      </c>
      <c r="R118" s="45"/>
      <c r="S118" s="45">
        <v>493194</v>
      </c>
      <c r="T118" s="45"/>
      <c r="U118" s="45">
        <v>0</v>
      </c>
      <c r="V118" s="45"/>
      <c r="W118" s="45">
        <v>725545</v>
      </c>
      <c r="X118" s="45"/>
      <c r="Y118" s="45">
        <v>45910</v>
      </c>
      <c r="Z118" s="44"/>
      <c r="AA118" s="45">
        <v>0</v>
      </c>
      <c r="AB118" s="44"/>
      <c r="AC118" s="45">
        <f t="shared" si="3"/>
        <v>27720893</v>
      </c>
      <c r="AD118" s="45"/>
      <c r="AE118" s="48">
        <v>0</v>
      </c>
      <c r="AF118" s="48"/>
      <c r="AG118" s="45">
        <v>0</v>
      </c>
      <c r="AH118" s="45"/>
      <c r="AI118" s="45">
        <v>5580234</v>
      </c>
      <c r="AJ118" s="45"/>
      <c r="AK118" s="45">
        <v>0</v>
      </c>
      <c r="AL118" s="45"/>
      <c r="AM118" s="45">
        <f>+'Gen rev'!U119-'Gen exp'!AC118-AG118+'Gen rev'!W119+AI118+AK118-'Gen Bal'!S119-'Gen exp'!AE118</f>
        <v>0</v>
      </c>
      <c r="AN118" s="45"/>
      <c r="AO118" s="45"/>
      <c r="AP118" s="45"/>
      <c r="AQ118" s="45"/>
      <c r="AR118" s="52"/>
      <c r="AS118" s="50"/>
    </row>
    <row r="119" spans="1:45" s="49" customFormat="1" ht="12.75" customHeight="1">
      <c r="A119" s="28" t="s">
        <v>36</v>
      </c>
      <c r="C119" s="28" t="s">
        <v>145</v>
      </c>
      <c r="E119" s="45">
        <v>592965</v>
      </c>
      <c r="F119" s="45"/>
      <c r="G119" s="45">
        <f>1582157+542165</f>
        <v>2124322</v>
      </c>
      <c r="H119" s="45"/>
      <c r="I119" s="45">
        <v>11321</v>
      </c>
      <c r="J119" s="45"/>
      <c r="K119" s="45">
        <v>295721</v>
      </c>
      <c r="L119" s="45"/>
      <c r="M119" s="45">
        <v>277007</v>
      </c>
      <c r="N119" s="45"/>
      <c r="O119" s="45">
        <v>0</v>
      </c>
      <c r="P119" s="45"/>
      <c r="Q119" s="45">
        <v>2226</v>
      </c>
      <c r="R119" s="45"/>
      <c r="S119" s="45">
        <v>253091</v>
      </c>
      <c r="T119" s="45"/>
      <c r="U119" s="45">
        <v>0</v>
      </c>
      <c r="V119" s="45"/>
      <c r="W119" s="45">
        <v>10001</v>
      </c>
      <c r="X119" s="45"/>
      <c r="Y119" s="45">
        <v>5416</v>
      </c>
      <c r="Z119" s="44"/>
      <c r="AA119" s="45">
        <v>0</v>
      </c>
      <c r="AB119" s="44"/>
      <c r="AC119" s="45">
        <f t="shared" si="3"/>
        <v>3572070</v>
      </c>
      <c r="AD119" s="45"/>
      <c r="AE119" s="48">
        <v>0</v>
      </c>
      <c r="AF119" s="48"/>
      <c r="AG119" s="45">
        <v>20000</v>
      </c>
      <c r="AH119" s="45"/>
      <c r="AI119" s="45">
        <v>1221431</v>
      </c>
      <c r="AJ119" s="45"/>
      <c r="AK119" s="45">
        <v>0</v>
      </c>
      <c r="AL119" s="45"/>
      <c r="AM119" s="45">
        <f>+'Gen rev'!U120-'Gen exp'!AC119-AG119+'Gen rev'!W120+AI119+AK119-'Gen Bal'!S120-'Gen exp'!AE119</f>
        <v>0</v>
      </c>
      <c r="AN119" s="35"/>
      <c r="AO119" s="35"/>
      <c r="AP119" s="35"/>
      <c r="AQ119" s="35"/>
      <c r="AR119" s="50"/>
      <c r="AS119" s="50"/>
    </row>
    <row r="120" spans="1:45" s="49" customFormat="1" ht="12.75" customHeight="1">
      <c r="A120" s="28" t="s">
        <v>146</v>
      </c>
      <c r="C120" s="28" t="s">
        <v>147</v>
      </c>
      <c r="E120" s="45">
        <v>931156</v>
      </c>
      <c r="F120" s="45"/>
      <c r="G120" s="45">
        <v>2329328</v>
      </c>
      <c r="H120" s="45"/>
      <c r="I120" s="45">
        <v>64719</v>
      </c>
      <c r="J120" s="45"/>
      <c r="K120" s="45">
        <v>300</v>
      </c>
      <c r="L120" s="45"/>
      <c r="M120" s="45">
        <v>0</v>
      </c>
      <c r="N120" s="45"/>
      <c r="O120" s="45">
        <v>125704</v>
      </c>
      <c r="P120" s="45"/>
      <c r="Q120" s="45">
        <v>0</v>
      </c>
      <c r="R120" s="45"/>
      <c r="S120" s="45">
        <v>0</v>
      </c>
      <c r="T120" s="45"/>
      <c r="U120" s="45">
        <v>0</v>
      </c>
      <c r="V120" s="45"/>
      <c r="W120" s="45">
        <v>0</v>
      </c>
      <c r="X120" s="45"/>
      <c r="Y120" s="45">
        <v>0</v>
      </c>
      <c r="Z120" s="44"/>
      <c r="AA120" s="45">
        <v>0</v>
      </c>
      <c r="AB120" s="44"/>
      <c r="AC120" s="45">
        <f t="shared" si="3"/>
        <v>3451207</v>
      </c>
      <c r="AD120" s="45"/>
      <c r="AE120" s="48">
        <v>0</v>
      </c>
      <c r="AF120" s="48"/>
      <c r="AG120" s="45">
        <v>538545</v>
      </c>
      <c r="AH120" s="45"/>
      <c r="AI120" s="45">
        <v>1188951</v>
      </c>
      <c r="AJ120" s="45"/>
      <c r="AK120" s="45">
        <v>0</v>
      </c>
      <c r="AL120" s="45"/>
      <c r="AM120" s="45">
        <f>+'Gen rev'!U121-'Gen exp'!AC120-AG120+'Gen rev'!W121+AI120+AK120-'Gen Bal'!S121-'Gen exp'!AE120</f>
        <v>0</v>
      </c>
      <c r="AN120" s="44"/>
      <c r="AO120" s="44"/>
      <c r="AP120" s="44"/>
      <c r="AQ120" s="44"/>
    </row>
    <row r="121" spans="1:45" s="49" customFormat="1" ht="12.75" customHeight="1">
      <c r="A121" s="28" t="s">
        <v>17</v>
      </c>
      <c r="C121" s="28" t="s">
        <v>17</v>
      </c>
      <c r="E121" s="45">
        <v>8155824</v>
      </c>
      <c r="F121" s="45"/>
      <c r="G121" s="45">
        <v>15883489</v>
      </c>
      <c r="H121" s="45"/>
      <c r="I121" s="45">
        <f>336982+601724</f>
        <v>938706</v>
      </c>
      <c r="J121" s="45"/>
      <c r="K121" s="45">
        <v>234319</v>
      </c>
      <c r="L121" s="45"/>
      <c r="M121" s="45">
        <v>0</v>
      </c>
      <c r="N121" s="45"/>
      <c r="O121" s="45">
        <v>275681</v>
      </c>
      <c r="P121" s="45"/>
      <c r="Q121" s="45">
        <v>0</v>
      </c>
      <c r="R121" s="45"/>
      <c r="S121" s="45">
        <v>0</v>
      </c>
      <c r="T121" s="45"/>
      <c r="U121" s="45">
        <v>0</v>
      </c>
      <c r="V121" s="45"/>
      <c r="W121" s="45">
        <v>525993</v>
      </c>
      <c r="X121" s="45"/>
      <c r="Y121" s="45">
        <v>108289</v>
      </c>
      <c r="Z121" s="44"/>
      <c r="AA121" s="45">
        <v>0</v>
      </c>
      <c r="AB121" s="44"/>
      <c r="AC121" s="45">
        <f t="shared" si="3"/>
        <v>26122301</v>
      </c>
      <c r="AD121" s="45"/>
      <c r="AE121" s="48">
        <v>0</v>
      </c>
      <c r="AF121" s="48"/>
      <c r="AG121" s="45">
        <v>1235802</v>
      </c>
      <c r="AH121" s="45"/>
      <c r="AI121" s="45">
        <v>-1233775</v>
      </c>
      <c r="AJ121" s="45"/>
      <c r="AK121" s="45">
        <v>0</v>
      </c>
      <c r="AL121" s="45"/>
      <c r="AM121" s="45">
        <f>+'Gen rev'!U122-'Gen exp'!AC121-AG121+'Gen rev'!W122+AI121+AK121-'Gen Bal'!S122-'Gen exp'!AE121</f>
        <v>0</v>
      </c>
      <c r="AN121" s="44"/>
      <c r="AO121" s="44"/>
      <c r="AP121" s="44"/>
      <c r="AQ121" s="44"/>
    </row>
    <row r="122" spans="1:45" s="49" customFormat="1" ht="12.75" customHeight="1">
      <c r="A122" s="28" t="s">
        <v>148</v>
      </c>
      <c r="C122" s="28" t="s">
        <v>15</v>
      </c>
      <c r="E122" s="45">
        <v>847125</v>
      </c>
      <c r="F122" s="45"/>
      <c r="G122" s="45">
        <v>1758457</v>
      </c>
      <c r="H122" s="45"/>
      <c r="I122" s="45">
        <v>151145</v>
      </c>
      <c r="J122" s="45"/>
      <c r="K122" s="45">
        <v>50860</v>
      </c>
      <c r="L122" s="45"/>
      <c r="M122" s="45">
        <v>0</v>
      </c>
      <c r="N122" s="45"/>
      <c r="O122" s="45">
        <v>149882</v>
      </c>
      <c r="P122" s="45"/>
      <c r="Q122" s="45">
        <v>0</v>
      </c>
      <c r="R122" s="45"/>
      <c r="S122" s="45">
        <v>135426</v>
      </c>
      <c r="T122" s="45"/>
      <c r="U122" s="45">
        <v>0</v>
      </c>
      <c r="V122" s="45"/>
      <c r="W122" s="45">
        <v>29761</v>
      </c>
      <c r="X122" s="45"/>
      <c r="Y122" s="45">
        <v>1090</v>
      </c>
      <c r="Z122" s="44"/>
      <c r="AA122" s="45">
        <v>0</v>
      </c>
      <c r="AB122" s="44"/>
      <c r="AC122" s="45">
        <f t="shared" si="3"/>
        <v>3123746</v>
      </c>
      <c r="AD122" s="45"/>
      <c r="AE122" s="48">
        <v>0</v>
      </c>
      <c r="AF122" s="48"/>
      <c r="AG122" s="45">
        <v>449260</v>
      </c>
      <c r="AH122" s="45"/>
      <c r="AI122" s="45">
        <v>1617040</v>
      </c>
      <c r="AJ122" s="45"/>
      <c r="AK122" s="45">
        <v>0</v>
      </c>
      <c r="AL122" s="45"/>
      <c r="AM122" s="45">
        <f>+'Gen rev'!U123-'Gen exp'!AC122-AG122+'Gen rev'!W123+AI122+AK122-'Gen Bal'!S123-'Gen exp'!AE122</f>
        <v>0</v>
      </c>
      <c r="AN122" s="44"/>
      <c r="AO122" s="44"/>
      <c r="AP122" s="44"/>
      <c r="AQ122" s="44"/>
    </row>
    <row r="123" spans="1:45" s="46" customFormat="1" ht="12.75" customHeight="1">
      <c r="A123" s="28" t="s">
        <v>149</v>
      </c>
      <c r="B123" s="49"/>
      <c r="C123" s="28" t="s">
        <v>45</v>
      </c>
      <c r="D123" s="49"/>
      <c r="E123" s="45">
        <v>2175372</v>
      </c>
      <c r="F123" s="45"/>
      <c r="G123" s="45">
        <v>2524593</v>
      </c>
      <c r="H123" s="45"/>
      <c r="I123" s="45">
        <v>236337</v>
      </c>
      <c r="J123" s="45"/>
      <c r="K123" s="45">
        <v>0</v>
      </c>
      <c r="L123" s="45"/>
      <c r="M123" s="45">
        <v>0</v>
      </c>
      <c r="N123" s="45"/>
      <c r="O123" s="45">
        <v>607256</v>
      </c>
      <c r="P123" s="45"/>
      <c r="Q123" s="45">
        <v>0</v>
      </c>
      <c r="R123" s="45"/>
      <c r="S123" s="45">
        <v>0</v>
      </c>
      <c r="T123" s="45"/>
      <c r="U123" s="45">
        <v>0</v>
      </c>
      <c r="V123" s="45"/>
      <c r="W123" s="45">
        <v>0</v>
      </c>
      <c r="X123" s="45"/>
      <c r="Y123" s="45">
        <v>0</v>
      </c>
      <c r="Z123" s="44"/>
      <c r="AA123" s="45">
        <v>0</v>
      </c>
      <c r="AB123" s="44"/>
      <c r="AC123" s="45">
        <f t="shared" si="3"/>
        <v>5543558</v>
      </c>
      <c r="AD123" s="45"/>
      <c r="AE123" s="48">
        <v>0</v>
      </c>
      <c r="AF123" s="48"/>
      <c r="AG123" s="45">
        <v>169529</v>
      </c>
      <c r="AH123" s="45"/>
      <c r="AI123" s="45">
        <v>2026488</v>
      </c>
      <c r="AJ123" s="45"/>
      <c r="AK123" s="45">
        <v>763</v>
      </c>
      <c r="AL123" s="45"/>
      <c r="AM123" s="45">
        <f>+'Gen rev'!U124-'Gen exp'!AC123-AG123+'Gen rev'!W124+AI123+AK123-'Gen Bal'!S124-'Gen exp'!AE123</f>
        <v>0</v>
      </c>
    </row>
    <row r="124" spans="1:45" s="49" customFormat="1" ht="12.75" customHeight="1">
      <c r="A124" s="28" t="s">
        <v>150</v>
      </c>
      <c r="C124" s="28" t="s">
        <v>27</v>
      </c>
      <c r="E124" s="45">
        <v>3603082</v>
      </c>
      <c r="F124" s="45"/>
      <c r="G124" s="45">
        <v>6642064</v>
      </c>
      <c r="H124" s="45"/>
      <c r="I124" s="45">
        <v>427079</v>
      </c>
      <c r="J124" s="45"/>
      <c r="K124" s="45">
        <v>56532</v>
      </c>
      <c r="L124" s="45"/>
      <c r="M124" s="45">
        <v>0</v>
      </c>
      <c r="N124" s="45"/>
      <c r="O124" s="45">
        <v>677420</v>
      </c>
      <c r="P124" s="45"/>
      <c r="Q124" s="45">
        <v>1047107</v>
      </c>
      <c r="R124" s="45"/>
      <c r="S124" s="45">
        <v>0</v>
      </c>
      <c r="T124" s="45"/>
      <c r="U124" s="45">
        <v>0</v>
      </c>
      <c r="V124" s="45"/>
      <c r="W124" s="45">
        <v>0</v>
      </c>
      <c r="X124" s="45"/>
      <c r="Y124" s="45">
        <v>0</v>
      </c>
      <c r="Z124" s="44"/>
      <c r="AA124" s="45">
        <v>0</v>
      </c>
      <c r="AB124" s="44"/>
      <c r="AC124" s="45">
        <f t="shared" si="3"/>
        <v>12453284</v>
      </c>
      <c r="AD124" s="45"/>
      <c r="AE124" s="48">
        <v>0</v>
      </c>
      <c r="AF124" s="48"/>
      <c r="AG124" s="45">
        <v>830000</v>
      </c>
      <c r="AH124" s="45"/>
      <c r="AI124" s="45">
        <v>4045164</v>
      </c>
      <c r="AJ124" s="45"/>
      <c r="AK124" s="45">
        <v>-14742</v>
      </c>
      <c r="AL124" s="45"/>
      <c r="AM124" s="45">
        <f>+'Gen rev'!U125-'Gen exp'!AC124-AG124+'Gen rev'!W125+AI124+AK124-'Gen Bal'!S125-'Gen exp'!AE124</f>
        <v>0</v>
      </c>
      <c r="AN124" s="44"/>
      <c r="AO124" s="44"/>
      <c r="AP124" s="44"/>
      <c r="AQ124" s="44"/>
    </row>
    <row r="125" spans="1:45" s="46" customFormat="1" ht="12.75" customHeight="1">
      <c r="A125" s="28" t="s">
        <v>151</v>
      </c>
      <c r="B125" s="49"/>
      <c r="C125" s="28" t="s">
        <v>13</v>
      </c>
      <c r="D125" s="49"/>
      <c r="E125" s="45">
        <v>2004138</v>
      </c>
      <c r="F125" s="45"/>
      <c r="G125" s="45">
        <v>4338533</v>
      </c>
      <c r="H125" s="45"/>
      <c r="I125" s="45">
        <v>424953</v>
      </c>
      <c r="J125" s="45"/>
      <c r="K125" s="45">
        <v>204600</v>
      </c>
      <c r="L125" s="45"/>
      <c r="M125" s="45">
        <v>0</v>
      </c>
      <c r="N125" s="45"/>
      <c r="O125" s="45">
        <v>0</v>
      </c>
      <c r="P125" s="45"/>
      <c r="Q125" s="45">
        <v>144690</v>
      </c>
      <c r="R125" s="45"/>
      <c r="S125" s="45">
        <v>1989</v>
      </c>
      <c r="T125" s="45"/>
      <c r="U125" s="45">
        <v>0</v>
      </c>
      <c r="V125" s="45"/>
      <c r="W125" s="45">
        <v>381144</v>
      </c>
      <c r="X125" s="45"/>
      <c r="Y125" s="45">
        <v>144868</v>
      </c>
      <c r="Z125" s="44"/>
      <c r="AA125" s="45">
        <v>0</v>
      </c>
      <c r="AB125" s="44"/>
      <c r="AC125" s="45">
        <f t="shared" si="3"/>
        <v>7644915</v>
      </c>
      <c r="AD125" s="45"/>
      <c r="AE125" s="48">
        <v>0</v>
      </c>
      <c r="AF125" s="48"/>
      <c r="AG125" s="45">
        <v>1373700</v>
      </c>
      <c r="AH125" s="45"/>
      <c r="AI125" s="45">
        <v>1430267</v>
      </c>
      <c r="AJ125" s="45"/>
      <c r="AK125" s="45">
        <v>0</v>
      </c>
      <c r="AL125" s="45"/>
      <c r="AM125" s="45">
        <f>+'Gen rev'!U126-'Gen exp'!AC125-AG125+'Gen rev'!W126+AI125+AK125-'Gen Bal'!S126-'Gen exp'!AE125</f>
        <v>0</v>
      </c>
    </row>
    <row r="126" spans="1:45" s="44" customFormat="1" ht="12.75" customHeight="1">
      <c r="A126" s="35" t="s">
        <v>481</v>
      </c>
      <c r="C126" s="35" t="s">
        <v>45</v>
      </c>
      <c r="E126" s="45">
        <v>918369</v>
      </c>
      <c r="F126" s="45"/>
      <c r="G126" s="45">
        <v>3085560</v>
      </c>
      <c r="H126" s="45"/>
      <c r="I126" s="45">
        <v>84435</v>
      </c>
      <c r="J126" s="45"/>
      <c r="K126" s="45">
        <v>0</v>
      </c>
      <c r="L126" s="45"/>
      <c r="M126" s="45">
        <v>616899</v>
      </c>
      <c r="N126" s="45"/>
      <c r="O126" s="45">
        <v>91055</v>
      </c>
      <c r="P126" s="45"/>
      <c r="Q126" s="45">
        <v>540817</v>
      </c>
      <c r="R126" s="45"/>
      <c r="S126" s="45">
        <v>0</v>
      </c>
      <c r="T126" s="45"/>
      <c r="U126" s="45">
        <v>0</v>
      </c>
      <c r="V126" s="45"/>
      <c r="W126" s="45">
        <v>0</v>
      </c>
      <c r="X126" s="45"/>
      <c r="Y126" s="45">
        <v>0</v>
      </c>
      <c r="AA126" s="45">
        <v>0</v>
      </c>
      <c r="AC126" s="45">
        <f t="shared" si="3"/>
        <v>5337135</v>
      </c>
      <c r="AD126" s="45"/>
      <c r="AE126" s="48">
        <v>0</v>
      </c>
      <c r="AF126" s="48"/>
      <c r="AG126" s="45">
        <v>733800</v>
      </c>
      <c r="AH126" s="45"/>
      <c r="AI126" s="45">
        <v>1696750</v>
      </c>
      <c r="AJ126" s="45"/>
      <c r="AK126" s="45">
        <v>0</v>
      </c>
      <c r="AL126" s="45"/>
      <c r="AM126" s="45">
        <f>+'Gen rev'!U127-'Gen exp'!AC126-AG126+'Gen rev'!W127+AI126+AK126-'Gen Bal'!S127-'Gen exp'!AE126</f>
        <v>0</v>
      </c>
    </row>
    <row r="127" spans="1:45" s="49" customFormat="1" ht="12.75" customHeight="1">
      <c r="A127" s="28" t="s">
        <v>152</v>
      </c>
      <c r="C127" s="28" t="s">
        <v>153</v>
      </c>
      <c r="E127" s="45">
        <v>5851801</v>
      </c>
      <c r="F127" s="45"/>
      <c r="G127" s="45">
        <v>2072513</v>
      </c>
      <c r="H127" s="45"/>
      <c r="I127" s="45">
        <v>383716</v>
      </c>
      <c r="J127" s="45"/>
      <c r="K127" s="45">
        <v>9450</v>
      </c>
      <c r="L127" s="45"/>
      <c r="M127" s="45">
        <v>0</v>
      </c>
      <c r="N127" s="45"/>
      <c r="O127" s="45">
        <v>415071</v>
      </c>
      <c r="P127" s="45"/>
      <c r="Q127" s="45">
        <v>0</v>
      </c>
      <c r="R127" s="45"/>
      <c r="S127" s="45">
        <v>0</v>
      </c>
      <c r="T127" s="45"/>
      <c r="U127" s="45">
        <v>0</v>
      </c>
      <c r="V127" s="45"/>
      <c r="W127" s="45">
        <v>0</v>
      </c>
      <c r="X127" s="45"/>
      <c r="Y127" s="45">
        <v>0</v>
      </c>
      <c r="Z127" s="44"/>
      <c r="AA127" s="45">
        <v>0</v>
      </c>
      <c r="AB127" s="44"/>
      <c r="AC127" s="45">
        <f t="shared" si="3"/>
        <v>8732551</v>
      </c>
      <c r="AD127" s="45"/>
      <c r="AE127" s="48">
        <v>0</v>
      </c>
      <c r="AF127" s="48"/>
      <c r="AG127" s="45">
        <v>189254</v>
      </c>
      <c r="AH127" s="45"/>
      <c r="AI127" s="45">
        <v>-8006</v>
      </c>
      <c r="AJ127" s="45"/>
      <c r="AK127" s="45">
        <v>-735</v>
      </c>
      <c r="AL127" s="45"/>
      <c r="AM127" s="45">
        <f>+'Gen rev'!U128-'Gen exp'!AC127-AG127+'Gen rev'!W128+AI127+AK127-'Gen Bal'!S128-'Gen exp'!AE127</f>
        <v>0</v>
      </c>
      <c r="AN127" s="44"/>
      <c r="AO127" s="44"/>
      <c r="AP127" s="44"/>
      <c r="AQ127" s="44"/>
    </row>
    <row r="128" spans="1:45" s="49" customFormat="1" ht="12.75" customHeight="1">
      <c r="A128" s="28"/>
      <c r="C128" s="28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4"/>
      <c r="AA128" s="45"/>
      <c r="AB128" s="44"/>
      <c r="AC128" s="45"/>
      <c r="AD128" s="45"/>
      <c r="AE128" s="48"/>
      <c r="AF128" s="48"/>
      <c r="AG128" s="48" t="s">
        <v>484</v>
      </c>
      <c r="AH128" s="45"/>
      <c r="AI128" s="45"/>
      <c r="AJ128" s="45"/>
      <c r="AK128" s="45"/>
      <c r="AL128" s="45"/>
      <c r="AM128" s="45"/>
      <c r="AN128" s="44"/>
      <c r="AO128" s="44"/>
      <c r="AP128" s="44"/>
      <c r="AQ128" s="44"/>
    </row>
    <row r="129" spans="1:45" s="46" customFormat="1" ht="12.75" customHeight="1">
      <c r="A129" s="64" t="s">
        <v>154</v>
      </c>
      <c r="C129" s="64" t="s">
        <v>27</v>
      </c>
      <c r="E129" s="94">
        <v>5103529</v>
      </c>
      <c r="F129" s="94"/>
      <c r="G129" s="94">
        <v>6710525</v>
      </c>
      <c r="H129" s="94"/>
      <c r="I129" s="94">
        <v>757178</v>
      </c>
      <c r="J129" s="94"/>
      <c r="K129" s="94">
        <v>97077</v>
      </c>
      <c r="L129" s="94"/>
      <c r="M129" s="94">
        <v>0</v>
      </c>
      <c r="N129" s="94"/>
      <c r="O129" s="94">
        <v>648419</v>
      </c>
      <c r="P129" s="94"/>
      <c r="Q129" s="94">
        <v>902843</v>
      </c>
      <c r="R129" s="94"/>
      <c r="S129" s="94">
        <v>16629</v>
      </c>
      <c r="T129" s="94"/>
      <c r="U129" s="94">
        <v>0</v>
      </c>
      <c r="V129" s="94"/>
      <c r="W129" s="94">
        <v>8817</v>
      </c>
      <c r="X129" s="94"/>
      <c r="Y129" s="94">
        <v>744</v>
      </c>
      <c r="AA129" s="94">
        <v>0</v>
      </c>
      <c r="AC129" s="94">
        <f t="shared" si="3"/>
        <v>14245761</v>
      </c>
      <c r="AD129" s="94"/>
      <c r="AE129" s="68">
        <v>0</v>
      </c>
      <c r="AF129" s="68"/>
      <c r="AG129" s="94">
        <v>1111069</v>
      </c>
      <c r="AH129" s="94"/>
      <c r="AI129" s="94">
        <v>336727</v>
      </c>
      <c r="AJ129" s="94"/>
      <c r="AK129" s="94">
        <v>0</v>
      </c>
      <c r="AL129" s="94"/>
      <c r="AM129" s="94">
        <f>+'Gen rev'!U129-'Gen exp'!AC129-AG129+'Gen rev'!W129+AI129+AK129-'Gen Bal'!S129-'Gen exp'!AE129</f>
        <v>0</v>
      </c>
    </row>
    <row r="130" spans="1:45" s="49" customFormat="1" ht="12.75" customHeight="1">
      <c r="A130" s="28" t="s">
        <v>155</v>
      </c>
      <c r="C130" s="28" t="s">
        <v>40</v>
      </c>
      <c r="E130" s="45">
        <f>3502547+756615</f>
        <v>4259162</v>
      </c>
      <c r="F130" s="45"/>
      <c r="G130" s="45">
        <f>3110688+2174563</f>
        <v>5285251</v>
      </c>
      <c r="H130" s="45"/>
      <c r="I130" s="45">
        <v>0</v>
      </c>
      <c r="J130" s="45"/>
      <c r="K130" s="45">
        <v>412381</v>
      </c>
      <c r="L130" s="45"/>
      <c r="M130" s="45">
        <v>3566</v>
      </c>
      <c r="N130" s="45"/>
      <c r="O130" s="45">
        <v>0</v>
      </c>
      <c r="P130" s="45"/>
      <c r="Q130" s="45">
        <v>0</v>
      </c>
      <c r="R130" s="45"/>
      <c r="S130" s="45">
        <v>0</v>
      </c>
      <c r="T130" s="45"/>
      <c r="U130" s="45">
        <v>0</v>
      </c>
      <c r="V130" s="45"/>
      <c r="W130" s="45">
        <v>52600</v>
      </c>
      <c r="X130" s="45"/>
      <c r="Y130" s="45">
        <v>12480</v>
      </c>
      <c r="Z130" s="44"/>
      <c r="AA130" s="45">
        <v>0</v>
      </c>
      <c r="AB130" s="44"/>
      <c r="AC130" s="45">
        <f t="shared" si="3"/>
        <v>10025440</v>
      </c>
      <c r="AD130" s="45"/>
      <c r="AE130" s="48">
        <v>0</v>
      </c>
      <c r="AF130" s="48"/>
      <c r="AG130" s="45">
        <v>143155</v>
      </c>
      <c r="AH130" s="45"/>
      <c r="AI130" s="45">
        <v>2393270</v>
      </c>
      <c r="AJ130" s="45"/>
      <c r="AK130" s="45">
        <v>0</v>
      </c>
      <c r="AL130" s="45"/>
      <c r="AM130" s="45">
        <f>+'Gen rev'!U130-'Gen exp'!AC130-AG130+'Gen rev'!W130+AI130+AK130-'Gen Bal'!S130-'Gen exp'!AE130</f>
        <v>0</v>
      </c>
      <c r="AN130" s="44"/>
      <c r="AO130" s="44"/>
      <c r="AP130" s="44"/>
      <c r="AQ130" s="44"/>
    </row>
    <row r="131" spans="1:45" s="129" customFormat="1" ht="12.75" hidden="1" customHeight="1">
      <c r="A131" s="151" t="s">
        <v>156</v>
      </c>
      <c r="C131" s="151" t="s">
        <v>156</v>
      </c>
      <c r="E131" s="128">
        <v>0</v>
      </c>
      <c r="F131" s="128"/>
      <c r="G131" s="128">
        <v>0</v>
      </c>
      <c r="H131" s="128"/>
      <c r="I131" s="128">
        <v>0</v>
      </c>
      <c r="J131" s="128"/>
      <c r="K131" s="128">
        <v>0</v>
      </c>
      <c r="L131" s="128"/>
      <c r="M131" s="128">
        <v>0</v>
      </c>
      <c r="N131" s="128"/>
      <c r="O131" s="128">
        <v>0</v>
      </c>
      <c r="P131" s="128"/>
      <c r="Q131" s="128">
        <v>0</v>
      </c>
      <c r="R131" s="128"/>
      <c r="S131" s="128">
        <v>0</v>
      </c>
      <c r="T131" s="128"/>
      <c r="U131" s="128">
        <v>0</v>
      </c>
      <c r="V131" s="128"/>
      <c r="W131" s="128">
        <v>0</v>
      </c>
      <c r="X131" s="128"/>
      <c r="Y131" s="128">
        <v>0</v>
      </c>
      <c r="Z131" s="123"/>
      <c r="AA131" s="123">
        <v>0</v>
      </c>
      <c r="AB131" s="123"/>
      <c r="AC131" s="128">
        <f t="shared" ref="AC131" si="4">SUM(E131:AA131)</f>
        <v>0</v>
      </c>
      <c r="AD131" s="128"/>
      <c r="AE131" s="154">
        <v>0</v>
      </c>
      <c r="AF131" s="154"/>
      <c r="AG131" s="128">
        <v>0</v>
      </c>
      <c r="AH131" s="128"/>
      <c r="AI131" s="127">
        <v>0</v>
      </c>
      <c r="AJ131" s="127"/>
      <c r="AK131" s="127">
        <v>0</v>
      </c>
      <c r="AL131" s="128"/>
      <c r="AM131" s="128">
        <f>+'Gen rev'!U131-'Gen exp'!AC131-AG131+'Gen rev'!W131+AI131+AK131-'Gen Bal'!S131-'Gen exp'!AE131</f>
        <v>0</v>
      </c>
      <c r="AN131" s="128"/>
      <c r="AO131" s="128"/>
      <c r="AP131" s="127"/>
      <c r="AQ131" s="127"/>
      <c r="AR131" s="132"/>
      <c r="AS131" s="133"/>
    </row>
    <row r="132" spans="1:45" s="49" customFormat="1" ht="12.75" customHeight="1">
      <c r="A132" s="28" t="s">
        <v>157</v>
      </c>
      <c r="C132" s="28" t="s">
        <v>33</v>
      </c>
      <c r="E132" s="45">
        <v>663170</v>
      </c>
      <c r="F132" s="45"/>
      <c r="G132" s="45">
        <v>1289036</v>
      </c>
      <c r="H132" s="45"/>
      <c r="I132" s="45">
        <v>0</v>
      </c>
      <c r="J132" s="45"/>
      <c r="K132" s="45">
        <v>20167</v>
      </c>
      <c r="L132" s="45"/>
      <c r="M132" s="45">
        <v>0</v>
      </c>
      <c r="N132" s="45"/>
      <c r="O132" s="45">
        <v>0</v>
      </c>
      <c r="P132" s="45"/>
      <c r="Q132" s="45">
        <v>0</v>
      </c>
      <c r="R132" s="45"/>
      <c r="S132" s="45">
        <v>7000</v>
      </c>
      <c r="T132" s="45"/>
      <c r="U132" s="45">
        <v>0</v>
      </c>
      <c r="V132" s="45"/>
      <c r="W132" s="45">
        <v>0</v>
      </c>
      <c r="X132" s="45"/>
      <c r="Y132" s="45">
        <v>0</v>
      </c>
      <c r="Z132" s="44"/>
      <c r="AA132" s="45">
        <v>0</v>
      </c>
      <c r="AB132" s="44"/>
      <c r="AC132" s="45">
        <f t="shared" ref="AC132:AC195" si="5">SUM(E132:AA132)</f>
        <v>1979373</v>
      </c>
      <c r="AD132" s="45"/>
      <c r="AE132" s="48">
        <v>0</v>
      </c>
      <c r="AF132" s="48"/>
      <c r="AG132" s="45">
        <v>61015</v>
      </c>
      <c r="AH132" s="45"/>
      <c r="AI132" s="45">
        <v>310850</v>
      </c>
      <c r="AJ132" s="45"/>
      <c r="AK132" s="45">
        <v>0</v>
      </c>
      <c r="AL132" s="45"/>
      <c r="AM132" s="45">
        <f>+'Gen rev'!U132-'Gen exp'!AC132-AG132+'Gen rev'!W132+AI132+AK132-'Gen Bal'!S132-'Gen exp'!AE132</f>
        <v>0</v>
      </c>
      <c r="AN132" s="44"/>
      <c r="AO132" s="44"/>
      <c r="AP132" s="44"/>
      <c r="AQ132" s="44"/>
    </row>
    <row r="133" spans="1:45" s="49" customFormat="1" ht="12.75" customHeight="1">
      <c r="A133" s="64" t="s">
        <v>158</v>
      </c>
      <c r="B133" s="46"/>
      <c r="C133" s="64" t="s">
        <v>159</v>
      </c>
      <c r="D133" s="46"/>
      <c r="E133" s="45">
        <v>2604596</v>
      </c>
      <c r="F133" s="45"/>
      <c r="G133" s="45">
        <f>3530551+3152686+859021</f>
        <v>7542258</v>
      </c>
      <c r="H133" s="45"/>
      <c r="I133" s="45">
        <v>624362</v>
      </c>
      <c r="J133" s="45"/>
      <c r="K133" s="45">
        <v>356932</v>
      </c>
      <c r="L133" s="45"/>
      <c r="M133" s="45">
        <v>0</v>
      </c>
      <c r="N133" s="45"/>
      <c r="O133" s="45">
        <v>99474</v>
      </c>
      <c r="P133" s="45"/>
      <c r="Q133" s="45">
        <v>0</v>
      </c>
      <c r="R133" s="45"/>
      <c r="S133" s="45">
        <v>0</v>
      </c>
      <c r="T133" s="45"/>
      <c r="U133" s="45">
        <v>0</v>
      </c>
      <c r="V133" s="45"/>
      <c r="W133" s="45">
        <v>0</v>
      </c>
      <c r="X133" s="45"/>
      <c r="Y133" s="45">
        <v>0</v>
      </c>
      <c r="Z133" s="44"/>
      <c r="AA133" s="45">
        <v>0</v>
      </c>
      <c r="AB133" s="44"/>
      <c r="AC133" s="45">
        <f t="shared" si="5"/>
        <v>11227622</v>
      </c>
      <c r="AD133" s="45"/>
      <c r="AE133" s="48">
        <v>0</v>
      </c>
      <c r="AF133" s="48"/>
      <c r="AG133" s="45">
        <v>1851529</v>
      </c>
      <c r="AH133" s="45"/>
      <c r="AI133" s="45">
        <v>4677225</v>
      </c>
      <c r="AJ133" s="45"/>
      <c r="AK133" s="45">
        <v>0</v>
      </c>
      <c r="AL133" s="45"/>
      <c r="AM133" s="45">
        <f>+'Gen rev'!U133-'Gen exp'!AC133-AG133+'Gen rev'!W133+AI133+AK133-'Gen Bal'!S133-'Gen exp'!AE133</f>
        <v>0</v>
      </c>
      <c r="AN133" s="45"/>
      <c r="AO133" s="45"/>
      <c r="AP133" s="45"/>
      <c r="AQ133" s="45"/>
      <c r="AR133" s="52"/>
      <c r="AS133" s="50"/>
    </row>
    <row r="134" spans="1:45" s="46" customFormat="1" ht="12.75" customHeight="1">
      <c r="A134" s="64" t="s">
        <v>160</v>
      </c>
      <c r="C134" s="64" t="s">
        <v>111</v>
      </c>
      <c r="E134" s="45">
        <v>7237987</v>
      </c>
      <c r="F134" s="45"/>
      <c r="G134" s="45">
        <v>6362802</v>
      </c>
      <c r="H134" s="45"/>
      <c r="I134" s="45">
        <v>1525517</v>
      </c>
      <c r="J134" s="45"/>
      <c r="K134" s="45">
        <v>0</v>
      </c>
      <c r="L134" s="45"/>
      <c r="M134" s="45">
        <v>2745964</v>
      </c>
      <c r="N134" s="45"/>
      <c r="O134" s="45">
        <v>1787595</v>
      </c>
      <c r="P134" s="45"/>
      <c r="Q134" s="45">
        <v>224627</v>
      </c>
      <c r="R134" s="45"/>
      <c r="S134" s="45">
        <v>335203</v>
      </c>
      <c r="T134" s="45"/>
      <c r="U134" s="45">
        <v>0</v>
      </c>
      <c r="V134" s="45"/>
      <c r="W134" s="45">
        <v>0</v>
      </c>
      <c r="X134" s="45"/>
      <c r="Y134" s="45">
        <v>56883</v>
      </c>
      <c r="Z134" s="44"/>
      <c r="AA134" s="45">
        <v>0</v>
      </c>
      <c r="AB134" s="44"/>
      <c r="AC134" s="45">
        <f t="shared" si="5"/>
        <v>20276578</v>
      </c>
      <c r="AD134" s="45"/>
      <c r="AE134" s="48">
        <v>0</v>
      </c>
      <c r="AF134" s="48"/>
      <c r="AG134" s="45">
        <v>3367367</v>
      </c>
      <c r="AH134" s="45"/>
      <c r="AI134" s="45">
        <v>18893285</v>
      </c>
      <c r="AJ134" s="45"/>
      <c r="AK134" s="45">
        <v>-130928</v>
      </c>
      <c r="AL134" s="45"/>
      <c r="AM134" s="45">
        <f>+'Gen rev'!U134-'Gen exp'!AC134-AG134+'Gen rev'!W134+AI134+AK134-'Gen Bal'!S134-'Gen exp'!AE134</f>
        <v>0</v>
      </c>
      <c r="AN134" s="90"/>
      <c r="AO134" s="90"/>
      <c r="AP134" s="90"/>
      <c r="AQ134" s="90"/>
      <c r="AR134" s="90"/>
      <c r="AS134" s="64"/>
    </row>
    <row r="135" spans="1:45" s="49" customFormat="1" ht="12.75" customHeight="1">
      <c r="A135" s="28" t="s">
        <v>161</v>
      </c>
      <c r="C135" s="28" t="s">
        <v>15</v>
      </c>
      <c r="E135" s="45">
        <v>5634821</v>
      </c>
      <c r="F135" s="45"/>
      <c r="G135" s="45">
        <v>8334997</v>
      </c>
      <c r="H135" s="45"/>
      <c r="I135" s="45">
        <v>0</v>
      </c>
      <c r="J135" s="45"/>
      <c r="K135" s="45">
        <v>311267</v>
      </c>
      <c r="L135" s="45"/>
      <c r="M135" s="45">
        <v>919287</v>
      </c>
      <c r="N135" s="45"/>
      <c r="O135" s="45">
        <v>0</v>
      </c>
      <c r="P135" s="45"/>
      <c r="Q135" s="45">
        <v>0</v>
      </c>
      <c r="R135" s="45"/>
      <c r="S135" s="45">
        <v>0</v>
      </c>
      <c r="T135" s="45"/>
      <c r="U135" s="45">
        <v>0</v>
      </c>
      <c r="V135" s="45"/>
      <c r="W135" s="45">
        <v>0</v>
      </c>
      <c r="X135" s="45"/>
      <c r="Y135" s="45">
        <v>0</v>
      </c>
      <c r="Z135" s="44"/>
      <c r="AA135" s="45">
        <v>0</v>
      </c>
      <c r="AB135" s="44"/>
      <c r="AC135" s="45">
        <f t="shared" si="5"/>
        <v>15200372</v>
      </c>
      <c r="AD135" s="45"/>
      <c r="AE135" s="48">
        <v>0</v>
      </c>
      <c r="AF135" s="48"/>
      <c r="AG135" s="45">
        <v>1766811</v>
      </c>
      <c r="AH135" s="45"/>
      <c r="AI135" s="45">
        <v>849004</v>
      </c>
      <c r="AJ135" s="45"/>
      <c r="AK135" s="45">
        <v>0</v>
      </c>
      <c r="AL135" s="45"/>
      <c r="AM135" s="45">
        <f>+'Gen rev'!U135-'Gen exp'!AC135-AG135+'Gen rev'!W135+AI135+AK135-'Gen Bal'!S135-'Gen exp'!AE135</f>
        <v>0</v>
      </c>
      <c r="AN135" s="45"/>
      <c r="AO135" s="45"/>
      <c r="AP135" s="45"/>
      <c r="AQ135" s="45"/>
      <c r="AR135" s="52"/>
      <c r="AS135" s="50"/>
    </row>
    <row r="136" spans="1:45" s="49" customFormat="1" ht="12.75" customHeight="1">
      <c r="A136" s="28" t="s">
        <v>162</v>
      </c>
      <c r="C136" s="28" t="s">
        <v>163</v>
      </c>
      <c r="E136" s="45">
        <v>3050917</v>
      </c>
      <c r="F136" s="45"/>
      <c r="G136" s="45">
        <v>9205835</v>
      </c>
      <c r="H136" s="45"/>
      <c r="I136" s="45">
        <v>453882</v>
      </c>
      <c r="J136" s="45"/>
      <c r="K136" s="45">
        <v>186856</v>
      </c>
      <c r="L136" s="45"/>
      <c r="M136" s="45">
        <v>2039896</v>
      </c>
      <c r="N136" s="45"/>
      <c r="O136" s="45">
        <v>1804745</v>
      </c>
      <c r="P136" s="45"/>
      <c r="Q136" s="45">
        <v>1006156</v>
      </c>
      <c r="R136" s="45"/>
      <c r="S136" s="45">
        <v>0</v>
      </c>
      <c r="T136" s="45"/>
      <c r="U136" s="45">
        <v>0</v>
      </c>
      <c r="V136" s="45"/>
      <c r="W136" s="45">
        <v>0</v>
      </c>
      <c r="X136" s="45"/>
      <c r="Y136" s="45">
        <v>0</v>
      </c>
      <c r="Z136" s="44"/>
      <c r="AA136" s="45">
        <v>0</v>
      </c>
      <c r="AB136" s="44"/>
      <c r="AC136" s="45">
        <f t="shared" si="5"/>
        <v>17748287</v>
      </c>
      <c r="AD136" s="45"/>
      <c r="AE136" s="48">
        <v>0</v>
      </c>
      <c r="AF136" s="48"/>
      <c r="AG136" s="45">
        <v>688000</v>
      </c>
      <c r="AH136" s="45"/>
      <c r="AI136" s="45">
        <v>401416</v>
      </c>
      <c r="AJ136" s="45"/>
      <c r="AK136" s="45">
        <v>4510</v>
      </c>
      <c r="AL136" s="45"/>
      <c r="AM136" s="45">
        <f>+'Gen rev'!U136-'Gen exp'!AC136-AG136+'Gen rev'!W136+AI136+AK136-'Gen Bal'!S136-'Gen exp'!AE136</f>
        <v>0</v>
      </c>
      <c r="AN136" s="44"/>
      <c r="AO136" s="44"/>
      <c r="AP136" s="44"/>
      <c r="AQ136" s="44"/>
    </row>
    <row r="137" spans="1:45" s="49" customFormat="1" ht="12.75" customHeight="1">
      <c r="A137" s="28" t="s">
        <v>164</v>
      </c>
      <c r="C137" s="28" t="s">
        <v>27</v>
      </c>
      <c r="E137" s="45">
        <v>2342838</v>
      </c>
      <c r="F137" s="45"/>
      <c r="G137" s="45">
        <v>10486618</v>
      </c>
      <c r="H137" s="45"/>
      <c r="I137" s="45">
        <v>598806</v>
      </c>
      <c r="J137" s="45"/>
      <c r="K137" s="45">
        <v>331641</v>
      </c>
      <c r="L137" s="45"/>
      <c r="M137" s="45">
        <v>1090325</v>
      </c>
      <c r="N137" s="45"/>
      <c r="O137" s="45">
        <v>1294862</v>
      </c>
      <c r="P137" s="45"/>
      <c r="Q137" s="45">
        <v>894360</v>
      </c>
      <c r="R137" s="45"/>
      <c r="S137" s="45">
        <v>0</v>
      </c>
      <c r="T137" s="45"/>
      <c r="U137" s="45">
        <v>0</v>
      </c>
      <c r="V137" s="45"/>
      <c r="W137" s="45">
        <v>0</v>
      </c>
      <c r="X137" s="45"/>
      <c r="Y137" s="45">
        <v>0</v>
      </c>
      <c r="Z137" s="44"/>
      <c r="AA137" s="45">
        <v>0</v>
      </c>
      <c r="AB137" s="44"/>
      <c r="AC137" s="45">
        <f t="shared" si="5"/>
        <v>17039450</v>
      </c>
      <c r="AD137" s="45"/>
      <c r="AE137" s="48">
        <v>0</v>
      </c>
      <c r="AF137" s="48"/>
      <c r="AG137" s="45">
        <v>1677500</v>
      </c>
      <c r="AH137" s="45"/>
      <c r="AI137" s="45">
        <v>8808512</v>
      </c>
      <c r="AJ137" s="45"/>
      <c r="AK137" s="45">
        <v>-7069</v>
      </c>
      <c r="AL137" s="45"/>
      <c r="AM137" s="45">
        <f>+'Gen rev'!U137-'Gen exp'!AC137-AG137+'Gen rev'!W137+AI137+AK137-'Gen Bal'!S137-'Gen exp'!AE137</f>
        <v>0</v>
      </c>
      <c r="AN137" s="44"/>
      <c r="AO137" s="44"/>
      <c r="AP137" s="44"/>
      <c r="AQ137" s="44"/>
    </row>
    <row r="138" spans="1:45" s="49" customFormat="1" ht="12.75" customHeight="1">
      <c r="A138" s="28" t="s">
        <v>53</v>
      </c>
      <c r="C138" s="28" t="s">
        <v>53</v>
      </c>
      <c r="E138" s="45">
        <v>5863250</v>
      </c>
      <c r="F138" s="45"/>
      <c r="G138" s="45">
        <v>198542</v>
      </c>
      <c r="H138" s="45"/>
      <c r="I138" s="45">
        <v>702116</v>
      </c>
      <c r="J138" s="45"/>
      <c r="K138" s="45">
        <v>193753</v>
      </c>
      <c r="L138" s="45"/>
      <c r="M138" s="45">
        <v>0</v>
      </c>
      <c r="N138" s="45"/>
      <c r="O138" s="45">
        <v>0</v>
      </c>
      <c r="P138" s="45"/>
      <c r="Q138" s="45">
        <v>0</v>
      </c>
      <c r="R138" s="45"/>
      <c r="S138" s="45">
        <v>0</v>
      </c>
      <c r="T138" s="45"/>
      <c r="U138" s="45">
        <v>0</v>
      </c>
      <c r="V138" s="45"/>
      <c r="W138" s="45">
        <v>0</v>
      </c>
      <c r="X138" s="45"/>
      <c r="Y138" s="45">
        <v>0</v>
      </c>
      <c r="Z138" s="44"/>
      <c r="AA138" s="45">
        <v>0</v>
      </c>
      <c r="AB138" s="44"/>
      <c r="AC138" s="45">
        <f t="shared" si="5"/>
        <v>6957661</v>
      </c>
      <c r="AD138" s="45"/>
      <c r="AE138" s="48">
        <v>0</v>
      </c>
      <c r="AF138" s="48"/>
      <c r="AG138" s="45">
        <v>0</v>
      </c>
      <c r="AH138" s="45"/>
      <c r="AI138" s="45">
        <v>9848633</v>
      </c>
      <c r="AJ138" s="45"/>
      <c r="AK138" s="45">
        <v>0</v>
      </c>
      <c r="AL138" s="45"/>
      <c r="AM138" s="45">
        <f>+'Gen rev'!U138-'Gen exp'!AC138-AG138+'Gen rev'!W138+AI138+AK138-'Gen Bal'!S138-'Gen exp'!AE138</f>
        <v>0</v>
      </c>
      <c r="AN138" s="45"/>
      <c r="AO138" s="45"/>
      <c r="AP138" s="45"/>
      <c r="AQ138" s="45"/>
      <c r="AR138" s="52"/>
      <c r="AS138" s="50"/>
    </row>
    <row r="139" spans="1:45" s="49" customFormat="1" ht="12.75" customHeight="1">
      <c r="A139" s="28" t="s">
        <v>165</v>
      </c>
      <c r="C139" s="28" t="s">
        <v>92</v>
      </c>
      <c r="E139" s="45">
        <v>6846014</v>
      </c>
      <c r="F139" s="45"/>
      <c r="G139" s="45">
        <f>11539414+9685504</f>
        <v>21224918</v>
      </c>
      <c r="H139" s="45"/>
      <c r="I139" s="45">
        <v>1276071</v>
      </c>
      <c r="J139" s="45"/>
      <c r="K139" s="45">
        <v>0</v>
      </c>
      <c r="L139" s="45"/>
      <c r="M139" s="45">
        <v>7153861</v>
      </c>
      <c r="N139" s="45"/>
      <c r="O139" s="45">
        <v>6078009</v>
      </c>
      <c r="P139" s="45"/>
      <c r="Q139" s="45">
        <v>1905260</v>
      </c>
      <c r="R139" s="45"/>
      <c r="S139" s="45">
        <v>572236</v>
      </c>
      <c r="T139" s="45"/>
      <c r="U139" s="45">
        <v>0</v>
      </c>
      <c r="V139" s="45"/>
      <c r="W139" s="45">
        <v>22927</v>
      </c>
      <c r="X139" s="45"/>
      <c r="Y139" s="45">
        <v>0</v>
      </c>
      <c r="Z139" s="44"/>
      <c r="AA139" s="45">
        <v>0</v>
      </c>
      <c r="AB139" s="44"/>
      <c r="AC139" s="45">
        <f t="shared" si="5"/>
        <v>45079296</v>
      </c>
      <c r="AD139" s="45"/>
      <c r="AE139" s="48">
        <v>0</v>
      </c>
      <c r="AF139" s="48"/>
      <c r="AG139" s="45">
        <v>262015</v>
      </c>
      <c r="AH139" s="45"/>
      <c r="AI139" s="45">
        <v>19944264</v>
      </c>
      <c r="AJ139" s="45"/>
      <c r="AK139" s="45">
        <v>36866</v>
      </c>
      <c r="AL139" s="45"/>
      <c r="AM139" s="45">
        <f>+'Gen rev'!U139-'Gen exp'!AC139-AG139+'Gen rev'!W139+AI139+AK139-'Gen Bal'!S139-'Gen exp'!AE139</f>
        <v>0</v>
      </c>
      <c r="AN139" s="44"/>
      <c r="AO139" s="44"/>
      <c r="AP139" s="44"/>
      <c r="AQ139" s="44"/>
    </row>
    <row r="140" spans="1:45" s="49" customFormat="1" ht="12.75" customHeight="1">
      <c r="A140" s="28" t="s">
        <v>166</v>
      </c>
      <c r="C140" s="28" t="s">
        <v>92</v>
      </c>
      <c r="E140" s="45">
        <v>688530</v>
      </c>
      <c r="F140" s="45"/>
      <c r="G140" s="45">
        <v>810230</v>
      </c>
      <c r="H140" s="45"/>
      <c r="I140" s="45">
        <v>0</v>
      </c>
      <c r="J140" s="45"/>
      <c r="K140" s="45">
        <v>65189</v>
      </c>
      <c r="L140" s="45"/>
      <c r="M140" s="45">
        <v>219140</v>
      </c>
      <c r="N140" s="45"/>
      <c r="O140" s="45">
        <v>39477</v>
      </c>
      <c r="P140" s="45"/>
      <c r="Q140" s="45">
        <v>292798</v>
      </c>
      <c r="R140" s="45"/>
      <c r="S140" s="45">
        <v>9705</v>
      </c>
      <c r="T140" s="45"/>
      <c r="U140" s="45">
        <v>0</v>
      </c>
      <c r="V140" s="45"/>
      <c r="W140" s="45">
        <v>0</v>
      </c>
      <c r="X140" s="45"/>
      <c r="Y140" s="45">
        <v>3814</v>
      </c>
      <c r="Z140" s="44"/>
      <c r="AA140" s="45">
        <v>0</v>
      </c>
      <c r="AB140" s="44"/>
      <c r="AC140" s="45">
        <f t="shared" si="5"/>
        <v>2128883</v>
      </c>
      <c r="AD140" s="45"/>
      <c r="AE140" s="48">
        <v>0</v>
      </c>
      <c r="AF140" s="48"/>
      <c r="AG140" s="45">
        <v>287550</v>
      </c>
      <c r="AH140" s="45"/>
      <c r="AI140" s="45">
        <v>139253</v>
      </c>
      <c r="AJ140" s="45"/>
      <c r="AK140" s="45">
        <v>0</v>
      </c>
      <c r="AL140" s="45"/>
      <c r="AM140" s="45">
        <f>+'Gen rev'!U140-'Gen exp'!AC140-AG140+'Gen rev'!W140+AI140+AK140-'Gen Bal'!S140-'Gen exp'!AE140</f>
        <v>0</v>
      </c>
      <c r="AN140" s="44"/>
      <c r="AO140" s="44"/>
      <c r="AP140" s="44"/>
      <c r="AQ140" s="44"/>
    </row>
    <row r="141" spans="1:45" s="49" customFormat="1" ht="12.75" customHeight="1">
      <c r="A141" s="28" t="s">
        <v>167</v>
      </c>
      <c r="C141" s="28" t="s">
        <v>66</v>
      </c>
      <c r="E141" s="45">
        <v>3899440</v>
      </c>
      <c r="F141" s="45"/>
      <c r="G141" s="45">
        <v>6804011</v>
      </c>
      <c r="H141" s="45"/>
      <c r="I141" s="45">
        <v>906064</v>
      </c>
      <c r="J141" s="45"/>
      <c r="K141" s="45">
        <v>9322</v>
      </c>
      <c r="L141" s="45"/>
      <c r="M141" s="45">
        <v>143266</v>
      </c>
      <c r="N141" s="45"/>
      <c r="O141" s="45">
        <v>2153280</v>
      </c>
      <c r="P141" s="45"/>
      <c r="Q141" s="45">
        <v>894392</v>
      </c>
      <c r="R141" s="45"/>
      <c r="S141" s="45">
        <v>0</v>
      </c>
      <c r="T141" s="45"/>
      <c r="U141" s="45">
        <v>0</v>
      </c>
      <c r="V141" s="45"/>
      <c r="W141" s="45">
        <v>0</v>
      </c>
      <c r="X141" s="45"/>
      <c r="Y141" s="45">
        <v>0</v>
      </c>
      <c r="Z141" s="44"/>
      <c r="AA141" s="45">
        <v>0</v>
      </c>
      <c r="AB141" s="44"/>
      <c r="AC141" s="45">
        <f t="shared" si="5"/>
        <v>14809775</v>
      </c>
      <c r="AD141" s="45"/>
      <c r="AE141" s="48">
        <v>0</v>
      </c>
      <c r="AF141" s="48"/>
      <c r="AG141" s="45">
        <v>102647</v>
      </c>
      <c r="AH141" s="45"/>
      <c r="AI141" s="45">
        <v>4274358</v>
      </c>
      <c r="AJ141" s="45"/>
      <c r="AK141" s="45">
        <v>0</v>
      </c>
      <c r="AL141" s="45"/>
      <c r="AM141" s="45">
        <f>+'Gen rev'!U141-'Gen exp'!AC141-AG141+'Gen rev'!W141+AI141+AK141-'Gen Bal'!S141-'Gen exp'!AE141</f>
        <v>0</v>
      </c>
      <c r="AN141" s="44"/>
      <c r="AO141" s="44"/>
      <c r="AP141" s="44"/>
      <c r="AQ141" s="44"/>
    </row>
    <row r="142" spans="1:45" s="49" customFormat="1" ht="12.75" customHeight="1">
      <c r="A142" s="44" t="s">
        <v>168</v>
      </c>
      <c r="C142" s="44" t="s">
        <v>27</v>
      </c>
      <c r="E142" s="45">
        <v>6752016</v>
      </c>
      <c r="F142" s="45"/>
      <c r="G142" s="45">
        <f>4855049+3405022+62191</f>
        <v>8322262</v>
      </c>
      <c r="H142" s="45"/>
      <c r="I142" s="45">
        <f>544812+321510</f>
        <v>866322</v>
      </c>
      <c r="J142" s="45"/>
      <c r="K142" s="45">
        <v>148195</v>
      </c>
      <c r="L142" s="45"/>
      <c r="M142" s="45">
        <v>0</v>
      </c>
      <c r="N142" s="45"/>
      <c r="O142" s="45">
        <v>0</v>
      </c>
      <c r="P142" s="45"/>
      <c r="Q142" s="45">
        <v>933094</v>
      </c>
      <c r="R142" s="45"/>
      <c r="S142" s="45">
        <v>0</v>
      </c>
      <c r="T142" s="45"/>
      <c r="U142" s="45">
        <v>0</v>
      </c>
      <c r="V142" s="45"/>
      <c r="W142" s="45">
        <v>0</v>
      </c>
      <c r="X142" s="45"/>
      <c r="Y142" s="45">
        <v>0</v>
      </c>
      <c r="Z142" s="44"/>
      <c r="AA142" s="45">
        <v>0</v>
      </c>
      <c r="AB142" s="44"/>
      <c r="AC142" s="45">
        <f t="shared" si="5"/>
        <v>17021889</v>
      </c>
      <c r="AD142" s="45"/>
      <c r="AE142" s="48">
        <v>0</v>
      </c>
      <c r="AF142" s="48"/>
      <c r="AG142" s="45">
        <v>850000</v>
      </c>
      <c r="AH142" s="45"/>
      <c r="AI142" s="45">
        <v>5321761</v>
      </c>
      <c r="AJ142" s="45"/>
      <c r="AK142" s="45">
        <v>0</v>
      </c>
      <c r="AL142" s="45"/>
      <c r="AM142" s="45">
        <f>+'Gen rev'!U142-'Gen exp'!AC142-AG142+'Gen rev'!W142+AI142+AK142-'Gen Bal'!S142-'Gen exp'!AE142</f>
        <v>0</v>
      </c>
      <c r="AN142" s="45"/>
      <c r="AO142" s="45"/>
      <c r="AP142" s="45"/>
      <c r="AQ142" s="45"/>
      <c r="AR142" s="52"/>
      <c r="AS142" s="50"/>
    </row>
    <row r="143" spans="1:45" s="49" customFormat="1" ht="12.75" customHeight="1">
      <c r="A143" s="28" t="s">
        <v>169</v>
      </c>
      <c r="C143" s="28" t="s">
        <v>103</v>
      </c>
      <c r="E143" s="45">
        <v>4203652</v>
      </c>
      <c r="F143" s="45"/>
      <c r="G143" s="45">
        <v>18831465</v>
      </c>
      <c r="H143" s="45"/>
      <c r="I143" s="45">
        <v>1547028</v>
      </c>
      <c r="J143" s="45"/>
      <c r="K143" s="45">
        <v>0</v>
      </c>
      <c r="L143" s="45"/>
      <c r="M143" s="45">
        <v>0</v>
      </c>
      <c r="N143" s="45"/>
      <c r="O143" s="45">
        <v>829245</v>
      </c>
      <c r="P143" s="45"/>
      <c r="Q143" s="45">
        <v>1387000</v>
      </c>
      <c r="R143" s="45"/>
      <c r="S143" s="45">
        <v>0</v>
      </c>
      <c r="T143" s="45"/>
      <c r="U143" s="45">
        <v>0</v>
      </c>
      <c r="V143" s="45"/>
      <c r="W143" s="45">
        <v>0</v>
      </c>
      <c r="X143" s="45"/>
      <c r="Y143" s="45">
        <v>0</v>
      </c>
      <c r="Z143" s="44"/>
      <c r="AA143" s="45">
        <v>0</v>
      </c>
      <c r="AB143" s="44"/>
      <c r="AC143" s="45">
        <f t="shared" si="5"/>
        <v>26798390</v>
      </c>
      <c r="AD143" s="45"/>
      <c r="AE143" s="48">
        <v>0</v>
      </c>
      <c r="AF143" s="48"/>
      <c r="AG143" s="45">
        <v>198000</v>
      </c>
      <c r="AH143" s="45"/>
      <c r="AI143" s="45">
        <v>11302873</v>
      </c>
      <c r="AJ143" s="45"/>
      <c r="AK143" s="45">
        <v>0</v>
      </c>
      <c r="AL143" s="45"/>
      <c r="AM143" s="45">
        <f>+'Gen rev'!U143-'Gen exp'!AC143-AG143+'Gen rev'!W143+AI143+AK143-'Gen Bal'!S143-'Gen exp'!AE143</f>
        <v>0</v>
      </c>
      <c r="AN143" s="44"/>
      <c r="AO143" s="44"/>
      <c r="AP143" s="44"/>
      <c r="AQ143" s="44"/>
    </row>
    <row r="144" spans="1:45" s="49" customFormat="1" ht="12.75" customHeight="1">
      <c r="A144" s="28" t="s">
        <v>170</v>
      </c>
      <c r="C144" s="28" t="s">
        <v>171</v>
      </c>
      <c r="E144" s="45">
        <v>1361266</v>
      </c>
      <c r="F144" s="45"/>
      <c r="G144" s="45">
        <v>1947554</v>
      </c>
      <c r="H144" s="45"/>
      <c r="I144" s="45">
        <v>0</v>
      </c>
      <c r="J144" s="45"/>
      <c r="K144" s="45">
        <v>297514</v>
      </c>
      <c r="L144" s="45"/>
      <c r="M144" s="45">
        <v>339014</v>
      </c>
      <c r="N144" s="45"/>
      <c r="O144" s="45">
        <v>0</v>
      </c>
      <c r="P144" s="45"/>
      <c r="Q144" s="45">
        <v>0</v>
      </c>
      <c r="R144" s="45"/>
      <c r="S144" s="45">
        <v>0</v>
      </c>
      <c r="T144" s="45"/>
      <c r="U144" s="45">
        <v>0</v>
      </c>
      <c r="V144" s="45"/>
      <c r="W144" s="45">
        <v>0</v>
      </c>
      <c r="X144" s="45"/>
      <c r="Y144" s="45">
        <v>0</v>
      </c>
      <c r="Z144" s="44"/>
      <c r="AA144" s="45">
        <v>0</v>
      </c>
      <c r="AB144" s="44"/>
      <c r="AC144" s="45">
        <f t="shared" si="5"/>
        <v>3945348</v>
      </c>
      <c r="AD144" s="45"/>
      <c r="AE144" s="48">
        <v>0</v>
      </c>
      <c r="AF144" s="48"/>
      <c r="AG144" s="45">
        <v>291864</v>
      </c>
      <c r="AH144" s="45"/>
      <c r="AI144" s="45">
        <v>3302452</v>
      </c>
      <c r="AJ144" s="45"/>
      <c r="AK144" s="45">
        <v>0</v>
      </c>
      <c r="AL144" s="45"/>
      <c r="AM144" s="45">
        <f>+'Gen rev'!U144-'Gen exp'!AC144-AG144+'Gen rev'!W144+AI144+AK144-'Gen Bal'!S144-'Gen exp'!AE144</f>
        <v>0</v>
      </c>
      <c r="AN144" s="44"/>
      <c r="AO144" s="44"/>
      <c r="AP144" s="44"/>
      <c r="AQ144" s="44"/>
    </row>
    <row r="145" spans="1:45" s="49" customFormat="1" ht="12.75" customHeight="1">
      <c r="A145" s="28" t="s">
        <v>172</v>
      </c>
      <c r="C145" s="28" t="s">
        <v>103</v>
      </c>
      <c r="E145" s="45">
        <v>1954623</v>
      </c>
      <c r="F145" s="45"/>
      <c r="G145" s="45">
        <v>378115</v>
      </c>
      <c r="H145" s="45"/>
      <c r="I145" s="45">
        <v>0</v>
      </c>
      <c r="J145" s="45"/>
      <c r="K145" s="45">
        <v>237599</v>
      </c>
      <c r="L145" s="45"/>
      <c r="M145" s="45">
        <v>34017</v>
      </c>
      <c r="N145" s="45"/>
      <c r="O145" s="45">
        <v>250204</v>
      </c>
      <c r="P145" s="45"/>
      <c r="Q145" s="45">
        <v>0</v>
      </c>
      <c r="R145" s="45"/>
      <c r="S145" s="45">
        <v>20228</v>
      </c>
      <c r="T145" s="45"/>
      <c r="U145" s="45">
        <v>0</v>
      </c>
      <c r="V145" s="45"/>
      <c r="W145" s="45">
        <v>3143</v>
      </c>
      <c r="X145" s="45"/>
      <c r="Y145" s="45">
        <v>3047</v>
      </c>
      <c r="Z145" s="44"/>
      <c r="AA145" s="45">
        <v>0</v>
      </c>
      <c r="AB145" s="44"/>
      <c r="AC145" s="45">
        <f t="shared" si="5"/>
        <v>2880976</v>
      </c>
      <c r="AD145" s="45"/>
      <c r="AE145" s="48">
        <v>0</v>
      </c>
      <c r="AF145" s="48"/>
      <c r="AG145" s="45">
        <v>5900327</v>
      </c>
      <c r="AH145" s="45"/>
      <c r="AI145" s="45">
        <v>6160245</v>
      </c>
      <c r="AJ145" s="45"/>
      <c r="AK145" s="45">
        <v>0</v>
      </c>
      <c r="AL145" s="45"/>
      <c r="AM145" s="45">
        <f>+'Gen rev'!U145-'Gen exp'!AC145-AG145+'Gen rev'!W145+AI145+AK145-'Gen Bal'!S145-'Gen exp'!AE145</f>
        <v>0</v>
      </c>
      <c r="AN145" s="44"/>
      <c r="AO145" s="44"/>
      <c r="AP145" s="44"/>
      <c r="AQ145" s="44"/>
    </row>
    <row r="146" spans="1:45" s="49" customFormat="1" ht="12.75" customHeight="1">
      <c r="A146" s="28" t="s">
        <v>66</v>
      </c>
      <c r="C146" s="28" t="s">
        <v>45</v>
      </c>
      <c r="E146" s="45">
        <v>3100844</v>
      </c>
      <c r="F146" s="45"/>
      <c r="G146" s="45">
        <v>3076325</v>
      </c>
      <c r="H146" s="45"/>
      <c r="I146" s="45">
        <v>338006</v>
      </c>
      <c r="J146" s="45"/>
      <c r="K146" s="45">
        <v>13668</v>
      </c>
      <c r="L146" s="45"/>
      <c r="M146" s="45">
        <v>575803</v>
      </c>
      <c r="N146" s="45"/>
      <c r="O146" s="45">
        <v>918898</v>
      </c>
      <c r="P146" s="45"/>
      <c r="Q146" s="45">
        <v>0</v>
      </c>
      <c r="R146" s="45"/>
      <c r="S146" s="45">
        <v>7901</v>
      </c>
      <c r="T146" s="45"/>
      <c r="U146" s="45">
        <v>0</v>
      </c>
      <c r="V146" s="45"/>
      <c r="W146" s="45">
        <v>0</v>
      </c>
      <c r="X146" s="45"/>
      <c r="Y146" s="45">
        <v>0</v>
      </c>
      <c r="Z146" s="44"/>
      <c r="AA146" s="45">
        <v>0</v>
      </c>
      <c r="AB146" s="44"/>
      <c r="AC146" s="45">
        <f t="shared" si="5"/>
        <v>8031445</v>
      </c>
      <c r="AD146" s="45"/>
      <c r="AE146" s="48">
        <v>0</v>
      </c>
      <c r="AF146" s="48"/>
      <c r="AG146" s="45">
        <v>1297932</v>
      </c>
      <c r="AH146" s="45"/>
      <c r="AI146" s="45">
        <v>14175062</v>
      </c>
      <c r="AJ146" s="45"/>
      <c r="AK146" s="45">
        <v>0</v>
      </c>
      <c r="AL146" s="45"/>
      <c r="AM146" s="45">
        <f>+'Gen rev'!U146-'Gen exp'!AC146-AG146+'Gen rev'!W146+AI146+AK146-'Gen Bal'!S146-'Gen exp'!AE146</f>
        <v>0</v>
      </c>
      <c r="AN146" s="44"/>
      <c r="AO146" s="44"/>
      <c r="AP146" s="44"/>
      <c r="AQ146" s="44"/>
    </row>
    <row r="147" spans="1:45" s="49" customFormat="1" ht="12.75" customHeight="1">
      <c r="A147" s="28" t="s">
        <v>173</v>
      </c>
      <c r="C147" s="28" t="s">
        <v>66</v>
      </c>
      <c r="E147" s="45">
        <v>3773979</v>
      </c>
      <c r="F147" s="45"/>
      <c r="G147" s="45">
        <v>7823913</v>
      </c>
      <c r="H147" s="45"/>
      <c r="I147" s="45">
        <v>186301</v>
      </c>
      <c r="J147" s="45"/>
      <c r="K147" s="45">
        <v>76564</v>
      </c>
      <c r="L147" s="45"/>
      <c r="M147" s="45">
        <v>464297</v>
      </c>
      <c r="N147" s="45"/>
      <c r="O147" s="45">
        <v>7500</v>
      </c>
      <c r="P147" s="45"/>
      <c r="Q147" s="45">
        <v>345969</v>
      </c>
      <c r="R147" s="45"/>
      <c r="S147" s="45">
        <v>0</v>
      </c>
      <c r="T147" s="45"/>
      <c r="U147" s="45">
        <v>0</v>
      </c>
      <c r="V147" s="45"/>
      <c r="W147" s="45">
        <v>0</v>
      </c>
      <c r="X147" s="45"/>
      <c r="Y147" s="45">
        <v>0</v>
      </c>
      <c r="Z147" s="44"/>
      <c r="AA147" s="45">
        <v>0</v>
      </c>
      <c r="AB147" s="44"/>
      <c r="AC147" s="45">
        <f t="shared" si="5"/>
        <v>12678523</v>
      </c>
      <c r="AD147" s="45"/>
      <c r="AE147" s="48">
        <v>0</v>
      </c>
      <c r="AF147" s="48"/>
      <c r="AG147" s="45">
        <v>2805000</v>
      </c>
      <c r="AH147" s="45"/>
      <c r="AI147" s="45">
        <v>12780865</v>
      </c>
      <c r="AJ147" s="45"/>
      <c r="AK147" s="45">
        <v>0</v>
      </c>
      <c r="AL147" s="45"/>
      <c r="AM147" s="45">
        <f>+'Gen rev'!U147-'Gen exp'!AC147-AG147+'Gen rev'!W147+AI147+AK147-'Gen Bal'!S147-'Gen exp'!AE147</f>
        <v>0</v>
      </c>
      <c r="AN147" s="44"/>
      <c r="AO147" s="44"/>
      <c r="AP147" s="44"/>
      <c r="AQ147" s="44"/>
    </row>
    <row r="148" spans="1:45" s="49" customFormat="1" ht="12.75" customHeight="1">
      <c r="A148" s="28" t="s">
        <v>174</v>
      </c>
      <c r="C148" s="28" t="s">
        <v>45</v>
      </c>
      <c r="E148" s="45">
        <v>602485</v>
      </c>
      <c r="F148" s="45"/>
      <c r="G148" s="45">
        <v>1308160</v>
      </c>
      <c r="H148" s="45"/>
      <c r="I148" s="45">
        <v>88011</v>
      </c>
      <c r="J148" s="45"/>
      <c r="K148" s="45">
        <v>0</v>
      </c>
      <c r="L148" s="45"/>
      <c r="M148" s="45">
        <v>0</v>
      </c>
      <c r="N148" s="45"/>
      <c r="O148" s="45">
        <v>149802</v>
      </c>
      <c r="P148" s="45"/>
      <c r="Q148" s="45">
        <v>476773</v>
      </c>
      <c r="R148" s="45"/>
      <c r="S148" s="45">
        <v>79771</v>
      </c>
      <c r="T148" s="45"/>
      <c r="U148" s="45">
        <v>0</v>
      </c>
      <c r="V148" s="45"/>
      <c r="W148" s="45">
        <v>9104</v>
      </c>
      <c r="X148" s="45"/>
      <c r="Y148" s="45">
        <v>2489</v>
      </c>
      <c r="Z148" s="44"/>
      <c r="AA148" s="45">
        <v>0</v>
      </c>
      <c r="AB148" s="44"/>
      <c r="AC148" s="45">
        <f t="shared" si="5"/>
        <v>2716595</v>
      </c>
      <c r="AD148" s="45"/>
      <c r="AE148" s="48">
        <v>0</v>
      </c>
      <c r="AF148" s="48"/>
      <c r="AG148" s="45">
        <v>308623</v>
      </c>
      <c r="AH148" s="45"/>
      <c r="AI148" s="45">
        <v>327366</v>
      </c>
      <c r="AJ148" s="45"/>
      <c r="AK148" s="45">
        <v>0</v>
      </c>
      <c r="AL148" s="45"/>
      <c r="AM148" s="45">
        <f>+'Gen rev'!U148-'Gen exp'!AC148-AG148+'Gen rev'!W148+AI148+AK148-'Gen Bal'!S148-'Gen exp'!AE148</f>
        <v>0</v>
      </c>
      <c r="AN148" s="44"/>
      <c r="AO148" s="44"/>
      <c r="AP148" s="44"/>
      <c r="AQ148" s="44"/>
    </row>
    <row r="149" spans="1:45" s="49" customFormat="1" ht="12.75" customHeight="1">
      <c r="A149" s="28" t="s">
        <v>175</v>
      </c>
      <c r="C149" s="28" t="s">
        <v>176</v>
      </c>
      <c r="E149" s="45">
        <v>5018534</v>
      </c>
      <c r="F149" s="45"/>
      <c r="G149" s="45">
        <v>4823976</v>
      </c>
      <c r="H149" s="45"/>
      <c r="I149" s="45">
        <v>26352</v>
      </c>
      <c r="J149" s="45"/>
      <c r="K149" s="45">
        <v>360771</v>
      </c>
      <c r="L149" s="45"/>
      <c r="M149" s="45">
        <v>61527</v>
      </c>
      <c r="N149" s="45"/>
      <c r="O149" s="45">
        <v>674620</v>
      </c>
      <c r="P149" s="45"/>
      <c r="Q149" s="45">
        <v>0</v>
      </c>
      <c r="R149" s="45"/>
      <c r="S149" s="45">
        <v>0</v>
      </c>
      <c r="T149" s="45"/>
      <c r="U149" s="45">
        <v>0</v>
      </c>
      <c r="V149" s="45"/>
      <c r="W149" s="45">
        <v>9658</v>
      </c>
      <c r="X149" s="45"/>
      <c r="Y149" s="45">
        <v>18217</v>
      </c>
      <c r="Z149" s="44"/>
      <c r="AA149" s="45">
        <v>0</v>
      </c>
      <c r="AB149" s="44"/>
      <c r="AC149" s="45">
        <f t="shared" si="5"/>
        <v>10993655</v>
      </c>
      <c r="AD149" s="45"/>
      <c r="AE149" s="48">
        <v>0</v>
      </c>
      <c r="AF149" s="48"/>
      <c r="AG149" s="45">
        <v>523669</v>
      </c>
      <c r="AH149" s="45"/>
      <c r="AI149" s="45">
        <v>4658440</v>
      </c>
      <c r="AJ149" s="45"/>
      <c r="AK149" s="45">
        <v>-133</v>
      </c>
      <c r="AL149" s="45"/>
      <c r="AM149" s="45">
        <f>+'Gen rev'!U149-'Gen exp'!AC149-AG149+'Gen rev'!W149+AI149+AK149-'Gen Bal'!S149-'Gen exp'!AE149</f>
        <v>0</v>
      </c>
      <c r="AN149" s="44"/>
      <c r="AO149" s="44"/>
      <c r="AP149" s="44"/>
      <c r="AQ149" s="44"/>
    </row>
    <row r="150" spans="1:45" s="49" customFormat="1" ht="12.75" customHeight="1">
      <c r="A150" s="28" t="s">
        <v>177</v>
      </c>
      <c r="C150" s="28" t="s">
        <v>13</v>
      </c>
      <c r="E150" s="45">
        <v>671661</v>
      </c>
      <c r="F150" s="45"/>
      <c r="G150" s="45">
        <v>1015874</v>
      </c>
      <c r="H150" s="45"/>
      <c r="I150" s="45">
        <v>0</v>
      </c>
      <c r="J150" s="45"/>
      <c r="K150" s="45">
        <v>39749</v>
      </c>
      <c r="L150" s="45"/>
      <c r="M150" s="45">
        <v>99631</v>
      </c>
      <c r="N150" s="45"/>
      <c r="O150" s="45">
        <v>42900</v>
      </c>
      <c r="P150" s="45"/>
      <c r="Q150" s="45">
        <v>0</v>
      </c>
      <c r="R150" s="45"/>
      <c r="S150" s="45">
        <v>0</v>
      </c>
      <c r="T150" s="45"/>
      <c r="U150" s="45">
        <v>0</v>
      </c>
      <c r="V150" s="45"/>
      <c r="W150" s="45">
        <v>0</v>
      </c>
      <c r="X150" s="45"/>
      <c r="Y150" s="45">
        <v>0</v>
      </c>
      <c r="Z150" s="44"/>
      <c r="AA150" s="45">
        <v>0</v>
      </c>
      <c r="AB150" s="44"/>
      <c r="AC150" s="45">
        <f t="shared" si="5"/>
        <v>1869815</v>
      </c>
      <c r="AD150" s="45"/>
      <c r="AE150" s="48">
        <v>0</v>
      </c>
      <c r="AF150" s="48"/>
      <c r="AG150" s="45">
        <v>9205</v>
      </c>
      <c r="AH150" s="45"/>
      <c r="AI150" s="45">
        <v>1740916</v>
      </c>
      <c r="AJ150" s="45"/>
      <c r="AK150" s="45">
        <v>0</v>
      </c>
      <c r="AL150" s="45"/>
      <c r="AM150" s="45">
        <f>+'Gen rev'!U150-'Gen exp'!AC150-AG150+'Gen rev'!W150+AI150+AK150-'Gen Bal'!S150-'Gen exp'!AE150</f>
        <v>0</v>
      </c>
      <c r="AN150" s="44"/>
      <c r="AO150" s="44"/>
      <c r="AP150" s="44"/>
      <c r="AQ150" s="44"/>
      <c r="AR150" s="52"/>
      <c r="AS150" s="50"/>
    </row>
    <row r="151" spans="1:45" s="49" customFormat="1" ht="12.75" customHeight="1">
      <c r="A151" s="28" t="s">
        <v>178</v>
      </c>
      <c r="C151" s="28" t="s">
        <v>179</v>
      </c>
      <c r="E151" s="45">
        <v>941850</v>
      </c>
      <c r="F151" s="45"/>
      <c r="G151" s="45">
        <v>2317814</v>
      </c>
      <c r="H151" s="45"/>
      <c r="I151" s="45">
        <v>103499</v>
      </c>
      <c r="J151" s="45"/>
      <c r="K151" s="45">
        <v>100971</v>
      </c>
      <c r="L151" s="45"/>
      <c r="M151" s="45">
        <v>0</v>
      </c>
      <c r="N151" s="45"/>
      <c r="O151" s="45">
        <v>0</v>
      </c>
      <c r="P151" s="45"/>
      <c r="Q151" s="45">
        <v>0</v>
      </c>
      <c r="R151" s="45"/>
      <c r="S151" s="45">
        <v>0</v>
      </c>
      <c r="T151" s="45"/>
      <c r="U151" s="45">
        <v>0</v>
      </c>
      <c r="V151" s="45"/>
      <c r="W151" s="45">
        <v>0</v>
      </c>
      <c r="X151" s="45"/>
      <c r="Y151" s="45">
        <v>0</v>
      </c>
      <c r="Z151" s="44"/>
      <c r="AA151" s="45">
        <v>0</v>
      </c>
      <c r="AB151" s="44"/>
      <c r="AC151" s="45">
        <f t="shared" si="5"/>
        <v>3464134</v>
      </c>
      <c r="AD151" s="45"/>
      <c r="AE151" s="48">
        <v>0</v>
      </c>
      <c r="AF151" s="48"/>
      <c r="AG151" s="45">
        <v>1669635</v>
      </c>
      <c r="AH151" s="45"/>
      <c r="AI151" s="45">
        <v>1986999</v>
      </c>
      <c r="AJ151" s="45"/>
      <c r="AK151" s="45">
        <v>905</v>
      </c>
      <c r="AL151" s="45"/>
      <c r="AM151" s="45">
        <f>+'Gen rev'!U151-'Gen exp'!AC151-AG151+'Gen rev'!W151+AI151+AK151-'Gen Bal'!S151-'Gen exp'!AE151</f>
        <v>0</v>
      </c>
      <c r="AN151" s="45"/>
      <c r="AO151" s="45"/>
      <c r="AP151" s="45"/>
      <c r="AQ151" s="45"/>
      <c r="AR151" s="52"/>
      <c r="AS151" s="50"/>
    </row>
    <row r="152" spans="1:45" s="49" customFormat="1" ht="12.75" customHeight="1">
      <c r="A152" s="28" t="s">
        <v>180</v>
      </c>
      <c r="C152" s="28" t="s">
        <v>20</v>
      </c>
      <c r="E152" s="45">
        <v>519873</v>
      </c>
      <c r="F152" s="45"/>
      <c r="G152" s="45">
        <f>814818+337597</f>
        <v>1152415</v>
      </c>
      <c r="H152" s="45"/>
      <c r="I152" s="45">
        <v>30601</v>
      </c>
      <c r="J152" s="45"/>
      <c r="K152" s="45">
        <v>0</v>
      </c>
      <c r="L152" s="45"/>
      <c r="M152" s="45">
        <v>56203</v>
      </c>
      <c r="N152" s="45"/>
      <c r="O152" s="45">
        <v>0</v>
      </c>
      <c r="P152" s="45"/>
      <c r="Q152" s="45">
        <v>0</v>
      </c>
      <c r="R152" s="45"/>
      <c r="S152" s="45">
        <v>0</v>
      </c>
      <c r="T152" s="45"/>
      <c r="U152" s="45">
        <v>0</v>
      </c>
      <c r="V152" s="45"/>
      <c r="W152" s="45">
        <v>0</v>
      </c>
      <c r="X152" s="45"/>
      <c r="Y152" s="45">
        <v>0</v>
      </c>
      <c r="Z152" s="44"/>
      <c r="AA152" s="45">
        <v>0</v>
      </c>
      <c r="AB152" s="44"/>
      <c r="AC152" s="45">
        <f t="shared" si="5"/>
        <v>1759092</v>
      </c>
      <c r="AD152" s="45"/>
      <c r="AE152" s="48">
        <v>0</v>
      </c>
      <c r="AF152" s="48"/>
      <c r="AG152" s="45">
        <v>40000</v>
      </c>
      <c r="AH152" s="45"/>
      <c r="AI152" s="45">
        <v>1860717</v>
      </c>
      <c r="AJ152" s="45"/>
      <c r="AK152" s="45">
        <v>0</v>
      </c>
      <c r="AL152" s="45"/>
      <c r="AM152" s="45">
        <f>+'Gen rev'!U152-'Gen exp'!AC152-AG152+'Gen rev'!W152+AI152+AK152-'Gen Bal'!S152-'Gen exp'!AE152</f>
        <v>0</v>
      </c>
      <c r="AN152" s="44"/>
      <c r="AO152" s="44"/>
      <c r="AP152" s="44"/>
      <c r="AQ152" s="44"/>
    </row>
    <row r="153" spans="1:45" s="49" customFormat="1" ht="12.75" customHeight="1">
      <c r="A153" s="28" t="s">
        <v>182</v>
      </c>
      <c r="C153" s="28" t="s">
        <v>183</v>
      </c>
      <c r="E153" s="45">
        <v>652378</v>
      </c>
      <c r="F153" s="45"/>
      <c r="G153" s="45">
        <v>377685</v>
      </c>
      <c r="H153" s="45"/>
      <c r="I153" s="45">
        <v>42408</v>
      </c>
      <c r="J153" s="45"/>
      <c r="K153" s="45">
        <v>0</v>
      </c>
      <c r="L153" s="45"/>
      <c r="M153" s="45">
        <v>0</v>
      </c>
      <c r="N153" s="45"/>
      <c r="O153" s="45">
        <v>60710</v>
      </c>
      <c r="P153" s="45"/>
      <c r="Q153" s="45">
        <v>0</v>
      </c>
      <c r="R153" s="45"/>
      <c r="S153" s="45">
        <v>64519</v>
      </c>
      <c r="T153" s="45"/>
      <c r="U153" s="45">
        <v>0</v>
      </c>
      <c r="V153" s="45"/>
      <c r="W153" s="45">
        <v>0</v>
      </c>
      <c r="X153" s="45"/>
      <c r="Y153" s="45">
        <v>0</v>
      </c>
      <c r="Z153" s="44"/>
      <c r="AA153" s="45">
        <v>0</v>
      </c>
      <c r="AB153" s="44"/>
      <c r="AC153" s="45">
        <f t="shared" si="5"/>
        <v>1197700</v>
      </c>
      <c r="AD153" s="45"/>
      <c r="AE153" s="48">
        <v>0</v>
      </c>
      <c r="AF153" s="48"/>
      <c r="AG153" s="45">
        <v>200483</v>
      </c>
      <c r="AH153" s="45"/>
      <c r="AI153" s="45">
        <v>536369</v>
      </c>
      <c r="AJ153" s="45"/>
      <c r="AK153" s="45">
        <v>0</v>
      </c>
      <c r="AL153" s="45"/>
      <c r="AM153" s="45">
        <f>+'Gen rev'!U153-'Gen exp'!AC153-AG153+'Gen rev'!W153+AI153+AK153-'Gen Bal'!S153-'Gen exp'!AE153</f>
        <v>0</v>
      </c>
      <c r="AN153" s="44"/>
      <c r="AO153" s="44"/>
      <c r="AP153" s="44"/>
      <c r="AQ153" s="44"/>
    </row>
    <row r="154" spans="1:45" s="49" customFormat="1" ht="12.75" customHeight="1">
      <c r="A154" s="28" t="s">
        <v>487</v>
      </c>
      <c r="C154" s="28" t="s">
        <v>13</v>
      </c>
      <c r="E154" s="45">
        <v>1322497</v>
      </c>
      <c r="F154" s="45"/>
      <c r="G154" s="45">
        <v>892104</v>
      </c>
      <c r="H154" s="45"/>
      <c r="I154" s="45">
        <v>128194</v>
      </c>
      <c r="J154" s="45"/>
      <c r="K154" s="45">
        <v>110590</v>
      </c>
      <c r="L154" s="45"/>
      <c r="M154" s="45">
        <v>0</v>
      </c>
      <c r="N154" s="45"/>
      <c r="O154" s="45">
        <v>0</v>
      </c>
      <c r="P154" s="45"/>
      <c r="Q154" s="45">
        <v>0</v>
      </c>
      <c r="R154" s="45"/>
      <c r="S154" s="45">
        <v>93571</v>
      </c>
      <c r="T154" s="45"/>
      <c r="U154" s="45">
        <v>0</v>
      </c>
      <c r="V154" s="45"/>
      <c r="W154" s="45">
        <v>0</v>
      </c>
      <c r="X154" s="45"/>
      <c r="Y154" s="45">
        <v>0</v>
      </c>
      <c r="Z154" s="44"/>
      <c r="AA154" s="45">
        <v>0</v>
      </c>
      <c r="AB154" s="44"/>
      <c r="AC154" s="45">
        <f t="shared" si="5"/>
        <v>2546956</v>
      </c>
      <c r="AD154" s="45"/>
      <c r="AE154" s="48">
        <v>0</v>
      </c>
      <c r="AF154" s="48"/>
      <c r="AG154" s="45">
        <v>50000</v>
      </c>
      <c r="AH154" s="45"/>
      <c r="AI154" s="45">
        <v>2123382</v>
      </c>
      <c r="AJ154" s="45"/>
      <c r="AK154" s="45">
        <v>0</v>
      </c>
      <c r="AL154" s="45"/>
      <c r="AM154" s="45">
        <f>+'Gen rev'!U154-'Gen exp'!AC154-AG154+'Gen rev'!W154+AI154+AK154-'Gen Bal'!S154-'Gen exp'!AE154</f>
        <v>0</v>
      </c>
      <c r="AN154" s="45"/>
      <c r="AO154" s="45"/>
      <c r="AP154" s="45"/>
      <c r="AQ154" s="45"/>
      <c r="AR154" s="52"/>
      <c r="AS154" s="50"/>
    </row>
    <row r="155" spans="1:45" s="49" customFormat="1" ht="12.75" customHeight="1">
      <c r="A155" s="28" t="s">
        <v>184</v>
      </c>
      <c r="C155" s="28" t="s">
        <v>89</v>
      </c>
      <c r="E155" s="45">
        <v>2523357</v>
      </c>
      <c r="F155" s="45"/>
      <c r="G155" s="45">
        <v>1857975</v>
      </c>
      <c r="H155" s="45"/>
      <c r="I155" s="45">
        <v>0</v>
      </c>
      <c r="J155" s="45"/>
      <c r="K155" s="45">
        <v>239948</v>
      </c>
      <c r="L155" s="45"/>
      <c r="M155" s="45">
        <v>35719</v>
      </c>
      <c r="N155" s="45"/>
      <c r="O155" s="45">
        <v>688843</v>
      </c>
      <c r="P155" s="45"/>
      <c r="Q155" s="45">
        <v>0</v>
      </c>
      <c r="R155" s="45"/>
      <c r="S155" s="45">
        <v>426115</v>
      </c>
      <c r="T155" s="45"/>
      <c r="U155" s="45">
        <v>0</v>
      </c>
      <c r="V155" s="45"/>
      <c r="W155" s="45">
        <v>35750</v>
      </c>
      <c r="X155" s="45"/>
      <c r="Y155" s="45">
        <v>5235</v>
      </c>
      <c r="Z155" s="44"/>
      <c r="AA155" s="45">
        <v>0</v>
      </c>
      <c r="AB155" s="44"/>
      <c r="AC155" s="45">
        <f t="shared" si="5"/>
        <v>5812942</v>
      </c>
      <c r="AD155" s="45"/>
      <c r="AE155" s="48">
        <v>0</v>
      </c>
      <c r="AF155" s="48"/>
      <c r="AG155" s="45">
        <v>124355</v>
      </c>
      <c r="AH155" s="45"/>
      <c r="AI155" s="45">
        <v>2784847</v>
      </c>
      <c r="AJ155" s="45"/>
      <c r="AK155" s="45">
        <v>0</v>
      </c>
      <c r="AL155" s="45"/>
      <c r="AM155" s="45">
        <f>+'Gen rev'!U155-'Gen exp'!AC155-AG155+'Gen rev'!W155+AI155+AK155-'Gen Bal'!S155-'Gen exp'!AE155</f>
        <v>0</v>
      </c>
      <c r="AN155" s="45"/>
      <c r="AO155" s="45"/>
      <c r="AP155" s="45"/>
      <c r="AQ155" s="45"/>
      <c r="AR155" s="52"/>
      <c r="AS155" s="50"/>
    </row>
    <row r="156" spans="1:45" s="49" customFormat="1" ht="12.75" customHeight="1">
      <c r="A156" s="28" t="s">
        <v>181</v>
      </c>
      <c r="C156" s="28" t="s">
        <v>125</v>
      </c>
      <c r="E156" s="45">
        <v>8501293</v>
      </c>
      <c r="F156" s="45"/>
      <c r="G156" s="45">
        <v>17778765</v>
      </c>
      <c r="H156" s="45"/>
      <c r="I156" s="45">
        <v>86571</v>
      </c>
      <c r="J156" s="45"/>
      <c r="K156" s="45">
        <v>27829</v>
      </c>
      <c r="L156" s="45"/>
      <c r="M156" s="45">
        <v>0</v>
      </c>
      <c r="N156" s="45"/>
      <c r="O156" s="45">
        <v>0</v>
      </c>
      <c r="P156" s="45"/>
      <c r="Q156" s="45">
        <v>0</v>
      </c>
      <c r="R156" s="45"/>
      <c r="S156" s="45">
        <v>0</v>
      </c>
      <c r="T156" s="45"/>
      <c r="U156" s="45">
        <v>0</v>
      </c>
      <c r="V156" s="45"/>
      <c r="W156" s="45">
        <v>0</v>
      </c>
      <c r="X156" s="45"/>
      <c r="Y156" s="45">
        <v>0</v>
      </c>
      <c r="Z156" s="44"/>
      <c r="AA156" s="45">
        <v>0</v>
      </c>
      <c r="AB156" s="44"/>
      <c r="AC156" s="45">
        <f t="shared" si="5"/>
        <v>26394458</v>
      </c>
      <c r="AD156" s="45"/>
      <c r="AE156" s="48">
        <v>0</v>
      </c>
      <c r="AF156" s="48"/>
      <c r="AG156" s="45">
        <v>1373485</v>
      </c>
      <c r="AH156" s="45"/>
      <c r="AI156" s="45">
        <v>2983260</v>
      </c>
      <c r="AJ156" s="45"/>
      <c r="AK156" s="45">
        <v>-12301</v>
      </c>
      <c r="AL156" s="45"/>
      <c r="AM156" s="45">
        <f>+'Gen rev'!U156-'Gen exp'!AC156-AG156+'Gen rev'!W156+AI156+AK156-'Gen Bal'!S156-'Gen exp'!AE156</f>
        <v>0</v>
      </c>
      <c r="AN156" s="45"/>
      <c r="AO156" s="45"/>
      <c r="AP156" s="45"/>
      <c r="AQ156" s="45"/>
      <c r="AR156" s="52"/>
      <c r="AS156" s="50"/>
    </row>
    <row r="157" spans="1:45" s="49" customFormat="1" ht="12.75" customHeight="1">
      <c r="A157" s="28" t="s">
        <v>185</v>
      </c>
      <c r="C157" s="28" t="s">
        <v>80</v>
      </c>
      <c r="E157" s="45">
        <v>1858936</v>
      </c>
      <c r="F157" s="45"/>
      <c r="G157" s="45">
        <v>383178</v>
      </c>
      <c r="H157" s="45"/>
      <c r="I157" s="45">
        <v>264013</v>
      </c>
      <c r="J157" s="45"/>
      <c r="K157" s="45">
        <v>529211</v>
      </c>
      <c r="L157" s="45"/>
      <c r="M157" s="45">
        <v>495104</v>
      </c>
      <c r="N157" s="45"/>
      <c r="O157" s="45">
        <v>11011</v>
      </c>
      <c r="P157" s="45"/>
      <c r="Q157" s="45">
        <v>159946</v>
      </c>
      <c r="R157" s="45"/>
      <c r="S157" s="45">
        <v>0</v>
      </c>
      <c r="T157" s="45"/>
      <c r="U157" s="45">
        <v>0</v>
      </c>
      <c r="V157" s="45"/>
      <c r="W157" s="45">
        <v>1852</v>
      </c>
      <c r="X157" s="45"/>
      <c r="Y157" s="45">
        <v>404</v>
      </c>
      <c r="Z157" s="44"/>
      <c r="AA157" s="45">
        <v>0</v>
      </c>
      <c r="AB157" s="44"/>
      <c r="AC157" s="45">
        <f t="shared" si="5"/>
        <v>3703655</v>
      </c>
      <c r="AD157" s="45"/>
      <c r="AE157" s="48">
        <v>0</v>
      </c>
      <c r="AF157" s="48"/>
      <c r="AG157" s="45">
        <v>5132914</v>
      </c>
      <c r="AH157" s="45"/>
      <c r="AI157" s="45">
        <v>12617115</v>
      </c>
      <c r="AJ157" s="45"/>
      <c r="AK157" s="45">
        <v>0</v>
      </c>
      <c r="AL157" s="45"/>
      <c r="AM157" s="45">
        <f>+'Gen rev'!U157-'Gen exp'!AC157-AG157+'Gen rev'!W157+AI157+AK157-'Gen Bal'!S157-'Gen exp'!AE157</f>
        <v>0</v>
      </c>
      <c r="AN157" s="44"/>
      <c r="AO157" s="44"/>
      <c r="AP157" s="44"/>
      <c r="AQ157" s="44"/>
      <c r="AR157" s="52"/>
      <c r="AS157" s="50"/>
    </row>
    <row r="158" spans="1:45" s="49" customFormat="1" ht="12.75" customHeight="1">
      <c r="A158" s="28" t="s">
        <v>186</v>
      </c>
      <c r="C158" s="28" t="s">
        <v>15</v>
      </c>
      <c r="E158" s="45">
        <v>1740772</v>
      </c>
      <c r="F158" s="45"/>
      <c r="G158" s="45">
        <v>3222532</v>
      </c>
      <c r="H158" s="45"/>
      <c r="I158" s="45">
        <v>463094</v>
      </c>
      <c r="J158" s="45"/>
      <c r="K158" s="45">
        <v>99079</v>
      </c>
      <c r="L158" s="45"/>
      <c r="M158" s="45">
        <v>0</v>
      </c>
      <c r="N158" s="45"/>
      <c r="O158" s="45">
        <v>769942</v>
      </c>
      <c r="P158" s="45"/>
      <c r="Q158" s="45">
        <v>0</v>
      </c>
      <c r="R158" s="45"/>
      <c r="S158" s="45">
        <v>0</v>
      </c>
      <c r="T158" s="45"/>
      <c r="U158" s="45">
        <v>0</v>
      </c>
      <c r="V158" s="45"/>
      <c r="W158" s="45">
        <v>0</v>
      </c>
      <c r="X158" s="45"/>
      <c r="Y158" s="45">
        <v>0</v>
      </c>
      <c r="Z158" s="44"/>
      <c r="AA158" s="45">
        <v>0</v>
      </c>
      <c r="AB158" s="44"/>
      <c r="AC158" s="45">
        <f t="shared" si="5"/>
        <v>6295419</v>
      </c>
      <c r="AD158" s="45"/>
      <c r="AE158" s="48">
        <v>0</v>
      </c>
      <c r="AF158" s="48"/>
      <c r="AG158" s="45">
        <v>1906035</v>
      </c>
      <c r="AH158" s="45"/>
      <c r="AI158" s="45">
        <v>2307970</v>
      </c>
      <c r="AJ158" s="45"/>
      <c r="AK158" s="45">
        <v>0</v>
      </c>
      <c r="AL158" s="45"/>
      <c r="AM158" s="45">
        <f>+'Gen rev'!U159-'Gen exp'!AC158-AG158+'Gen rev'!W159+AI158+AK158-'Gen Bal'!S158-'Gen exp'!AE158</f>
        <v>0</v>
      </c>
      <c r="AN158" s="45"/>
      <c r="AO158" s="45"/>
      <c r="AP158" s="45"/>
      <c r="AQ158" s="45"/>
      <c r="AR158" s="52"/>
      <c r="AS158" s="50"/>
    </row>
    <row r="159" spans="1:45" s="44" customFormat="1" ht="12.75" customHeight="1">
      <c r="A159" s="35" t="s">
        <v>187</v>
      </c>
      <c r="C159" s="35" t="s">
        <v>27</v>
      </c>
      <c r="E159" s="45">
        <v>3361104</v>
      </c>
      <c r="F159" s="45"/>
      <c r="G159" s="45">
        <v>11074052</v>
      </c>
      <c r="H159" s="45"/>
      <c r="I159" s="45">
        <v>344812</v>
      </c>
      <c r="J159" s="45"/>
      <c r="K159" s="45">
        <v>409997</v>
      </c>
      <c r="L159" s="45"/>
      <c r="M159" s="45">
        <v>1932654</v>
      </c>
      <c r="N159" s="45"/>
      <c r="O159" s="45">
        <v>0</v>
      </c>
      <c r="P159" s="45"/>
      <c r="Q159" s="45">
        <v>223326</v>
      </c>
      <c r="R159" s="45"/>
      <c r="S159" s="45">
        <v>0</v>
      </c>
      <c r="T159" s="45"/>
      <c r="U159" s="45">
        <v>0</v>
      </c>
      <c r="V159" s="45"/>
      <c r="W159" s="45">
        <v>8799</v>
      </c>
      <c r="X159" s="45"/>
      <c r="Y159" s="45">
        <v>5667</v>
      </c>
      <c r="AA159" s="45">
        <v>0</v>
      </c>
      <c r="AC159" s="45">
        <f t="shared" si="5"/>
        <v>17360411</v>
      </c>
      <c r="AD159" s="45"/>
      <c r="AE159" s="48">
        <v>0</v>
      </c>
      <c r="AF159" s="48"/>
      <c r="AG159" s="45">
        <v>147326</v>
      </c>
      <c r="AH159" s="45"/>
      <c r="AI159" s="45">
        <v>3588760</v>
      </c>
      <c r="AJ159" s="45"/>
      <c r="AK159" s="45">
        <v>0</v>
      </c>
      <c r="AL159" s="45"/>
      <c r="AM159" s="45">
        <f>+'Gen rev'!U160-'Gen exp'!AC159-AG159+'Gen rev'!W160+AI159+AK159-'Gen Bal'!S159-'Gen exp'!AE159</f>
        <v>0</v>
      </c>
      <c r="AN159" s="45"/>
      <c r="AO159" s="45"/>
      <c r="AP159" s="45"/>
      <c r="AQ159" s="45"/>
      <c r="AR159" s="55"/>
      <c r="AS159" s="35"/>
    </row>
    <row r="160" spans="1:45" s="49" customFormat="1" ht="12.75" customHeight="1">
      <c r="A160" s="28" t="s">
        <v>189</v>
      </c>
      <c r="C160" s="28" t="s">
        <v>17</v>
      </c>
      <c r="E160" s="45">
        <v>3189875</v>
      </c>
      <c r="F160" s="45"/>
      <c r="G160" s="45">
        <v>5663200</v>
      </c>
      <c r="H160" s="45"/>
      <c r="I160" s="45">
        <v>1465810</v>
      </c>
      <c r="J160" s="45"/>
      <c r="K160" s="45">
        <v>367492</v>
      </c>
      <c r="L160" s="45"/>
      <c r="M160" s="45">
        <v>0</v>
      </c>
      <c r="N160" s="45"/>
      <c r="O160" s="45">
        <v>217026</v>
      </c>
      <c r="P160" s="45"/>
      <c r="Q160" s="45">
        <v>0</v>
      </c>
      <c r="R160" s="45"/>
      <c r="S160" s="45">
        <v>0</v>
      </c>
      <c r="T160" s="45"/>
      <c r="U160" s="45">
        <v>0</v>
      </c>
      <c r="V160" s="45"/>
      <c r="W160" s="45">
        <v>2431</v>
      </c>
      <c r="X160" s="45"/>
      <c r="Y160" s="45">
        <v>1349</v>
      </c>
      <c r="Z160" s="44"/>
      <c r="AA160" s="45">
        <v>0</v>
      </c>
      <c r="AB160" s="44"/>
      <c r="AC160" s="45">
        <f t="shared" si="5"/>
        <v>10907183</v>
      </c>
      <c r="AD160" s="45"/>
      <c r="AE160" s="48">
        <v>0</v>
      </c>
      <c r="AF160" s="48"/>
      <c r="AG160" s="45">
        <v>0</v>
      </c>
      <c r="AH160" s="45"/>
      <c r="AI160" s="45">
        <v>2365372</v>
      </c>
      <c r="AJ160" s="45"/>
      <c r="AK160" s="45">
        <v>0</v>
      </c>
      <c r="AL160" s="45"/>
      <c r="AM160" s="45">
        <f>+'Gen rev'!U161-'Gen exp'!AC160-AG160+'Gen rev'!W161+AI160+AK160-'Gen Bal'!S160-'Gen exp'!AE160</f>
        <v>0</v>
      </c>
      <c r="AN160" s="55"/>
      <c r="AO160" s="55"/>
      <c r="AP160" s="55"/>
      <c r="AQ160" s="55"/>
      <c r="AR160" s="52"/>
      <c r="AS160" s="50"/>
    </row>
    <row r="161" spans="1:45" s="49" customFormat="1" ht="12.75" customHeight="1">
      <c r="A161" s="28" t="s">
        <v>188</v>
      </c>
      <c r="C161" s="28" t="s">
        <v>27</v>
      </c>
      <c r="E161" s="45">
        <v>2969816</v>
      </c>
      <c r="F161" s="45"/>
      <c r="G161" s="45">
        <v>5003821</v>
      </c>
      <c r="H161" s="45"/>
      <c r="I161" s="45">
        <v>681444</v>
      </c>
      <c r="J161" s="45"/>
      <c r="K161" s="45">
        <v>199826</v>
      </c>
      <c r="L161" s="45"/>
      <c r="M161" s="45">
        <v>76743</v>
      </c>
      <c r="N161" s="45"/>
      <c r="O161" s="45">
        <v>454851</v>
      </c>
      <c r="P161" s="45"/>
      <c r="Q161" s="45">
        <v>1560463</v>
      </c>
      <c r="R161" s="45"/>
      <c r="S161" s="45">
        <v>39116</v>
      </c>
      <c r="T161" s="45"/>
      <c r="U161" s="45">
        <v>0</v>
      </c>
      <c r="V161" s="45"/>
      <c r="W161" s="45">
        <v>99265</v>
      </c>
      <c r="X161" s="45"/>
      <c r="Y161" s="45">
        <v>8293</v>
      </c>
      <c r="Z161" s="44"/>
      <c r="AA161" s="45">
        <v>0</v>
      </c>
      <c r="AB161" s="44"/>
      <c r="AC161" s="45">
        <f t="shared" si="5"/>
        <v>11093638</v>
      </c>
      <c r="AD161" s="45"/>
      <c r="AE161" s="48">
        <v>0</v>
      </c>
      <c r="AF161" s="48"/>
      <c r="AG161" s="45">
        <v>2563000</v>
      </c>
      <c r="AH161" s="45"/>
      <c r="AI161" s="45">
        <v>2396741</v>
      </c>
      <c r="AJ161" s="45"/>
      <c r="AK161" s="45">
        <v>0</v>
      </c>
      <c r="AL161" s="45"/>
      <c r="AM161" s="45">
        <f>+'Gen rev'!U162-'Gen exp'!AC161-AG161+'Gen rev'!W162+AI161+AK161-'Gen Bal'!S161-'Gen exp'!AE161</f>
        <v>0</v>
      </c>
      <c r="AN161" s="44"/>
      <c r="AO161" s="44"/>
      <c r="AP161" s="44"/>
      <c r="AQ161" s="44"/>
    </row>
    <row r="162" spans="1:45" s="49" customFormat="1" ht="12.75" customHeight="1">
      <c r="A162" s="28" t="s">
        <v>190</v>
      </c>
      <c r="C162" s="28" t="s">
        <v>47</v>
      </c>
      <c r="E162" s="45">
        <v>1411917</v>
      </c>
      <c r="F162" s="45"/>
      <c r="G162" s="45">
        <v>2391029</v>
      </c>
      <c r="H162" s="45"/>
      <c r="I162" s="45">
        <v>87402</v>
      </c>
      <c r="J162" s="45"/>
      <c r="K162" s="45">
        <v>8833</v>
      </c>
      <c r="L162" s="45"/>
      <c r="M162" s="45">
        <v>239081</v>
      </c>
      <c r="N162" s="45"/>
      <c r="O162" s="45">
        <v>51496</v>
      </c>
      <c r="P162" s="45"/>
      <c r="Q162" s="45">
        <v>0</v>
      </c>
      <c r="R162" s="45"/>
      <c r="S162" s="45">
        <v>0</v>
      </c>
      <c r="T162" s="45"/>
      <c r="U162" s="45">
        <v>0</v>
      </c>
      <c r="V162" s="45"/>
      <c r="W162" s="45">
        <v>0</v>
      </c>
      <c r="X162" s="45"/>
      <c r="Y162" s="45">
        <v>0</v>
      </c>
      <c r="Z162" s="44"/>
      <c r="AA162" s="45">
        <v>0</v>
      </c>
      <c r="AB162" s="44"/>
      <c r="AC162" s="45">
        <f t="shared" si="5"/>
        <v>4189758</v>
      </c>
      <c r="AD162" s="45"/>
      <c r="AE162" s="48">
        <v>0</v>
      </c>
      <c r="AF162" s="48"/>
      <c r="AG162" s="45">
        <v>0</v>
      </c>
      <c r="AH162" s="45"/>
      <c r="AI162" s="45">
        <v>459201</v>
      </c>
      <c r="AJ162" s="45"/>
      <c r="AK162" s="45">
        <v>936</v>
      </c>
      <c r="AL162" s="45"/>
      <c r="AM162" s="45">
        <f>+'Gen rev'!U163-'Gen exp'!AC162-AG162+'Gen rev'!W163+AI162+AK162-'Gen Bal'!S162-'Gen exp'!AE162</f>
        <v>0</v>
      </c>
      <c r="AN162" s="44"/>
      <c r="AO162" s="44"/>
      <c r="AP162" s="44"/>
      <c r="AQ162" s="44"/>
    </row>
    <row r="163" spans="1:45" s="49" customFormat="1" ht="12.75" customHeight="1">
      <c r="A163" s="28" t="s">
        <v>191</v>
      </c>
      <c r="C163" s="28" t="s">
        <v>13</v>
      </c>
      <c r="E163" s="45">
        <v>2129117</v>
      </c>
      <c r="F163" s="45"/>
      <c r="G163" s="45">
        <v>2094245</v>
      </c>
      <c r="H163" s="45"/>
      <c r="I163" s="45">
        <v>209513</v>
      </c>
      <c r="J163" s="45"/>
      <c r="K163" s="45">
        <v>0</v>
      </c>
      <c r="L163" s="45"/>
      <c r="M163" s="45">
        <v>0</v>
      </c>
      <c r="N163" s="45"/>
      <c r="O163" s="45">
        <v>109044</v>
      </c>
      <c r="P163" s="45"/>
      <c r="Q163" s="45">
        <v>0</v>
      </c>
      <c r="R163" s="45"/>
      <c r="S163" s="45">
        <v>0</v>
      </c>
      <c r="T163" s="45"/>
      <c r="U163" s="45">
        <v>0</v>
      </c>
      <c r="V163" s="45"/>
      <c r="W163" s="45">
        <v>0</v>
      </c>
      <c r="X163" s="45"/>
      <c r="Y163" s="45">
        <v>8279</v>
      </c>
      <c r="Z163" s="44"/>
      <c r="AA163" s="45">
        <v>0</v>
      </c>
      <c r="AB163" s="44"/>
      <c r="AC163" s="45">
        <f t="shared" si="5"/>
        <v>4550198</v>
      </c>
      <c r="AD163" s="45"/>
      <c r="AE163" s="48">
        <v>0</v>
      </c>
      <c r="AF163" s="48"/>
      <c r="AG163" s="45">
        <v>831200</v>
      </c>
      <c r="AH163" s="45"/>
      <c r="AI163" s="45">
        <v>786248</v>
      </c>
      <c r="AJ163" s="45"/>
      <c r="AK163" s="45">
        <v>0</v>
      </c>
      <c r="AL163" s="45"/>
      <c r="AM163" s="45">
        <f>+'Gen rev'!U164-'Gen exp'!AC163-AG163+'Gen rev'!W164+AI163+AK163-'Gen Bal'!S163-'Gen exp'!AE163</f>
        <v>0</v>
      </c>
      <c r="AN163" s="44"/>
      <c r="AO163" s="44"/>
      <c r="AP163" s="44"/>
      <c r="AQ163" s="44"/>
    </row>
    <row r="164" spans="1:45" s="49" customFormat="1" ht="12.75" customHeight="1">
      <c r="A164" s="28" t="s">
        <v>192</v>
      </c>
      <c r="C164" s="28" t="s">
        <v>38</v>
      </c>
      <c r="E164" s="45">
        <v>1938994</v>
      </c>
      <c r="F164" s="45"/>
      <c r="G164" s="45">
        <v>3855359</v>
      </c>
      <c r="H164" s="45"/>
      <c r="I164" s="45">
        <v>64442</v>
      </c>
      <c r="J164" s="45"/>
      <c r="K164" s="45">
        <v>114127</v>
      </c>
      <c r="L164" s="45"/>
      <c r="M164" s="45">
        <v>5503</v>
      </c>
      <c r="N164" s="45"/>
      <c r="O164" s="45">
        <v>0</v>
      </c>
      <c r="P164" s="45"/>
      <c r="Q164" s="45">
        <v>0</v>
      </c>
      <c r="R164" s="45"/>
      <c r="S164" s="45">
        <v>0</v>
      </c>
      <c r="T164" s="45"/>
      <c r="U164" s="45">
        <v>0</v>
      </c>
      <c r="V164" s="45"/>
      <c r="W164" s="45">
        <v>15027</v>
      </c>
      <c r="X164" s="45"/>
      <c r="Y164" s="45">
        <v>8633</v>
      </c>
      <c r="Z164" s="44"/>
      <c r="AA164" s="45">
        <v>0</v>
      </c>
      <c r="AB164" s="44"/>
      <c r="AC164" s="45">
        <f t="shared" si="5"/>
        <v>6002085</v>
      </c>
      <c r="AD164" s="45"/>
      <c r="AE164" s="48">
        <v>0</v>
      </c>
      <c r="AF164" s="48"/>
      <c r="AG164" s="45">
        <v>897148</v>
      </c>
      <c r="AH164" s="45"/>
      <c r="AI164" s="45">
        <v>2687780</v>
      </c>
      <c r="AJ164" s="45"/>
      <c r="AK164" s="45">
        <v>0</v>
      </c>
      <c r="AL164" s="45"/>
      <c r="AM164" s="45">
        <f>+'Gen rev'!U165-'Gen exp'!AC164-AG164+'Gen rev'!W165+AI164+AK164-'Gen Bal'!S165-'Gen exp'!AE164</f>
        <v>0</v>
      </c>
      <c r="AN164" s="44"/>
      <c r="AO164" s="44"/>
      <c r="AP164" s="44"/>
      <c r="AQ164" s="44"/>
    </row>
    <row r="165" spans="1:45" s="46" customFormat="1" ht="12.75" customHeight="1">
      <c r="A165" s="28" t="s">
        <v>193</v>
      </c>
      <c r="B165" s="49"/>
      <c r="C165" s="28" t="s">
        <v>45</v>
      </c>
      <c r="D165" s="49"/>
      <c r="E165" s="45">
        <v>3957897</v>
      </c>
      <c r="F165" s="45"/>
      <c r="G165" s="45">
        <f>7328436+7513649</f>
        <v>14842085</v>
      </c>
      <c r="H165" s="45"/>
      <c r="I165" s="45">
        <v>0</v>
      </c>
      <c r="J165" s="45"/>
      <c r="K165" s="45">
        <v>991754</v>
      </c>
      <c r="L165" s="45"/>
      <c r="M165" s="45">
        <v>0</v>
      </c>
      <c r="N165" s="45"/>
      <c r="O165" s="45">
        <v>0</v>
      </c>
      <c r="P165" s="45"/>
      <c r="Q165" s="45">
        <v>61571</v>
      </c>
      <c r="R165" s="45"/>
      <c r="S165" s="45">
        <v>215955</v>
      </c>
      <c r="T165" s="45"/>
      <c r="U165" s="45">
        <v>0</v>
      </c>
      <c r="V165" s="45"/>
      <c r="W165" s="45">
        <v>166649</v>
      </c>
      <c r="X165" s="45"/>
      <c r="Y165" s="45">
        <v>21959</v>
      </c>
      <c r="Z165" s="44"/>
      <c r="AA165" s="45">
        <v>0</v>
      </c>
      <c r="AB165" s="44"/>
      <c r="AC165" s="45">
        <f t="shared" si="5"/>
        <v>20257870</v>
      </c>
      <c r="AD165" s="45"/>
      <c r="AE165" s="48">
        <v>0</v>
      </c>
      <c r="AF165" s="48"/>
      <c r="AG165" s="45">
        <v>1310049</v>
      </c>
      <c r="AH165" s="45"/>
      <c r="AI165" s="45">
        <v>2693785</v>
      </c>
      <c r="AJ165" s="45"/>
      <c r="AK165" s="45">
        <v>0</v>
      </c>
      <c r="AL165" s="45"/>
      <c r="AM165" s="45">
        <f>+'Gen rev'!U166-'Gen exp'!AC165-AG165+'Gen rev'!W166+AI165+AK165-'Gen Bal'!S166-'Gen exp'!AE165</f>
        <v>0</v>
      </c>
      <c r="AN165" s="65"/>
    </row>
    <row r="166" spans="1:45" s="49" customFormat="1" ht="12.75" customHeight="1">
      <c r="A166" s="28" t="s">
        <v>194</v>
      </c>
      <c r="C166" s="28" t="s">
        <v>66</v>
      </c>
      <c r="E166" s="45">
        <v>2125030</v>
      </c>
      <c r="F166" s="45"/>
      <c r="G166" s="45">
        <v>4868659</v>
      </c>
      <c r="H166" s="45"/>
      <c r="I166" s="45">
        <v>554062</v>
      </c>
      <c r="J166" s="45"/>
      <c r="K166" s="45">
        <v>0</v>
      </c>
      <c r="L166" s="45"/>
      <c r="M166" s="45">
        <v>0</v>
      </c>
      <c r="N166" s="45"/>
      <c r="O166" s="45">
        <v>0</v>
      </c>
      <c r="P166" s="45"/>
      <c r="Q166" s="45">
        <v>0</v>
      </c>
      <c r="R166" s="45"/>
      <c r="S166" s="45">
        <v>252000</v>
      </c>
      <c r="T166" s="45"/>
      <c r="U166" s="45">
        <v>0</v>
      </c>
      <c r="V166" s="45"/>
      <c r="W166" s="45">
        <v>0</v>
      </c>
      <c r="X166" s="45"/>
      <c r="Y166" s="45">
        <v>29169</v>
      </c>
      <c r="Z166" s="44"/>
      <c r="AA166" s="45">
        <v>0</v>
      </c>
      <c r="AB166" s="44"/>
      <c r="AC166" s="45">
        <f t="shared" si="5"/>
        <v>7828920</v>
      </c>
      <c r="AD166" s="45"/>
      <c r="AE166" s="48">
        <v>0</v>
      </c>
      <c r="AF166" s="48"/>
      <c r="AG166" s="45">
        <v>3361223</v>
      </c>
      <c r="AH166" s="45"/>
      <c r="AI166" s="45">
        <v>7601749</v>
      </c>
      <c r="AJ166" s="45"/>
      <c r="AK166" s="45">
        <v>0</v>
      </c>
      <c r="AL166" s="45"/>
      <c r="AM166" s="45">
        <f>+'Gen rev'!U167-'Gen exp'!AC166-AG166+'Gen rev'!W167+AI166+AK166-'Gen Bal'!S167-'Gen exp'!AE166</f>
        <v>0</v>
      </c>
      <c r="AN166" s="44"/>
      <c r="AO166" s="44"/>
      <c r="AP166" s="44"/>
      <c r="AQ166" s="44"/>
    </row>
    <row r="167" spans="1:45" s="49" customFormat="1" ht="12.75" customHeight="1">
      <c r="A167" s="28" t="s">
        <v>195</v>
      </c>
      <c r="C167" s="28" t="s">
        <v>17</v>
      </c>
      <c r="E167" s="45">
        <v>3294426</v>
      </c>
      <c r="F167" s="45"/>
      <c r="G167" s="45">
        <v>2830507</v>
      </c>
      <c r="H167" s="45"/>
      <c r="I167" s="45">
        <v>397854</v>
      </c>
      <c r="J167" s="45"/>
      <c r="K167" s="45">
        <v>126752</v>
      </c>
      <c r="L167" s="45"/>
      <c r="M167" s="45">
        <v>174158</v>
      </c>
      <c r="N167" s="45"/>
      <c r="O167" s="45">
        <v>660945</v>
      </c>
      <c r="P167" s="45"/>
      <c r="Q167" s="45">
        <v>0</v>
      </c>
      <c r="R167" s="45"/>
      <c r="S167" s="45">
        <v>0</v>
      </c>
      <c r="T167" s="45"/>
      <c r="U167" s="45">
        <v>0</v>
      </c>
      <c r="V167" s="45"/>
      <c r="W167" s="45">
        <v>0</v>
      </c>
      <c r="X167" s="45"/>
      <c r="Y167" s="45">
        <v>0</v>
      </c>
      <c r="Z167" s="44"/>
      <c r="AA167" s="45">
        <v>0</v>
      </c>
      <c r="AB167" s="44"/>
      <c r="AC167" s="45">
        <f t="shared" si="5"/>
        <v>7484642</v>
      </c>
      <c r="AD167" s="45"/>
      <c r="AE167" s="48">
        <v>0</v>
      </c>
      <c r="AF167" s="48"/>
      <c r="AG167" s="45">
        <v>477248</v>
      </c>
      <c r="AH167" s="45"/>
      <c r="AI167" s="45">
        <v>9831686</v>
      </c>
      <c r="AJ167" s="45"/>
      <c r="AK167" s="45">
        <v>-678</v>
      </c>
      <c r="AL167" s="45"/>
      <c r="AM167" s="45">
        <f>+'Gen rev'!U168-'Gen exp'!AC167-AG167+'Gen rev'!W168+AI167+AK167-'Gen Bal'!S168-'Gen exp'!AE167</f>
        <v>0</v>
      </c>
      <c r="AN167" s="44"/>
      <c r="AO167" s="44"/>
      <c r="AP167" s="44"/>
      <c r="AQ167" s="44"/>
    </row>
    <row r="168" spans="1:45" s="49" customFormat="1" ht="12.75" customHeight="1">
      <c r="A168" s="28" t="s">
        <v>196</v>
      </c>
      <c r="C168" s="28" t="s">
        <v>27</v>
      </c>
      <c r="E168" s="45">
        <v>1077317</v>
      </c>
      <c r="F168" s="45"/>
      <c r="G168" s="45">
        <v>2138268</v>
      </c>
      <c r="H168" s="45"/>
      <c r="I168" s="45">
        <f>5211+328754</f>
        <v>333965</v>
      </c>
      <c r="J168" s="45"/>
      <c r="K168" s="45">
        <v>36969</v>
      </c>
      <c r="L168" s="45"/>
      <c r="M168" s="45">
        <v>401457</v>
      </c>
      <c r="N168" s="45"/>
      <c r="O168" s="45">
        <v>25520</v>
      </c>
      <c r="P168" s="45"/>
      <c r="Q168" s="45">
        <v>0</v>
      </c>
      <c r="R168" s="45"/>
      <c r="S168" s="45">
        <v>24089</v>
      </c>
      <c r="T168" s="45"/>
      <c r="U168" s="45">
        <v>0</v>
      </c>
      <c r="V168" s="45"/>
      <c r="W168" s="45">
        <v>0</v>
      </c>
      <c r="X168" s="45"/>
      <c r="Y168" s="45">
        <v>0</v>
      </c>
      <c r="Z168" s="44"/>
      <c r="AA168" s="45">
        <v>0</v>
      </c>
      <c r="AB168" s="44"/>
      <c r="AC168" s="45">
        <f t="shared" si="5"/>
        <v>4037585</v>
      </c>
      <c r="AD168" s="45"/>
      <c r="AE168" s="48">
        <v>0</v>
      </c>
      <c r="AF168" s="48"/>
      <c r="AG168" s="45">
        <v>0</v>
      </c>
      <c r="AH168" s="45"/>
      <c r="AI168" s="45">
        <v>1633464</v>
      </c>
      <c r="AJ168" s="45"/>
      <c r="AK168" s="45">
        <v>0</v>
      </c>
      <c r="AL168" s="45"/>
      <c r="AM168" s="45">
        <f>+'Gen rev'!U169-'Gen exp'!AC168-AG168+'Gen rev'!W169+AI168+AK168-'Gen Bal'!S169-'Gen exp'!AE168</f>
        <v>0</v>
      </c>
      <c r="AN168" s="55"/>
      <c r="AO168" s="55"/>
      <c r="AP168" s="55"/>
      <c r="AQ168" s="55"/>
      <c r="AR168" s="52"/>
      <c r="AS168" s="50"/>
    </row>
    <row r="169" spans="1:45" s="49" customFormat="1" ht="12.75" customHeight="1">
      <c r="A169" s="28" t="s">
        <v>402</v>
      </c>
      <c r="C169" s="28" t="s">
        <v>153</v>
      </c>
      <c r="E169" s="45">
        <v>1300765</v>
      </c>
      <c r="F169" s="45"/>
      <c r="G169" s="45">
        <v>1887525</v>
      </c>
      <c r="H169" s="45"/>
      <c r="I169" s="45">
        <v>33085</v>
      </c>
      <c r="J169" s="45"/>
      <c r="K169" s="45">
        <v>0</v>
      </c>
      <c r="L169" s="45"/>
      <c r="M169" s="45">
        <v>8706</v>
      </c>
      <c r="N169" s="45"/>
      <c r="O169" s="45">
        <v>72955</v>
      </c>
      <c r="P169" s="45"/>
      <c r="Q169" s="45">
        <v>0</v>
      </c>
      <c r="R169" s="45"/>
      <c r="S169" s="45">
        <v>0</v>
      </c>
      <c r="T169" s="45"/>
      <c r="U169" s="45">
        <v>0</v>
      </c>
      <c r="V169" s="45"/>
      <c r="W169" s="45">
        <v>16126</v>
      </c>
      <c r="X169" s="45"/>
      <c r="Y169" s="45">
        <v>5098</v>
      </c>
      <c r="Z169" s="44"/>
      <c r="AA169" s="45">
        <v>0</v>
      </c>
      <c r="AB169" s="44"/>
      <c r="AC169" s="45">
        <f t="shared" si="5"/>
        <v>3324260</v>
      </c>
      <c r="AD169" s="45"/>
      <c r="AE169" s="48">
        <v>0</v>
      </c>
      <c r="AF169" s="48"/>
      <c r="AG169" s="45">
        <v>180140</v>
      </c>
      <c r="AH169" s="45"/>
      <c r="AI169" s="45">
        <v>2098859</v>
      </c>
      <c r="AJ169" s="45"/>
      <c r="AK169" s="45">
        <v>0</v>
      </c>
      <c r="AL169" s="45"/>
      <c r="AM169" s="45">
        <f>+'Gen rev'!U170-'Gen exp'!AC169-AG169+'Gen rev'!W170+AI169+AK169-'Gen Bal'!S170-'Gen exp'!AE169</f>
        <v>0</v>
      </c>
      <c r="AN169" s="45"/>
      <c r="AO169" s="45"/>
      <c r="AP169" s="45"/>
      <c r="AQ169" s="45"/>
      <c r="AR169" s="52"/>
      <c r="AS169" s="50"/>
    </row>
    <row r="170" spans="1:45" s="49" customFormat="1" ht="12.75" customHeight="1">
      <c r="A170" s="64" t="s">
        <v>197</v>
      </c>
      <c r="B170" s="46"/>
      <c r="C170" s="64" t="s">
        <v>163</v>
      </c>
      <c r="D170" s="46"/>
      <c r="E170" s="45">
        <v>3864141</v>
      </c>
      <c r="F170" s="45"/>
      <c r="G170" s="45">
        <v>8170886</v>
      </c>
      <c r="H170" s="45"/>
      <c r="I170" s="45">
        <v>677139</v>
      </c>
      <c r="J170" s="45"/>
      <c r="K170" s="45">
        <v>425504</v>
      </c>
      <c r="L170" s="45"/>
      <c r="M170" s="45">
        <v>2927715</v>
      </c>
      <c r="N170" s="45"/>
      <c r="O170" s="45">
        <v>7235</v>
      </c>
      <c r="P170" s="45"/>
      <c r="Q170" s="45">
        <v>0</v>
      </c>
      <c r="R170" s="45"/>
      <c r="S170" s="45">
        <v>0</v>
      </c>
      <c r="T170" s="45"/>
      <c r="U170" s="45">
        <v>0</v>
      </c>
      <c r="V170" s="45"/>
      <c r="W170" s="45">
        <v>0</v>
      </c>
      <c r="X170" s="45"/>
      <c r="Y170" s="45">
        <v>0</v>
      </c>
      <c r="Z170" s="44"/>
      <c r="AA170" s="45">
        <v>0</v>
      </c>
      <c r="AB170" s="44"/>
      <c r="AC170" s="45">
        <f t="shared" si="5"/>
        <v>16072620</v>
      </c>
      <c r="AD170" s="45"/>
      <c r="AE170" s="48">
        <v>0</v>
      </c>
      <c r="AF170" s="48"/>
      <c r="AG170" s="45">
        <v>3075271</v>
      </c>
      <c r="AH170" s="45"/>
      <c r="AI170" s="45">
        <v>16726800</v>
      </c>
      <c r="AJ170" s="45"/>
      <c r="AK170" s="45">
        <v>-111787</v>
      </c>
      <c r="AL170" s="45"/>
      <c r="AM170" s="45">
        <f>+'Gen rev'!U171-'Gen exp'!AC170-AG170+'Gen rev'!W171+AI170+AK170-'Gen Bal'!S171-'Gen exp'!AE170</f>
        <v>0</v>
      </c>
      <c r="AN170" s="44"/>
      <c r="AO170" s="44"/>
      <c r="AP170" s="44"/>
      <c r="AQ170" s="44"/>
    </row>
    <row r="171" spans="1:45" s="49" customFormat="1" ht="12.75" customHeight="1">
      <c r="A171" s="28" t="s">
        <v>198</v>
      </c>
      <c r="C171" s="28" t="s">
        <v>199</v>
      </c>
      <c r="E171" s="45">
        <v>971222</v>
      </c>
      <c r="F171" s="45"/>
      <c r="G171" s="45">
        <f>1701178+492705</f>
        <v>2193883</v>
      </c>
      <c r="H171" s="45"/>
      <c r="I171" s="45">
        <v>0</v>
      </c>
      <c r="J171" s="45"/>
      <c r="K171" s="45">
        <v>189040</v>
      </c>
      <c r="L171" s="45"/>
      <c r="M171" s="45">
        <v>638366</v>
      </c>
      <c r="N171" s="45"/>
      <c r="O171" s="45">
        <v>292083</v>
      </c>
      <c r="P171" s="45"/>
      <c r="Q171" s="45">
        <v>0</v>
      </c>
      <c r="R171" s="45"/>
      <c r="S171" s="45">
        <v>0</v>
      </c>
      <c r="T171" s="45"/>
      <c r="U171" s="45">
        <v>0</v>
      </c>
      <c r="V171" s="45"/>
      <c r="W171" s="45">
        <v>0</v>
      </c>
      <c r="X171" s="45"/>
      <c r="Y171" s="45">
        <v>0</v>
      </c>
      <c r="Z171" s="44"/>
      <c r="AA171" s="45">
        <v>0</v>
      </c>
      <c r="AB171" s="44"/>
      <c r="AC171" s="45">
        <f t="shared" si="5"/>
        <v>4284594</v>
      </c>
      <c r="AD171" s="45"/>
      <c r="AE171" s="48">
        <v>0</v>
      </c>
      <c r="AF171" s="48"/>
      <c r="AG171" s="45">
        <v>1213124</v>
      </c>
      <c r="AH171" s="45"/>
      <c r="AI171" s="45">
        <v>3436626</v>
      </c>
      <c r="AJ171" s="45"/>
      <c r="AK171" s="45">
        <v>0</v>
      </c>
      <c r="AL171" s="45"/>
      <c r="AM171" s="45">
        <f>+'Gen rev'!U172-'Gen exp'!AC171-AG171+'Gen rev'!W172+AI171+AK171-'Gen Bal'!S172-'Gen exp'!AE171</f>
        <v>0</v>
      </c>
      <c r="AN171" s="44"/>
      <c r="AO171" s="44"/>
      <c r="AP171" s="44"/>
      <c r="AQ171" s="44"/>
    </row>
    <row r="172" spans="1:45" s="49" customFormat="1" ht="12.75" customHeight="1">
      <c r="A172" s="28" t="s">
        <v>200</v>
      </c>
      <c r="C172" s="28" t="s">
        <v>103</v>
      </c>
      <c r="E172" s="45">
        <v>1634116</v>
      </c>
      <c r="F172" s="45"/>
      <c r="G172" s="45">
        <v>5297587</v>
      </c>
      <c r="H172" s="45"/>
      <c r="I172" s="45">
        <v>771889</v>
      </c>
      <c r="J172" s="45"/>
      <c r="K172" s="45">
        <v>125408</v>
      </c>
      <c r="L172" s="45"/>
      <c r="M172" s="45">
        <v>0</v>
      </c>
      <c r="N172" s="45"/>
      <c r="O172" s="45">
        <v>1282923</v>
      </c>
      <c r="P172" s="45"/>
      <c r="Q172" s="45">
        <v>0</v>
      </c>
      <c r="R172" s="45"/>
      <c r="S172" s="45">
        <v>0</v>
      </c>
      <c r="T172" s="45"/>
      <c r="U172" s="45">
        <v>0</v>
      </c>
      <c r="V172" s="45"/>
      <c r="W172" s="45">
        <v>0</v>
      </c>
      <c r="X172" s="45"/>
      <c r="Y172" s="45">
        <v>0</v>
      </c>
      <c r="Z172" s="44"/>
      <c r="AA172" s="45">
        <v>0</v>
      </c>
      <c r="AB172" s="44"/>
      <c r="AC172" s="45">
        <f t="shared" si="5"/>
        <v>9111923</v>
      </c>
      <c r="AD172" s="45"/>
      <c r="AE172" s="48">
        <v>0</v>
      </c>
      <c r="AF172" s="48"/>
      <c r="AG172" s="45">
        <v>1469932</v>
      </c>
      <c r="AH172" s="45"/>
      <c r="AI172" s="45">
        <v>6755025</v>
      </c>
      <c r="AJ172" s="45"/>
      <c r="AK172" s="45">
        <v>0</v>
      </c>
      <c r="AL172" s="45"/>
      <c r="AM172" s="45">
        <f>+'Gen rev'!U173-'Gen exp'!AC172-AG172+'Gen rev'!W173+AI172+AK172-'Gen Bal'!S173-'Gen exp'!AE172</f>
        <v>0</v>
      </c>
      <c r="AN172" s="45"/>
      <c r="AO172" s="45"/>
      <c r="AP172" s="45"/>
      <c r="AQ172" s="45"/>
      <c r="AR172" s="52"/>
      <c r="AS172" s="50"/>
    </row>
    <row r="173" spans="1:45" s="49" customFormat="1" ht="12.75" customHeight="1">
      <c r="A173" s="28" t="s">
        <v>201</v>
      </c>
      <c r="C173" s="28" t="s">
        <v>92</v>
      </c>
      <c r="E173" s="45">
        <v>3783708</v>
      </c>
      <c r="F173" s="45"/>
      <c r="G173" s="45">
        <v>6478996</v>
      </c>
      <c r="H173" s="45"/>
      <c r="I173" s="45">
        <v>370265</v>
      </c>
      <c r="J173" s="45"/>
      <c r="K173" s="45">
        <v>134134</v>
      </c>
      <c r="L173" s="45"/>
      <c r="M173" s="45">
        <v>772843</v>
      </c>
      <c r="N173" s="45"/>
      <c r="O173" s="45">
        <v>712688</v>
      </c>
      <c r="P173" s="45"/>
      <c r="Q173" s="45">
        <v>0</v>
      </c>
      <c r="R173" s="45"/>
      <c r="S173" s="45">
        <v>0</v>
      </c>
      <c r="T173" s="45"/>
      <c r="U173" s="45">
        <v>0</v>
      </c>
      <c r="V173" s="45"/>
      <c r="W173" s="45">
        <v>55937</v>
      </c>
      <c r="X173" s="45"/>
      <c r="Y173" s="45">
        <v>23982</v>
      </c>
      <c r="Z173" s="44"/>
      <c r="AA173" s="45">
        <v>0</v>
      </c>
      <c r="AB173" s="44"/>
      <c r="AC173" s="45">
        <f t="shared" si="5"/>
        <v>12332553</v>
      </c>
      <c r="AD173" s="45"/>
      <c r="AE173" s="48">
        <v>0</v>
      </c>
      <c r="AF173" s="48"/>
      <c r="AG173" s="45">
        <v>705000</v>
      </c>
      <c r="AH173" s="45"/>
      <c r="AI173" s="45">
        <v>7060718</v>
      </c>
      <c r="AJ173" s="45"/>
      <c r="AK173" s="45">
        <v>-12457</v>
      </c>
      <c r="AL173" s="45"/>
      <c r="AM173" s="45">
        <f>+'Gen rev'!U174-'Gen exp'!AC173-AG173+'Gen rev'!W174+AI173+AK173-'Gen Bal'!S174-'Gen exp'!AE173</f>
        <v>0</v>
      </c>
      <c r="AN173" s="44"/>
      <c r="AO173" s="44"/>
      <c r="AP173" s="44"/>
      <c r="AQ173" s="44"/>
    </row>
    <row r="174" spans="1:45" s="49" customFormat="1" ht="12.75" customHeight="1">
      <c r="A174" s="28" t="s">
        <v>202</v>
      </c>
      <c r="C174" s="28" t="s">
        <v>27</v>
      </c>
      <c r="E174" s="45">
        <v>15415755</v>
      </c>
      <c r="F174" s="45"/>
      <c r="G174" s="45">
        <v>20611175</v>
      </c>
      <c r="H174" s="45"/>
      <c r="I174" s="45">
        <v>828383</v>
      </c>
      <c r="J174" s="45"/>
      <c r="K174" s="45">
        <v>316924</v>
      </c>
      <c r="L174" s="45"/>
      <c r="M174" s="45">
        <v>0</v>
      </c>
      <c r="N174" s="45"/>
      <c r="O174" s="45">
        <v>2407615</v>
      </c>
      <c r="P174" s="45"/>
      <c r="Q174" s="45">
        <v>0</v>
      </c>
      <c r="R174" s="45"/>
      <c r="S174" s="45">
        <v>36040</v>
      </c>
      <c r="T174" s="45"/>
      <c r="U174" s="45">
        <v>0</v>
      </c>
      <c r="V174" s="45"/>
      <c r="W174" s="45">
        <v>0</v>
      </c>
      <c r="X174" s="45"/>
      <c r="Y174" s="45">
        <v>0</v>
      </c>
      <c r="Z174" s="44"/>
      <c r="AA174" s="45">
        <v>0</v>
      </c>
      <c r="AB174" s="44"/>
      <c r="AC174" s="45">
        <f t="shared" si="5"/>
        <v>39615892</v>
      </c>
      <c r="AD174" s="45"/>
      <c r="AE174" s="48">
        <v>0</v>
      </c>
      <c r="AF174" s="48"/>
      <c r="AG174" s="45">
        <v>3217861</v>
      </c>
      <c r="AH174" s="45"/>
      <c r="AI174" s="45">
        <v>3782480</v>
      </c>
      <c r="AJ174" s="45"/>
      <c r="AK174" s="45">
        <v>0</v>
      </c>
      <c r="AL174" s="45"/>
      <c r="AM174" s="45">
        <f>+'Gen rev'!U175-'Gen exp'!AC174-AG174+'Gen rev'!W175+AI174+AK174-'Gen Bal'!S175-'Gen exp'!AE174</f>
        <v>0</v>
      </c>
      <c r="AN174" s="44"/>
      <c r="AO174" s="44"/>
      <c r="AP174" s="44"/>
      <c r="AQ174" s="44"/>
    </row>
    <row r="175" spans="1:45" s="49" customFormat="1" ht="12.75" customHeight="1">
      <c r="A175" s="64" t="s">
        <v>203</v>
      </c>
      <c r="B175" s="46"/>
      <c r="C175" s="64" t="s">
        <v>27</v>
      </c>
      <c r="D175" s="46"/>
      <c r="E175" s="45">
        <v>1797099</v>
      </c>
      <c r="F175" s="45"/>
      <c r="G175" s="45">
        <v>8399669</v>
      </c>
      <c r="H175" s="45"/>
      <c r="I175" s="45">
        <v>2249362</v>
      </c>
      <c r="J175" s="45"/>
      <c r="K175" s="45">
        <v>374606</v>
      </c>
      <c r="L175" s="45"/>
      <c r="M175" s="45">
        <v>0</v>
      </c>
      <c r="N175" s="45"/>
      <c r="O175" s="45">
        <v>155902</v>
      </c>
      <c r="P175" s="45"/>
      <c r="Q175" s="45">
        <v>0</v>
      </c>
      <c r="R175" s="45"/>
      <c r="S175" s="45">
        <v>0</v>
      </c>
      <c r="T175" s="45"/>
      <c r="U175" s="45">
        <v>0</v>
      </c>
      <c r="V175" s="45"/>
      <c r="W175" s="45">
        <v>190164</v>
      </c>
      <c r="X175" s="45"/>
      <c r="Y175" s="45">
        <v>65169</v>
      </c>
      <c r="Z175" s="44"/>
      <c r="AA175" s="45">
        <v>147577</v>
      </c>
      <c r="AB175" s="44"/>
      <c r="AC175" s="45">
        <f t="shared" si="5"/>
        <v>13379548</v>
      </c>
      <c r="AD175" s="45"/>
      <c r="AE175" s="48">
        <v>0</v>
      </c>
      <c r="AF175" s="48"/>
      <c r="AG175" s="45">
        <v>121700</v>
      </c>
      <c r="AH175" s="45"/>
      <c r="AI175" s="45">
        <v>599735</v>
      </c>
      <c r="AJ175" s="45"/>
      <c r="AK175" s="45">
        <v>0</v>
      </c>
      <c r="AL175" s="45"/>
      <c r="AM175" s="45">
        <f>+'Gen rev'!U176-'Gen exp'!AC175-AG175+'Gen rev'!W176+AI175+AK175-'Gen Bal'!S176-'Gen exp'!AE175</f>
        <v>0</v>
      </c>
      <c r="AN175" s="45"/>
      <c r="AO175" s="45"/>
      <c r="AP175" s="45"/>
      <c r="AQ175" s="45"/>
      <c r="AR175" s="52"/>
      <c r="AS175" s="50"/>
    </row>
    <row r="176" spans="1:45" s="49" customFormat="1" ht="12.75" customHeight="1">
      <c r="A176" s="28" t="s">
        <v>204</v>
      </c>
      <c r="C176" s="28" t="s">
        <v>125</v>
      </c>
      <c r="E176" s="45">
        <v>855648</v>
      </c>
      <c r="F176" s="45"/>
      <c r="G176" s="45">
        <v>145763</v>
      </c>
      <c r="H176" s="45"/>
      <c r="I176" s="45">
        <v>239037</v>
      </c>
      <c r="J176" s="45"/>
      <c r="K176" s="45">
        <v>59300</v>
      </c>
      <c r="L176" s="45"/>
      <c r="M176" s="45">
        <v>0</v>
      </c>
      <c r="N176" s="45"/>
      <c r="O176" s="45">
        <v>1646</v>
      </c>
      <c r="P176" s="45"/>
      <c r="Q176" s="45">
        <v>0</v>
      </c>
      <c r="R176" s="45"/>
      <c r="S176" s="45">
        <v>0</v>
      </c>
      <c r="T176" s="45"/>
      <c r="U176" s="45">
        <v>0</v>
      </c>
      <c r="V176" s="45"/>
      <c r="W176" s="45">
        <v>0</v>
      </c>
      <c r="X176" s="45"/>
      <c r="Y176" s="45">
        <v>0</v>
      </c>
      <c r="Z176" s="44"/>
      <c r="AA176" s="45">
        <v>0</v>
      </c>
      <c r="AB176" s="44"/>
      <c r="AC176" s="45">
        <f t="shared" si="5"/>
        <v>1301394</v>
      </c>
      <c r="AD176" s="45"/>
      <c r="AE176" s="48">
        <v>0</v>
      </c>
      <c r="AF176" s="48"/>
      <c r="AG176" s="45">
        <v>150000</v>
      </c>
      <c r="AH176" s="45"/>
      <c r="AI176" s="45">
        <v>1201600</v>
      </c>
      <c r="AJ176" s="45"/>
      <c r="AK176" s="45">
        <v>0</v>
      </c>
      <c r="AL176" s="45"/>
      <c r="AM176" s="45">
        <f>+'Gen rev'!U177-'Gen exp'!AC176-AG176+'Gen rev'!W177+AI176+AK176-'Gen Bal'!S177-'Gen exp'!AE176</f>
        <v>0</v>
      </c>
      <c r="AN176" s="44"/>
      <c r="AO176" s="44"/>
      <c r="AP176" s="44"/>
      <c r="AQ176" s="44"/>
    </row>
    <row r="177" spans="1:45" s="129" customFormat="1" ht="12.75" hidden="1" customHeight="1">
      <c r="A177" s="152" t="s">
        <v>205</v>
      </c>
      <c r="B177" s="123"/>
      <c r="C177" s="152" t="s">
        <v>27</v>
      </c>
      <c r="D177" s="123"/>
      <c r="E177" s="127">
        <v>0</v>
      </c>
      <c r="F177" s="127"/>
      <c r="G177" s="127">
        <v>0</v>
      </c>
      <c r="H177" s="127"/>
      <c r="I177" s="127">
        <v>0</v>
      </c>
      <c r="J177" s="127"/>
      <c r="K177" s="127">
        <v>0</v>
      </c>
      <c r="L177" s="127"/>
      <c r="M177" s="127">
        <v>0</v>
      </c>
      <c r="N177" s="127"/>
      <c r="O177" s="127">
        <v>0</v>
      </c>
      <c r="P177" s="127"/>
      <c r="Q177" s="127">
        <v>0</v>
      </c>
      <c r="R177" s="127"/>
      <c r="S177" s="127">
        <v>0</v>
      </c>
      <c r="T177" s="127"/>
      <c r="U177" s="127">
        <v>0</v>
      </c>
      <c r="V177" s="127"/>
      <c r="W177" s="127">
        <v>0</v>
      </c>
      <c r="X177" s="127"/>
      <c r="Y177" s="127">
        <v>0</v>
      </c>
      <c r="Z177" s="121"/>
      <c r="AA177" s="127">
        <v>0</v>
      </c>
      <c r="AB177" s="121"/>
      <c r="AC177" s="127">
        <f t="shared" si="5"/>
        <v>0</v>
      </c>
      <c r="AD177" s="127"/>
      <c r="AE177" s="130">
        <v>0</v>
      </c>
      <c r="AF177" s="130"/>
      <c r="AG177" s="127">
        <v>0</v>
      </c>
      <c r="AH177" s="127"/>
      <c r="AI177" s="127">
        <v>0</v>
      </c>
      <c r="AJ177" s="127"/>
      <c r="AK177" s="127">
        <v>0</v>
      </c>
      <c r="AL177" s="127"/>
      <c r="AM177" s="127">
        <f>+'Gen rev'!U178-'Gen exp'!AC177-AG177+'Gen rev'!W178+AI177+AK177-'Gen Bal'!S178-'Gen exp'!AE177</f>
        <v>0</v>
      </c>
      <c r="AN177" s="121"/>
      <c r="AO177" s="121"/>
      <c r="AP177" s="121"/>
      <c r="AQ177" s="121"/>
    </row>
    <row r="178" spans="1:45" s="46" customFormat="1" ht="12.75" customHeight="1">
      <c r="A178" s="28" t="s">
        <v>206</v>
      </c>
      <c r="B178" s="49"/>
      <c r="C178" s="28" t="s">
        <v>47</v>
      </c>
      <c r="D178" s="49"/>
      <c r="E178" s="45">
        <v>3912553</v>
      </c>
      <c r="F178" s="45"/>
      <c r="G178" s="45">
        <v>6880944</v>
      </c>
      <c r="H178" s="45"/>
      <c r="I178" s="45">
        <v>444549</v>
      </c>
      <c r="J178" s="45"/>
      <c r="K178" s="45">
        <v>36301</v>
      </c>
      <c r="L178" s="45"/>
      <c r="M178" s="45">
        <v>1290705</v>
      </c>
      <c r="N178" s="45"/>
      <c r="O178" s="45">
        <v>1258079</v>
      </c>
      <c r="P178" s="45"/>
      <c r="Q178" s="45">
        <v>0</v>
      </c>
      <c r="R178" s="45"/>
      <c r="S178" s="45">
        <v>0</v>
      </c>
      <c r="T178" s="45"/>
      <c r="U178" s="45">
        <v>0</v>
      </c>
      <c r="V178" s="45"/>
      <c r="W178" s="45">
        <v>0</v>
      </c>
      <c r="X178" s="45"/>
      <c r="Y178" s="45">
        <v>0</v>
      </c>
      <c r="Z178" s="44"/>
      <c r="AA178" s="45">
        <v>0</v>
      </c>
      <c r="AB178" s="44"/>
      <c r="AC178" s="45">
        <f t="shared" si="5"/>
        <v>13823131</v>
      </c>
      <c r="AD178" s="45"/>
      <c r="AE178" s="48">
        <v>0</v>
      </c>
      <c r="AF178" s="48"/>
      <c r="AG178" s="45">
        <v>3970867</v>
      </c>
      <c r="AH178" s="45"/>
      <c r="AI178" s="45">
        <v>5239562</v>
      </c>
      <c r="AJ178" s="45"/>
      <c r="AK178" s="45">
        <v>0</v>
      </c>
      <c r="AL178" s="45"/>
      <c r="AM178" s="45">
        <f>+'Gen rev'!U179-'Gen exp'!AC178-AG178+'Gen rev'!W179+AI178+AK178-'Gen Bal'!S179-'Gen exp'!AE178</f>
        <v>0</v>
      </c>
    </row>
    <row r="179" spans="1:45" s="46" customFormat="1" ht="12.75" customHeight="1">
      <c r="A179" s="28" t="s">
        <v>207</v>
      </c>
      <c r="B179" s="49"/>
      <c r="C179" s="28" t="s">
        <v>102</v>
      </c>
      <c r="D179" s="49"/>
      <c r="E179" s="45">
        <v>2595770</v>
      </c>
      <c r="F179" s="45"/>
      <c r="G179" s="45">
        <v>101454</v>
      </c>
      <c r="H179" s="45"/>
      <c r="I179" s="45">
        <v>653044</v>
      </c>
      <c r="J179" s="45"/>
      <c r="K179" s="45">
        <v>93643</v>
      </c>
      <c r="L179" s="45"/>
      <c r="M179" s="45">
        <v>41768</v>
      </c>
      <c r="N179" s="45"/>
      <c r="O179" s="45">
        <v>28493</v>
      </c>
      <c r="P179" s="45"/>
      <c r="Q179" s="45">
        <v>0</v>
      </c>
      <c r="R179" s="45"/>
      <c r="S179" s="45">
        <v>0</v>
      </c>
      <c r="T179" s="45"/>
      <c r="U179" s="45">
        <v>0</v>
      </c>
      <c r="V179" s="45"/>
      <c r="W179" s="45">
        <v>15841</v>
      </c>
      <c r="X179" s="45"/>
      <c r="Y179" s="45">
        <v>1286</v>
      </c>
      <c r="Z179" s="44"/>
      <c r="AA179" s="45">
        <v>0</v>
      </c>
      <c r="AB179" s="44"/>
      <c r="AC179" s="45">
        <f t="shared" si="5"/>
        <v>3531299</v>
      </c>
      <c r="AD179" s="45"/>
      <c r="AE179" s="48">
        <v>0</v>
      </c>
      <c r="AF179" s="48"/>
      <c r="AG179" s="45">
        <v>3542274</v>
      </c>
      <c r="AH179" s="45"/>
      <c r="AI179" s="45">
        <v>3126869</v>
      </c>
      <c r="AJ179" s="45"/>
      <c r="AK179" s="45">
        <v>0</v>
      </c>
      <c r="AL179" s="45"/>
      <c r="AM179" s="45">
        <f>+'Gen rev'!U180-'Gen exp'!AC179-AG179+'Gen rev'!W180+AI179+AK179-'Gen Bal'!S180-'Gen exp'!AE179</f>
        <v>0</v>
      </c>
    </row>
    <row r="180" spans="1:45" s="49" customFormat="1" ht="12.75" customHeight="1">
      <c r="A180" s="28" t="s">
        <v>208</v>
      </c>
      <c r="C180" s="28" t="s">
        <v>209</v>
      </c>
      <c r="E180" s="45">
        <v>1278817</v>
      </c>
      <c r="F180" s="45"/>
      <c r="G180" s="45">
        <v>7458660</v>
      </c>
      <c r="H180" s="45"/>
      <c r="I180" s="45">
        <v>43779</v>
      </c>
      <c r="J180" s="45"/>
      <c r="K180" s="45">
        <v>345674</v>
      </c>
      <c r="L180" s="45"/>
      <c r="M180" s="45">
        <v>9339</v>
      </c>
      <c r="N180" s="45"/>
      <c r="O180" s="45">
        <v>461977</v>
      </c>
      <c r="P180" s="45"/>
      <c r="Q180" s="45">
        <v>0</v>
      </c>
      <c r="R180" s="45"/>
      <c r="S180" s="45">
        <v>183164</v>
      </c>
      <c r="T180" s="45"/>
      <c r="U180" s="45">
        <v>0</v>
      </c>
      <c r="V180" s="45"/>
      <c r="W180" s="45">
        <v>0</v>
      </c>
      <c r="X180" s="45"/>
      <c r="Y180" s="45">
        <v>0</v>
      </c>
      <c r="Z180" s="44"/>
      <c r="AA180" s="45">
        <v>0</v>
      </c>
      <c r="AB180" s="44"/>
      <c r="AC180" s="45">
        <f t="shared" si="5"/>
        <v>9781410</v>
      </c>
      <c r="AD180" s="45"/>
      <c r="AE180" s="48">
        <v>0</v>
      </c>
      <c r="AF180" s="48"/>
      <c r="AG180" s="45">
        <v>1245035</v>
      </c>
      <c r="AH180" s="45"/>
      <c r="AI180" s="45">
        <v>19967351</v>
      </c>
      <c r="AJ180" s="45"/>
      <c r="AK180" s="45">
        <v>0</v>
      </c>
      <c r="AL180" s="45"/>
      <c r="AM180" s="45">
        <f>+'Gen rev'!U181-'Gen exp'!AC180-AG180+'Gen rev'!W181+AI180+AK180-'Gen Bal'!S181-'Gen exp'!AE180</f>
        <v>0</v>
      </c>
      <c r="AN180" s="45"/>
      <c r="AO180" s="45"/>
      <c r="AP180" s="45"/>
      <c r="AQ180" s="45"/>
      <c r="AR180" s="52"/>
      <c r="AS180" s="50"/>
    </row>
    <row r="181" spans="1:45" s="49" customFormat="1" ht="12.75" customHeight="1">
      <c r="A181" s="47" t="s">
        <v>210</v>
      </c>
      <c r="C181" s="47" t="s">
        <v>211</v>
      </c>
      <c r="E181" s="45">
        <v>1385309</v>
      </c>
      <c r="F181" s="45"/>
      <c r="G181" s="45">
        <v>1851591</v>
      </c>
      <c r="H181" s="45"/>
      <c r="I181" s="45">
        <v>12742</v>
      </c>
      <c r="J181" s="45"/>
      <c r="K181" s="45">
        <v>193057</v>
      </c>
      <c r="L181" s="45"/>
      <c r="M181" s="45">
        <v>0</v>
      </c>
      <c r="N181" s="45"/>
      <c r="O181" s="45">
        <v>51573</v>
      </c>
      <c r="P181" s="45"/>
      <c r="Q181" s="45">
        <v>0</v>
      </c>
      <c r="R181" s="45"/>
      <c r="S181" s="45">
        <v>0</v>
      </c>
      <c r="T181" s="45"/>
      <c r="U181" s="45">
        <v>0</v>
      </c>
      <c r="V181" s="45"/>
      <c r="W181" s="45">
        <v>4423</v>
      </c>
      <c r="X181" s="45"/>
      <c r="Y181" s="45">
        <v>1374</v>
      </c>
      <c r="Z181" s="44"/>
      <c r="AA181" s="45">
        <v>0</v>
      </c>
      <c r="AB181" s="44"/>
      <c r="AC181" s="45">
        <f t="shared" si="5"/>
        <v>3500069</v>
      </c>
      <c r="AD181" s="45"/>
      <c r="AE181" s="48">
        <v>0</v>
      </c>
      <c r="AF181" s="48"/>
      <c r="AG181" s="45">
        <v>528390</v>
      </c>
      <c r="AH181" s="45"/>
      <c r="AI181" s="45">
        <v>956667</v>
      </c>
      <c r="AJ181" s="45"/>
      <c r="AK181" s="45">
        <v>0</v>
      </c>
      <c r="AL181" s="45"/>
      <c r="AM181" s="45">
        <f>+'Gen rev'!U182-'Gen exp'!AC181-AG181+'Gen rev'!W182+AI181+AK181-'Gen Bal'!S182-'Gen exp'!AE181</f>
        <v>0</v>
      </c>
      <c r="AN181" s="44"/>
      <c r="AO181" s="44"/>
      <c r="AP181" s="44"/>
      <c r="AQ181" s="44"/>
      <c r="AR181" s="52"/>
      <c r="AS181" s="50"/>
    </row>
    <row r="182" spans="1:45" s="46" customFormat="1" ht="12.75" customHeight="1">
      <c r="A182" s="47" t="s">
        <v>212</v>
      </c>
      <c r="B182" s="49"/>
      <c r="C182" s="47" t="s">
        <v>213</v>
      </c>
      <c r="D182" s="49"/>
      <c r="E182" s="45">
        <v>2800720</v>
      </c>
      <c r="F182" s="45"/>
      <c r="G182" s="45">
        <v>6316642</v>
      </c>
      <c r="H182" s="45"/>
      <c r="I182" s="45">
        <v>216443</v>
      </c>
      <c r="J182" s="45"/>
      <c r="K182" s="45">
        <v>705031</v>
      </c>
      <c r="L182" s="45"/>
      <c r="M182" s="45">
        <v>336565</v>
      </c>
      <c r="N182" s="45"/>
      <c r="O182" s="45">
        <v>0</v>
      </c>
      <c r="P182" s="45"/>
      <c r="Q182" s="45">
        <v>0</v>
      </c>
      <c r="R182" s="45"/>
      <c r="S182" s="45">
        <v>0</v>
      </c>
      <c r="T182" s="45"/>
      <c r="U182" s="45">
        <v>0</v>
      </c>
      <c r="V182" s="45"/>
      <c r="W182" s="45">
        <v>0</v>
      </c>
      <c r="X182" s="45"/>
      <c r="Y182" s="45">
        <v>0</v>
      </c>
      <c r="Z182" s="44"/>
      <c r="AA182" s="45">
        <v>0</v>
      </c>
      <c r="AB182" s="44"/>
      <c r="AC182" s="45">
        <f t="shared" si="5"/>
        <v>10375401</v>
      </c>
      <c r="AD182" s="45"/>
      <c r="AE182" s="48">
        <v>0</v>
      </c>
      <c r="AF182" s="48"/>
      <c r="AG182" s="45">
        <v>18000</v>
      </c>
      <c r="AH182" s="45"/>
      <c r="AI182" s="45">
        <v>337</v>
      </c>
      <c r="AJ182" s="45"/>
      <c r="AK182" s="45">
        <v>-13226</v>
      </c>
      <c r="AL182" s="45"/>
      <c r="AM182" s="45">
        <f>+'Gen rev'!U183-'Gen exp'!AC182-AG182+'Gen rev'!W183+AI182+AK182-'Gen Bal'!S183-'Gen exp'!AE182</f>
        <v>0</v>
      </c>
      <c r="AN182" s="94"/>
      <c r="AO182" s="94"/>
      <c r="AP182" s="94"/>
      <c r="AQ182" s="94"/>
      <c r="AR182" s="90"/>
      <c r="AS182" s="64"/>
    </row>
    <row r="183" spans="1:45" s="44" customFormat="1" ht="12.75" customHeight="1">
      <c r="A183" s="44" t="s">
        <v>214</v>
      </c>
      <c r="C183" s="44" t="s">
        <v>86</v>
      </c>
      <c r="E183" s="45">
        <v>1504237</v>
      </c>
      <c r="F183" s="45"/>
      <c r="G183" s="45">
        <v>2205191</v>
      </c>
      <c r="H183" s="45"/>
      <c r="I183" s="45">
        <v>975662</v>
      </c>
      <c r="J183" s="45"/>
      <c r="K183" s="45">
        <v>0</v>
      </c>
      <c r="L183" s="45"/>
      <c r="M183" s="45">
        <v>0</v>
      </c>
      <c r="N183" s="45"/>
      <c r="O183" s="45">
        <v>434621</v>
      </c>
      <c r="P183" s="45"/>
      <c r="Q183" s="45">
        <v>541960</v>
      </c>
      <c r="R183" s="45"/>
      <c r="S183" s="45">
        <v>0</v>
      </c>
      <c r="T183" s="45"/>
      <c r="U183" s="45">
        <v>0</v>
      </c>
      <c r="V183" s="45"/>
      <c r="W183" s="45">
        <v>0</v>
      </c>
      <c r="X183" s="45"/>
      <c r="Y183" s="45">
        <v>0</v>
      </c>
      <c r="AA183" s="45">
        <v>0</v>
      </c>
      <c r="AC183" s="45">
        <f t="shared" si="5"/>
        <v>5661671</v>
      </c>
      <c r="AD183" s="45"/>
      <c r="AE183" s="48">
        <v>0</v>
      </c>
      <c r="AF183" s="48"/>
      <c r="AG183" s="45">
        <v>347350</v>
      </c>
      <c r="AH183" s="45"/>
      <c r="AI183" s="45">
        <v>6689380</v>
      </c>
      <c r="AJ183" s="45"/>
      <c r="AK183" s="45">
        <v>0</v>
      </c>
      <c r="AL183" s="45"/>
      <c r="AM183" s="45">
        <f>+'Gen rev'!U184-'Gen exp'!AC183-AG183+'Gen rev'!W184+AI183+AK183-'Gen Bal'!S184-'Gen exp'!AE183</f>
        <v>0</v>
      </c>
      <c r="AN183" s="45"/>
      <c r="AO183" s="45"/>
      <c r="AP183" s="45"/>
      <c r="AQ183" s="45"/>
      <c r="AR183" s="55"/>
      <c r="AS183" s="35"/>
    </row>
    <row r="184" spans="1:45" s="46" customFormat="1" ht="12.75" customHeight="1">
      <c r="A184" s="28" t="s">
        <v>215</v>
      </c>
      <c r="B184" s="49"/>
      <c r="C184" s="28" t="s">
        <v>22</v>
      </c>
      <c r="D184" s="49"/>
      <c r="E184" s="45">
        <v>1524109</v>
      </c>
      <c r="F184" s="45"/>
      <c r="G184" s="45">
        <f>3111280+1349387</f>
        <v>4460667</v>
      </c>
      <c r="H184" s="45"/>
      <c r="I184" s="45">
        <v>28131</v>
      </c>
      <c r="J184" s="45"/>
      <c r="K184" s="45">
        <v>283396</v>
      </c>
      <c r="L184" s="45"/>
      <c r="M184" s="45">
        <v>0</v>
      </c>
      <c r="N184" s="45"/>
      <c r="O184" s="45">
        <v>0</v>
      </c>
      <c r="P184" s="45"/>
      <c r="Q184" s="45">
        <v>0</v>
      </c>
      <c r="R184" s="45"/>
      <c r="S184" s="45">
        <v>0</v>
      </c>
      <c r="T184" s="45"/>
      <c r="U184" s="45">
        <v>0</v>
      </c>
      <c r="V184" s="45"/>
      <c r="W184" s="45">
        <v>151332</v>
      </c>
      <c r="X184" s="45"/>
      <c r="Y184" s="45">
        <v>8095</v>
      </c>
      <c r="Z184" s="44"/>
      <c r="AA184" s="45">
        <v>0</v>
      </c>
      <c r="AB184" s="44"/>
      <c r="AC184" s="45">
        <f t="shared" si="5"/>
        <v>6455730</v>
      </c>
      <c r="AD184" s="45"/>
      <c r="AE184" s="48">
        <v>0</v>
      </c>
      <c r="AF184" s="48"/>
      <c r="AG184" s="45">
        <v>616687</v>
      </c>
      <c r="AH184" s="45"/>
      <c r="AI184" s="45">
        <v>3141654</v>
      </c>
      <c r="AJ184" s="45"/>
      <c r="AK184" s="45">
        <v>0</v>
      </c>
      <c r="AL184" s="45"/>
      <c r="AM184" s="45">
        <f>+'Gen rev'!U185-'Gen exp'!AC184-AG184+'Gen rev'!W185+AI184+AK184-'Gen Bal'!S185-'Gen exp'!AE184</f>
        <v>0</v>
      </c>
      <c r="AN184" s="94"/>
      <c r="AO184" s="94"/>
      <c r="AP184" s="94"/>
      <c r="AQ184" s="94"/>
      <c r="AR184" s="90"/>
      <c r="AS184" s="64"/>
    </row>
    <row r="185" spans="1:45" s="49" customFormat="1" ht="12.75" customHeight="1">
      <c r="A185" s="64" t="s">
        <v>216</v>
      </c>
      <c r="B185" s="46"/>
      <c r="C185" s="64" t="s">
        <v>45</v>
      </c>
      <c r="D185" s="46"/>
      <c r="E185" s="45">
        <v>1953010</v>
      </c>
      <c r="F185" s="45"/>
      <c r="G185" s="45">
        <v>5423933</v>
      </c>
      <c r="H185" s="45"/>
      <c r="I185" s="45">
        <v>170643</v>
      </c>
      <c r="J185" s="45"/>
      <c r="K185" s="45">
        <v>10552</v>
      </c>
      <c r="L185" s="45"/>
      <c r="M185" s="45">
        <v>500</v>
      </c>
      <c r="N185" s="45"/>
      <c r="O185" s="45">
        <v>469888</v>
      </c>
      <c r="P185" s="45"/>
      <c r="Q185" s="45">
        <v>873428</v>
      </c>
      <c r="R185" s="45"/>
      <c r="S185" s="45">
        <v>0</v>
      </c>
      <c r="T185" s="45"/>
      <c r="U185" s="45">
        <v>0</v>
      </c>
      <c r="V185" s="45"/>
      <c r="W185" s="45">
        <v>0</v>
      </c>
      <c r="X185" s="45"/>
      <c r="Y185" s="45">
        <v>3007</v>
      </c>
      <c r="Z185" s="44"/>
      <c r="AA185" s="45">
        <v>0</v>
      </c>
      <c r="AB185" s="44"/>
      <c r="AC185" s="45">
        <f t="shared" si="5"/>
        <v>8904961</v>
      </c>
      <c r="AD185" s="45"/>
      <c r="AE185" s="48">
        <v>0</v>
      </c>
      <c r="AF185" s="48"/>
      <c r="AG185" s="45">
        <v>291992</v>
      </c>
      <c r="AH185" s="45"/>
      <c r="AI185" s="45">
        <v>1101412</v>
      </c>
      <c r="AJ185" s="45"/>
      <c r="AK185" s="45">
        <v>0</v>
      </c>
      <c r="AL185" s="45"/>
      <c r="AM185" s="45">
        <f>+'Gen rev'!U186-'Gen exp'!AC185-AG185+'Gen rev'!W186+AI185+AK185-'Gen Bal'!S186-'Gen exp'!AE185</f>
        <v>0</v>
      </c>
      <c r="AN185" s="45"/>
      <c r="AO185" s="45"/>
      <c r="AP185" s="45"/>
      <c r="AQ185" s="45"/>
      <c r="AR185" s="52"/>
      <c r="AS185" s="50"/>
    </row>
    <row r="186" spans="1:45" s="49" customFormat="1" ht="12.75" customHeight="1">
      <c r="A186" s="28"/>
      <c r="C186" s="28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4"/>
      <c r="AA186" s="45"/>
      <c r="AB186" s="44"/>
      <c r="AC186" s="45"/>
      <c r="AD186" s="45"/>
      <c r="AE186" s="48"/>
      <c r="AF186" s="48"/>
      <c r="AG186" s="48" t="s">
        <v>484</v>
      </c>
      <c r="AH186" s="45"/>
      <c r="AI186" s="45"/>
      <c r="AJ186" s="45"/>
      <c r="AK186" s="45"/>
      <c r="AL186" s="45"/>
      <c r="AM186" s="45"/>
      <c r="AN186" s="44"/>
      <c r="AO186" s="44"/>
      <c r="AP186" s="44"/>
      <c r="AQ186" s="44"/>
    </row>
    <row r="187" spans="1:45" s="46" customFormat="1" ht="12.75" customHeight="1">
      <c r="A187" s="64" t="s">
        <v>217</v>
      </c>
      <c r="C187" s="64" t="s">
        <v>43</v>
      </c>
      <c r="E187" s="94">
        <v>2973487</v>
      </c>
      <c r="F187" s="94"/>
      <c r="G187" s="94">
        <v>7271758</v>
      </c>
      <c r="H187" s="94"/>
      <c r="I187" s="94">
        <v>1264239</v>
      </c>
      <c r="J187" s="94"/>
      <c r="K187" s="94">
        <v>202756</v>
      </c>
      <c r="L187" s="94"/>
      <c r="M187" s="94">
        <v>0</v>
      </c>
      <c r="N187" s="94"/>
      <c r="O187" s="94">
        <v>994898</v>
      </c>
      <c r="P187" s="94"/>
      <c r="Q187" s="94">
        <v>0</v>
      </c>
      <c r="R187" s="94"/>
      <c r="S187" s="94">
        <v>0</v>
      </c>
      <c r="T187" s="94"/>
      <c r="U187" s="94">
        <v>0</v>
      </c>
      <c r="V187" s="94"/>
      <c r="W187" s="94">
        <v>0</v>
      </c>
      <c r="X187" s="94"/>
      <c r="Y187" s="94">
        <v>0</v>
      </c>
      <c r="AA187" s="94">
        <v>0</v>
      </c>
      <c r="AC187" s="94">
        <f t="shared" si="5"/>
        <v>12707138</v>
      </c>
      <c r="AD187" s="94"/>
      <c r="AE187" s="68">
        <v>0</v>
      </c>
      <c r="AF187" s="68"/>
      <c r="AG187" s="94">
        <v>1000000</v>
      </c>
      <c r="AH187" s="94"/>
      <c r="AI187" s="94">
        <v>5679296</v>
      </c>
      <c r="AJ187" s="94"/>
      <c r="AK187" s="94">
        <v>248</v>
      </c>
      <c r="AL187" s="94"/>
      <c r="AM187" s="94">
        <f>+'Gen rev'!U187-'Gen exp'!AC187-AG187+'Gen rev'!W187+AI187+AK187-'Gen Bal'!S187-'Gen exp'!AE187</f>
        <v>0</v>
      </c>
    </row>
    <row r="188" spans="1:45" s="129" customFormat="1" ht="12.75" hidden="1" customHeight="1">
      <c r="A188" s="152" t="s">
        <v>218</v>
      </c>
      <c r="B188" s="123"/>
      <c r="C188" s="152" t="s">
        <v>27</v>
      </c>
      <c r="D188" s="123"/>
      <c r="E188" s="127">
        <v>0</v>
      </c>
      <c r="F188" s="127"/>
      <c r="G188" s="127">
        <v>0</v>
      </c>
      <c r="H188" s="127"/>
      <c r="I188" s="127">
        <v>0</v>
      </c>
      <c r="J188" s="127"/>
      <c r="K188" s="127">
        <v>0</v>
      </c>
      <c r="L188" s="127"/>
      <c r="M188" s="127">
        <v>0</v>
      </c>
      <c r="N188" s="127"/>
      <c r="O188" s="127">
        <v>0</v>
      </c>
      <c r="P188" s="127"/>
      <c r="Q188" s="127">
        <v>0</v>
      </c>
      <c r="R188" s="127"/>
      <c r="S188" s="127">
        <v>0</v>
      </c>
      <c r="T188" s="127"/>
      <c r="U188" s="127">
        <v>0</v>
      </c>
      <c r="V188" s="127"/>
      <c r="W188" s="127">
        <v>0</v>
      </c>
      <c r="X188" s="127"/>
      <c r="Y188" s="127">
        <v>0</v>
      </c>
      <c r="Z188" s="121"/>
      <c r="AA188" s="127">
        <v>0</v>
      </c>
      <c r="AB188" s="121"/>
      <c r="AC188" s="127">
        <f t="shared" si="5"/>
        <v>0</v>
      </c>
      <c r="AD188" s="127"/>
      <c r="AE188" s="130">
        <v>0</v>
      </c>
      <c r="AF188" s="130"/>
      <c r="AG188" s="127">
        <v>0</v>
      </c>
      <c r="AH188" s="127"/>
      <c r="AI188" s="127">
        <v>0</v>
      </c>
      <c r="AJ188" s="127"/>
      <c r="AK188" s="127">
        <v>0</v>
      </c>
      <c r="AL188" s="127"/>
      <c r="AM188" s="127">
        <f>+'Gen rev'!U188-'Gen exp'!AC188-AG188+'Gen rev'!W188+AI188+AK188-'Gen Bal'!S188-'Gen exp'!AE188</f>
        <v>0</v>
      </c>
      <c r="AN188" s="121"/>
      <c r="AO188" s="121"/>
      <c r="AP188" s="121"/>
      <c r="AQ188" s="121"/>
    </row>
    <row r="189" spans="1:45" s="49" customFormat="1" ht="12.75" customHeight="1">
      <c r="A189" s="28" t="s">
        <v>219</v>
      </c>
      <c r="C189" s="28" t="s">
        <v>199</v>
      </c>
      <c r="E189" s="45">
        <v>608459</v>
      </c>
      <c r="F189" s="45"/>
      <c r="G189" s="45">
        <v>949363</v>
      </c>
      <c r="H189" s="45"/>
      <c r="I189" s="45">
        <v>0</v>
      </c>
      <c r="J189" s="45"/>
      <c r="K189" s="45">
        <v>102673</v>
      </c>
      <c r="L189" s="45"/>
      <c r="M189" s="45">
        <v>160525</v>
      </c>
      <c r="N189" s="45"/>
      <c r="O189" s="45">
        <v>428441</v>
      </c>
      <c r="P189" s="45"/>
      <c r="Q189" s="45">
        <v>459797</v>
      </c>
      <c r="R189" s="45"/>
      <c r="S189" s="45">
        <v>0</v>
      </c>
      <c r="T189" s="45"/>
      <c r="U189" s="45">
        <v>0</v>
      </c>
      <c r="V189" s="45"/>
      <c r="W189" s="45">
        <v>0</v>
      </c>
      <c r="X189" s="45"/>
      <c r="Y189" s="45">
        <v>0</v>
      </c>
      <c r="Z189" s="44"/>
      <c r="AA189" s="45">
        <v>0</v>
      </c>
      <c r="AB189" s="44"/>
      <c r="AC189" s="45">
        <f t="shared" si="5"/>
        <v>2709258</v>
      </c>
      <c r="AD189" s="45"/>
      <c r="AE189" s="48">
        <v>0</v>
      </c>
      <c r="AF189" s="48"/>
      <c r="AG189" s="45">
        <v>65000</v>
      </c>
      <c r="AH189" s="45"/>
      <c r="AI189" s="45">
        <v>960982</v>
      </c>
      <c r="AJ189" s="45"/>
      <c r="AK189" s="45">
        <v>0</v>
      </c>
      <c r="AL189" s="45"/>
      <c r="AM189" s="45">
        <f>+'Gen rev'!U189-'Gen exp'!AC189-AG189+'Gen rev'!W189+AI189+AK189-'Gen Bal'!S189-'Gen exp'!AE189</f>
        <v>0</v>
      </c>
      <c r="AN189" s="44"/>
      <c r="AO189" s="44"/>
      <c r="AP189" s="44"/>
      <c r="AQ189" s="44"/>
    </row>
    <row r="190" spans="1:45" s="49" customFormat="1" ht="12.75" customHeight="1">
      <c r="A190" s="28" t="s">
        <v>220</v>
      </c>
      <c r="C190" s="28" t="s">
        <v>66</v>
      </c>
      <c r="E190" s="45">
        <v>1295551</v>
      </c>
      <c r="F190" s="45"/>
      <c r="G190" s="45">
        <v>40500</v>
      </c>
      <c r="H190" s="45"/>
      <c r="I190" s="45">
        <v>247902</v>
      </c>
      <c r="J190" s="45"/>
      <c r="K190" s="45">
        <v>0</v>
      </c>
      <c r="L190" s="45"/>
      <c r="M190" s="45">
        <v>0</v>
      </c>
      <c r="N190" s="45"/>
      <c r="O190" s="45">
        <v>1538</v>
      </c>
      <c r="P190" s="45"/>
      <c r="Q190" s="45">
        <v>0</v>
      </c>
      <c r="R190" s="45"/>
      <c r="S190" s="45">
        <v>9753</v>
      </c>
      <c r="T190" s="45"/>
      <c r="U190" s="45">
        <v>0</v>
      </c>
      <c r="V190" s="45"/>
      <c r="W190" s="45">
        <v>4021</v>
      </c>
      <c r="X190" s="45"/>
      <c r="Y190" s="45">
        <v>78</v>
      </c>
      <c r="Z190" s="44"/>
      <c r="AA190" s="45">
        <v>0</v>
      </c>
      <c r="AB190" s="44"/>
      <c r="AC190" s="45">
        <f t="shared" si="5"/>
        <v>1599343</v>
      </c>
      <c r="AD190" s="45"/>
      <c r="AE190" s="48">
        <v>0</v>
      </c>
      <c r="AF190" s="48"/>
      <c r="AG190" s="45">
        <v>4559733</v>
      </c>
      <c r="AH190" s="45"/>
      <c r="AI190" s="45">
        <v>7645843</v>
      </c>
      <c r="AJ190" s="45"/>
      <c r="AK190" s="45">
        <v>0</v>
      </c>
      <c r="AL190" s="45"/>
      <c r="AM190" s="45">
        <f>+'Gen rev'!U190-'Gen exp'!AC190-AG190+'Gen rev'!W190+AI190+AK190-'Gen Bal'!S190-'Gen exp'!AE190</f>
        <v>0</v>
      </c>
      <c r="AN190" s="44"/>
      <c r="AO190" s="44"/>
      <c r="AP190" s="44"/>
      <c r="AQ190" s="44"/>
    </row>
    <row r="191" spans="1:45" s="49" customFormat="1" ht="12.75" customHeight="1">
      <c r="A191" s="28" t="s">
        <v>221</v>
      </c>
      <c r="C191" s="28" t="s">
        <v>27</v>
      </c>
      <c r="E191" s="45">
        <v>4863781</v>
      </c>
      <c r="F191" s="45"/>
      <c r="G191" s="45">
        <v>7370630</v>
      </c>
      <c r="H191" s="45"/>
      <c r="I191" s="45">
        <v>773306</v>
      </c>
      <c r="J191" s="45"/>
      <c r="K191" s="45">
        <v>0</v>
      </c>
      <c r="L191" s="45"/>
      <c r="M191" s="45">
        <v>638075</v>
      </c>
      <c r="N191" s="45"/>
      <c r="O191" s="45">
        <v>358206</v>
      </c>
      <c r="P191" s="45"/>
      <c r="Q191" s="45">
        <v>0</v>
      </c>
      <c r="R191" s="45"/>
      <c r="S191" s="45">
        <v>46291</v>
      </c>
      <c r="T191" s="45"/>
      <c r="U191" s="45">
        <v>0</v>
      </c>
      <c r="V191" s="45"/>
      <c r="W191" s="45">
        <v>0</v>
      </c>
      <c r="X191" s="45"/>
      <c r="Y191" s="45">
        <v>0</v>
      </c>
      <c r="Z191" s="44"/>
      <c r="AA191" s="45">
        <v>0</v>
      </c>
      <c r="AB191" s="44"/>
      <c r="AC191" s="45">
        <f t="shared" si="5"/>
        <v>14050289</v>
      </c>
      <c r="AD191" s="45"/>
      <c r="AE191" s="48">
        <v>0</v>
      </c>
      <c r="AF191" s="48"/>
      <c r="AG191" s="45">
        <v>4471000</v>
      </c>
      <c r="AH191" s="45"/>
      <c r="AI191" s="45">
        <v>4482278</v>
      </c>
      <c r="AJ191" s="45"/>
      <c r="AK191" s="45">
        <v>0</v>
      </c>
      <c r="AL191" s="45"/>
      <c r="AM191" s="45">
        <f>+'Gen rev'!U191-'Gen exp'!AC191-AG191+'Gen rev'!W191+AI191+AK191-'Gen Bal'!S191-'Gen exp'!AE191</f>
        <v>0</v>
      </c>
      <c r="AN191" s="44"/>
      <c r="AO191" s="44"/>
      <c r="AP191" s="44"/>
      <c r="AQ191" s="44"/>
    </row>
    <row r="192" spans="1:45" s="49" customFormat="1" ht="12.75" customHeight="1">
      <c r="A192" s="28" t="s">
        <v>222</v>
      </c>
      <c r="C192" s="28" t="s">
        <v>47</v>
      </c>
      <c r="E192" s="45">
        <v>1001648</v>
      </c>
      <c r="F192" s="45"/>
      <c r="G192" s="45">
        <v>1855222</v>
      </c>
      <c r="H192" s="45"/>
      <c r="I192" s="45">
        <v>0</v>
      </c>
      <c r="J192" s="45"/>
      <c r="K192" s="45">
        <v>0</v>
      </c>
      <c r="L192" s="45"/>
      <c r="M192" s="45">
        <v>832107</v>
      </c>
      <c r="N192" s="45"/>
      <c r="O192" s="45">
        <v>26974</v>
      </c>
      <c r="P192" s="45"/>
      <c r="Q192" s="45">
        <v>245451</v>
      </c>
      <c r="R192" s="45"/>
      <c r="S192" s="45">
        <v>0</v>
      </c>
      <c r="T192" s="45"/>
      <c r="U192" s="45">
        <v>0</v>
      </c>
      <c r="V192" s="45"/>
      <c r="W192" s="45">
        <v>0</v>
      </c>
      <c r="X192" s="45"/>
      <c r="Y192" s="45">
        <v>0</v>
      </c>
      <c r="Z192" s="44"/>
      <c r="AA192" s="45">
        <v>0</v>
      </c>
      <c r="AB192" s="44"/>
      <c r="AC192" s="45">
        <f t="shared" si="5"/>
        <v>3961402</v>
      </c>
      <c r="AD192" s="45"/>
      <c r="AE192" s="48">
        <v>0</v>
      </c>
      <c r="AF192" s="48"/>
      <c r="AG192" s="45">
        <v>540000</v>
      </c>
      <c r="AH192" s="45"/>
      <c r="AI192" s="45">
        <v>3241104</v>
      </c>
      <c r="AJ192" s="45"/>
      <c r="AK192" s="45">
        <v>0</v>
      </c>
      <c r="AL192" s="45"/>
      <c r="AM192" s="45">
        <f>+'Gen rev'!U192-'Gen exp'!AC192-AG192+'Gen rev'!W192+AI192+AK192-'Gen Bal'!S192-'Gen exp'!AE192</f>
        <v>0</v>
      </c>
      <c r="AN192" s="44"/>
      <c r="AO192" s="44"/>
      <c r="AP192" s="44"/>
      <c r="AQ192" s="44"/>
    </row>
    <row r="193" spans="1:45" s="49" customFormat="1" ht="12.75" customHeight="1">
      <c r="A193" s="28" t="s">
        <v>223</v>
      </c>
      <c r="C193" s="28" t="s">
        <v>94</v>
      </c>
      <c r="E193" s="45">
        <v>964918</v>
      </c>
      <c r="F193" s="45"/>
      <c r="G193" s="45">
        <v>2972854</v>
      </c>
      <c r="H193" s="45"/>
      <c r="I193" s="45">
        <v>107922</v>
      </c>
      <c r="J193" s="45"/>
      <c r="K193" s="45">
        <v>0</v>
      </c>
      <c r="L193" s="45"/>
      <c r="M193" s="45">
        <v>20319</v>
      </c>
      <c r="N193" s="45"/>
      <c r="O193" s="45">
        <v>0</v>
      </c>
      <c r="P193" s="45"/>
      <c r="Q193" s="45">
        <v>0</v>
      </c>
      <c r="R193" s="45"/>
      <c r="S193" s="45">
        <v>0</v>
      </c>
      <c r="T193" s="45"/>
      <c r="U193" s="45">
        <v>0</v>
      </c>
      <c r="V193" s="45"/>
      <c r="W193" s="45">
        <v>0</v>
      </c>
      <c r="X193" s="45"/>
      <c r="Y193" s="45">
        <v>0</v>
      </c>
      <c r="Z193" s="44"/>
      <c r="AA193" s="45">
        <v>0</v>
      </c>
      <c r="AB193" s="44"/>
      <c r="AC193" s="45">
        <f t="shared" si="5"/>
        <v>4066013</v>
      </c>
      <c r="AD193" s="45"/>
      <c r="AE193" s="48">
        <v>0</v>
      </c>
      <c r="AF193" s="48"/>
      <c r="AG193" s="45">
        <v>600561</v>
      </c>
      <c r="AH193" s="45"/>
      <c r="AI193" s="45">
        <v>371208</v>
      </c>
      <c r="AJ193" s="45"/>
      <c r="AK193" s="45">
        <v>3176</v>
      </c>
      <c r="AL193" s="45"/>
      <c r="AM193" s="45">
        <f>+'Gen rev'!U193-'Gen exp'!AC193-AG193+'Gen rev'!W193+AI193+AK193-'Gen Bal'!S193-'Gen exp'!AE193</f>
        <v>0</v>
      </c>
      <c r="AN193" s="44"/>
      <c r="AO193" s="44"/>
      <c r="AP193" s="44"/>
      <c r="AQ193" s="44"/>
    </row>
    <row r="194" spans="1:45" s="49" customFormat="1" ht="12.75" customHeight="1">
      <c r="A194" s="28" t="s">
        <v>76</v>
      </c>
      <c r="C194" s="28" t="s">
        <v>132</v>
      </c>
      <c r="E194" s="45">
        <f>947597+2722623</f>
        <v>3670220</v>
      </c>
      <c r="F194" s="45"/>
      <c r="G194" s="45">
        <f>4703942+4358539+249581</f>
        <v>9312062</v>
      </c>
      <c r="H194" s="45"/>
      <c r="I194" s="45">
        <v>1115083</v>
      </c>
      <c r="J194" s="45"/>
      <c r="K194" s="45">
        <v>235781</v>
      </c>
      <c r="L194" s="45"/>
      <c r="M194" s="45">
        <v>2094</v>
      </c>
      <c r="N194" s="45"/>
      <c r="O194" s="45">
        <v>314676</v>
      </c>
      <c r="P194" s="45"/>
      <c r="Q194" s="45">
        <v>0</v>
      </c>
      <c r="R194" s="45"/>
      <c r="S194" s="45">
        <v>0</v>
      </c>
      <c r="T194" s="45"/>
      <c r="U194" s="45">
        <v>0</v>
      </c>
      <c r="V194" s="45"/>
      <c r="W194" s="45">
        <v>64511</v>
      </c>
      <c r="X194" s="45"/>
      <c r="Y194" s="45">
        <v>24845</v>
      </c>
      <c r="Z194" s="44"/>
      <c r="AA194" s="45">
        <v>0</v>
      </c>
      <c r="AB194" s="44"/>
      <c r="AC194" s="45">
        <f t="shared" si="5"/>
        <v>14739272</v>
      </c>
      <c r="AD194" s="45"/>
      <c r="AE194" s="48">
        <v>0</v>
      </c>
      <c r="AF194" s="48"/>
      <c r="AG194" s="45">
        <v>1629641</v>
      </c>
      <c r="AH194" s="45"/>
      <c r="AI194" s="45">
        <v>3030656</v>
      </c>
      <c r="AJ194" s="45"/>
      <c r="AK194" s="45">
        <v>0</v>
      </c>
      <c r="AL194" s="45"/>
      <c r="AM194" s="45">
        <f>+'Gen rev'!U194-'Gen exp'!AC194-AG194+'Gen rev'!W194+AI194+AK194-'Gen Bal'!S194-'Gen exp'!AE194</f>
        <v>0</v>
      </c>
      <c r="AN194" s="44"/>
      <c r="AO194" s="44"/>
      <c r="AP194" s="44"/>
      <c r="AQ194" s="44"/>
    </row>
    <row r="195" spans="1:45" s="49" customFormat="1" ht="12.75" customHeight="1">
      <c r="A195" s="28" t="s">
        <v>224</v>
      </c>
      <c r="C195" s="28" t="s">
        <v>27</v>
      </c>
      <c r="E195" s="45">
        <v>1910665</v>
      </c>
      <c r="F195" s="45"/>
      <c r="G195" s="45">
        <v>2951244</v>
      </c>
      <c r="H195" s="45"/>
      <c r="I195" s="45">
        <v>681142</v>
      </c>
      <c r="J195" s="45"/>
      <c r="K195" s="45">
        <v>44696</v>
      </c>
      <c r="L195" s="45"/>
      <c r="M195" s="45">
        <v>1239346</v>
      </c>
      <c r="N195" s="45"/>
      <c r="O195" s="45">
        <v>1313384</v>
      </c>
      <c r="P195" s="45"/>
      <c r="Q195" s="45">
        <v>0</v>
      </c>
      <c r="R195" s="45"/>
      <c r="S195" s="45">
        <v>59110</v>
      </c>
      <c r="T195" s="45"/>
      <c r="U195" s="45">
        <v>0</v>
      </c>
      <c r="V195" s="45"/>
      <c r="W195" s="45">
        <v>0</v>
      </c>
      <c r="X195" s="45"/>
      <c r="Y195" s="45">
        <v>0</v>
      </c>
      <c r="Z195" s="44"/>
      <c r="AA195" s="45">
        <v>0</v>
      </c>
      <c r="AB195" s="44"/>
      <c r="AC195" s="45">
        <f t="shared" si="5"/>
        <v>8199587</v>
      </c>
      <c r="AD195" s="45"/>
      <c r="AE195" s="48">
        <v>0</v>
      </c>
      <c r="AF195" s="48"/>
      <c r="AG195" s="45">
        <v>1171387</v>
      </c>
      <c r="AH195" s="45"/>
      <c r="AI195" s="45">
        <v>4723766</v>
      </c>
      <c r="AJ195" s="45"/>
      <c r="AK195" s="45">
        <v>0</v>
      </c>
      <c r="AL195" s="45"/>
      <c r="AM195" s="45">
        <f>+'Gen rev'!U195-'Gen exp'!AC195-AG195+'Gen rev'!W195+AI195+AK195-'Gen Bal'!S195-'Gen exp'!AE195</f>
        <v>0</v>
      </c>
      <c r="AN195" s="44"/>
      <c r="AO195" s="44"/>
      <c r="AP195" s="44"/>
      <c r="AQ195" s="44"/>
    </row>
    <row r="196" spans="1:45" s="44" customFormat="1" ht="12.75" customHeight="1">
      <c r="A196" s="35" t="s">
        <v>225</v>
      </c>
      <c r="C196" s="35" t="s">
        <v>27</v>
      </c>
      <c r="E196" s="45">
        <f>4197909+2190468</f>
        <v>6388377</v>
      </c>
      <c r="F196" s="45"/>
      <c r="G196" s="45">
        <f>8884034+6185053+71002</f>
        <v>15140089</v>
      </c>
      <c r="H196" s="45"/>
      <c r="I196" s="45">
        <v>3994208</v>
      </c>
      <c r="J196" s="45"/>
      <c r="K196" s="45">
        <v>474533</v>
      </c>
      <c r="L196" s="45"/>
      <c r="M196" s="45">
        <v>861461</v>
      </c>
      <c r="N196" s="45"/>
      <c r="O196" s="45">
        <f>2557637+858110</f>
        <v>3415747</v>
      </c>
      <c r="P196" s="45"/>
      <c r="Q196" s="45">
        <f>2779052+1936187</f>
        <v>4715239</v>
      </c>
      <c r="R196" s="45"/>
      <c r="S196" s="45">
        <v>0</v>
      </c>
      <c r="T196" s="45"/>
      <c r="U196" s="45">
        <v>0</v>
      </c>
      <c r="V196" s="45"/>
      <c r="W196" s="45">
        <v>0</v>
      </c>
      <c r="X196" s="45"/>
      <c r="Y196" s="45">
        <v>0</v>
      </c>
      <c r="AA196" s="44">
        <v>0</v>
      </c>
      <c r="AC196" s="45">
        <f t="shared" ref="AC196" si="6">SUM(E196:AA196)</f>
        <v>34989654</v>
      </c>
      <c r="AD196" s="45"/>
      <c r="AE196" s="48">
        <v>0</v>
      </c>
      <c r="AF196" s="48"/>
      <c r="AG196" s="45">
        <v>3494480</v>
      </c>
      <c r="AH196" s="45"/>
      <c r="AI196" s="45">
        <v>11505207</v>
      </c>
      <c r="AJ196" s="45"/>
      <c r="AK196" s="45">
        <v>0</v>
      </c>
      <c r="AL196" s="45"/>
      <c r="AM196" s="45">
        <f>+'Gen rev'!U196-'Gen exp'!AC196-AG196+'Gen rev'!W196+AI196+AK196-'Gen Bal'!S196-'Gen exp'!AE196</f>
        <v>0</v>
      </c>
    </row>
    <row r="197" spans="1:45" s="49" customFormat="1" ht="12.75" customHeight="1">
      <c r="A197" s="28" t="s">
        <v>226</v>
      </c>
      <c r="C197" s="28" t="s">
        <v>45</v>
      </c>
      <c r="E197" s="45">
        <v>2940463</v>
      </c>
      <c r="F197" s="45"/>
      <c r="G197" s="45">
        <v>5619316</v>
      </c>
      <c r="H197" s="45"/>
      <c r="I197" s="45">
        <v>543526</v>
      </c>
      <c r="J197" s="45"/>
      <c r="K197" s="45">
        <v>363945</v>
      </c>
      <c r="L197" s="45"/>
      <c r="M197" s="45">
        <v>0</v>
      </c>
      <c r="N197" s="45"/>
      <c r="O197" s="45">
        <v>2664712</v>
      </c>
      <c r="P197" s="45"/>
      <c r="Q197" s="45">
        <v>466805</v>
      </c>
      <c r="R197" s="45"/>
      <c r="S197" s="45">
        <v>0</v>
      </c>
      <c r="T197" s="45"/>
      <c r="U197" s="45">
        <v>0</v>
      </c>
      <c r="V197" s="45"/>
      <c r="W197" s="45">
        <v>0</v>
      </c>
      <c r="X197" s="45"/>
      <c r="Y197" s="45">
        <v>0</v>
      </c>
      <c r="Z197" s="44"/>
      <c r="AA197" s="45">
        <v>0</v>
      </c>
      <c r="AB197" s="44"/>
      <c r="AC197" s="45">
        <f t="shared" ref="AC197:AC255" si="7">SUM(E197:AA197)</f>
        <v>12598767</v>
      </c>
      <c r="AD197" s="45"/>
      <c r="AE197" s="48">
        <v>0</v>
      </c>
      <c r="AF197" s="48"/>
      <c r="AG197" s="45">
        <v>1257068</v>
      </c>
      <c r="AH197" s="45"/>
      <c r="AI197" s="45">
        <v>4348489</v>
      </c>
      <c r="AJ197" s="45"/>
      <c r="AK197" s="45">
        <v>0</v>
      </c>
      <c r="AL197" s="45"/>
      <c r="AM197" s="45">
        <f>+'Gen rev'!U197-'Gen exp'!AC197-AG197+'Gen rev'!W197+AI197+AK197-'Gen Bal'!S197-'Gen exp'!AE197</f>
        <v>0</v>
      </c>
      <c r="AN197" s="44"/>
      <c r="AO197" s="44"/>
      <c r="AP197" s="44"/>
      <c r="AQ197" s="44"/>
    </row>
    <row r="198" spans="1:45" s="46" customFormat="1" ht="12.75" customHeight="1">
      <c r="A198" s="64" t="s">
        <v>227</v>
      </c>
      <c r="C198" s="64" t="s">
        <v>17</v>
      </c>
      <c r="E198" s="45">
        <v>1219352</v>
      </c>
      <c r="F198" s="45"/>
      <c r="G198" s="45">
        <v>1705200</v>
      </c>
      <c r="H198" s="45"/>
      <c r="I198" s="45">
        <v>121265</v>
      </c>
      <c r="J198" s="45"/>
      <c r="K198" s="45">
        <v>22205</v>
      </c>
      <c r="L198" s="45"/>
      <c r="M198" s="45">
        <v>0</v>
      </c>
      <c r="N198" s="45"/>
      <c r="O198" s="45">
        <v>120202</v>
      </c>
      <c r="P198" s="45"/>
      <c r="Q198" s="45">
        <v>0</v>
      </c>
      <c r="R198" s="45"/>
      <c r="S198" s="45">
        <v>9500</v>
      </c>
      <c r="T198" s="45"/>
      <c r="U198" s="45">
        <v>0</v>
      </c>
      <c r="V198" s="45"/>
      <c r="W198" s="45">
        <f>35000+2358+24457</f>
        <v>61815</v>
      </c>
      <c r="X198" s="45"/>
      <c r="Y198" s="45">
        <v>24126</v>
      </c>
      <c r="Z198" s="44"/>
      <c r="AA198" s="45">
        <v>0</v>
      </c>
      <c r="AB198" s="44"/>
      <c r="AC198" s="45">
        <f t="shared" si="7"/>
        <v>3283665</v>
      </c>
      <c r="AD198" s="45"/>
      <c r="AE198" s="48">
        <v>0</v>
      </c>
      <c r="AF198" s="48"/>
      <c r="AG198" s="45">
        <v>18402</v>
      </c>
      <c r="AH198" s="45"/>
      <c r="AI198" s="45">
        <v>222677</v>
      </c>
      <c r="AJ198" s="45"/>
      <c r="AK198" s="45">
        <v>0</v>
      </c>
      <c r="AL198" s="45"/>
      <c r="AM198" s="45">
        <f>+'Gen rev'!U198-'Gen exp'!AC198-AG198+'Gen rev'!W198+AI198+AK198-'Gen Bal'!S198-'Gen exp'!AE198</f>
        <v>0</v>
      </c>
    </row>
    <row r="199" spans="1:45" s="49" customFormat="1" ht="12.75" customHeight="1">
      <c r="A199" s="28" t="s">
        <v>228</v>
      </c>
      <c r="C199" s="28" t="s">
        <v>153</v>
      </c>
      <c r="E199" s="45">
        <v>895311</v>
      </c>
      <c r="F199" s="45"/>
      <c r="G199" s="45">
        <v>2835115</v>
      </c>
      <c r="H199" s="45"/>
      <c r="I199" s="45">
        <v>0</v>
      </c>
      <c r="J199" s="45"/>
      <c r="K199" s="45">
        <v>0</v>
      </c>
      <c r="L199" s="45"/>
      <c r="M199" s="45">
        <v>34765</v>
      </c>
      <c r="N199" s="45"/>
      <c r="O199" s="45">
        <v>0</v>
      </c>
      <c r="P199" s="45"/>
      <c r="Q199" s="45">
        <v>0</v>
      </c>
      <c r="R199" s="45"/>
      <c r="S199" s="45">
        <v>0</v>
      </c>
      <c r="T199" s="45"/>
      <c r="U199" s="45">
        <v>0</v>
      </c>
      <c r="V199" s="45"/>
      <c r="W199" s="45">
        <v>0</v>
      </c>
      <c r="X199" s="45"/>
      <c r="Y199" s="45">
        <v>0</v>
      </c>
      <c r="Z199" s="44"/>
      <c r="AA199" s="45">
        <v>0</v>
      </c>
      <c r="AB199" s="44"/>
      <c r="AC199" s="45">
        <f t="shared" si="7"/>
        <v>3765191</v>
      </c>
      <c r="AD199" s="45"/>
      <c r="AE199" s="48">
        <v>0</v>
      </c>
      <c r="AF199" s="48"/>
      <c r="AG199" s="45">
        <v>280250</v>
      </c>
      <c r="AH199" s="45"/>
      <c r="AI199" s="45">
        <v>686907</v>
      </c>
      <c r="AJ199" s="45"/>
      <c r="AK199" s="45">
        <v>-30199</v>
      </c>
      <c r="AL199" s="45"/>
      <c r="AM199" s="45">
        <f>+'Gen rev'!U199-'Gen exp'!AC199-AG199+'Gen rev'!W199+AI199+AK199-'Gen Bal'!S199-'Gen exp'!AE199</f>
        <v>0</v>
      </c>
      <c r="AN199" s="45"/>
      <c r="AO199" s="45"/>
      <c r="AP199" s="45"/>
      <c r="AQ199" s="45"/>
      <c r="AR199" s="52"/>
      <c r="AS199" s="50"/>
    </row>
    <row r="200" spans="1:45" s="49" customFormat="1" ht="12.75" customHeight="1">
      <c r="A200" s="28" t="s">
        <v>229</v>
      </c>
      <c r="C200" s="28" t="s">
        <v>228</v>
      </c>
      <c r="E200" s="45">
        <v>915821</v>
      </c>
      <c r="F200" s="45"/>
      <c r="G200" s="45">
        <f>5702651+4037275+1280695</f>
        <v>11020621</v>
      </c>
      <c r="H200" s="45"/>
      <c r="I200" s="45">
        <f>119103+1033682</f>
        <v>1152785</v>
      </c>
      <c r="J200" s="45"/>
      <c r="K200" s="45">
        <v>0</v>
      </c>
      <c r="L200" s="45"/>
      <c r="M200" s="45">
        <v>0</v>
      </c>
      <c r="N200" s="45"/>
      <c r="O200" s="45">
        <v>1186393</v>
      </c>
      <c r="P200" s="45"/>
      <c r="Q200" s="45">
        <v>0</v>
      </c>
      <c r="R200" s="45"/>
      <c r="S200" s="45">
        <v>0</v>
      </c>
      <c r="T200" s="45"/>
      <c r="U200" s="45">
        <v>0</v>
      </c>
      <c r="V200" s="45"/>
      <c r="W200" s="45">
        <v>0</v>
      </c>
      <c r="X200" s="45"/>
      <c r="Y200" s="45">
        <v>0</v>
      </c>
      <c r="Z200" s="44"/>
      <c r="AA200" s="45">
        <v>0</v>
      </c>
      <c r="AB200" s="44"/>
      <c r="AC200" s="45">
        <f t="shared" si="7"/>
        <v>14275620</v>
      </c>
      <c r="AD200" s="45"/>
      <c r="AE200" s="48">
        <v>0</v>
      </c>
      <c r="AF200" s="48"/>
      <c r="AG200" s="45">
        <v>160000</v>
      </c>
      <c r="AH200" s="45"/>
      <c r="AI200" s="45">
        <v>4039233</v>
      </c>
      <c r="AJ200" s="45"/>
      <c r="AK200" s="45">
        <v>0</v>
      </c>
      <c r="AL200" s="45"/>
      <c r="AM200" s="45">
        <f>+'Gen rev'!U200-'Gen exp'!AC200-AG200+'Gen rev'!W200+AI200+AK200-'Gen Bal'!S200-'Gen exp'!AE200</f>
        <v>0</v>
      </c>
      <c r="AN200" s="45"/>
      <c r="AO200" s="45"/>
      <c r="AP200" s="45"/>
      <c r="AQ200" s="45"/>
      <c r="AR200" s="52"/>
      <c r="AS200" s="50"/>
    </row>
    <row r="201" spans="1:45" s="49" customFormat="1" ht="12.75" customHeight="1">
      <c r="A201" s="64" t="s">
        <v>230</v>
      </c>
      <c r="B201" s="46"/>
      <c r="C201" s="64" t="s">
        <v>45</v>
      </c>
      <c r="D201" s="46"/>
      <c r="E201" s="45">
        <v>726951</v>
      </c>
      <c r="F201" s="45"/>
      <c r="G201" s="45">
        <v>1354258</v>
      </c>
      <c r="H201" s="45"/>
      <c r="I201" s="45">
        <v>448426</v>
      </c>
      <c r="J201" s="45"/>
      <c r="K201" s="45">
        <v>5076</v>
      </c>
      <c r="L201" s="45"/>
      <c r="M201" s="45">
        <v>0</v>
      </c>
      <c r="N201" s="45"/>
      <c r="O201" s="45">
        <v>6759</v>
      </c>
      <c r="P201" s="45"/>
      <c r="Q201" s="45">
        <v>0</v>
      </c>
      <c r="R201" s="45"/>
      <c r="S201" s="45">
        <v>0</v>
      </c>
      <c r="T201" s="45"/>
      <c r="U201" s="45">
        <v>0</v>
      </c>
      <c r="V201" s="45"/>
      <c r="W201" s="45">
        <v>5544</v>
      </c>
      <c r="X201" s="45"/>
      <c r="Y201" s="45">
        <v>0</v>
      </c>
      <c r="Z201" s="44"/>
      <c r="AA201" s="45">
        <v>0</v>
      </c>
      <c r="AB201" s="44"/>
      <c r="AC201" s="45">
        <f t="shared" si="7"/>
        <v>2547014</v>
      </c>
      <c r="AD201" s="45"/>
      <c r="AE201" s="48">
        <v>0</v>
      </c>
      <c r="AF201" s="48"/>
      <c r="AG201" s="45">
        <v>336000</v>
      </c>
      <c r="AH201" s="45"/>
      <c r="AI201" s="45">
        <v>852985</v>
      </c>
      <c r="AJ201" s="45"/>
      <c r="AK201" s="45">
        <v>0</v>
      </c>
      <c r="AL201" s="45"/>
      <c r="AM201" s="45">
        <f>+'Gen rev'!U201-'Gen exp'!AC201-AG201+'Gen rev'!W201+AI201+AK201-'Gen Bal'!S201-'Gen exp'!AE201</f>
        <v>0</v>
      </c>
      <c r="AN201" s="44"/>
      <c r="AO201" s="44"/>
      <c r="AP201" s="44"/>
      <c r="AQ201" s="44"/>
    </row>
    <row r="202" spans="1:45" s="49" customFormat="1" ht="12.75" customHeight="1">
      <c r="A202" s="28" t="s">
        <v>231</v>
      </c>
      <c r="C202" s="28" t="s">
        <v>27</v>
      </c>
      <c r="E202" s="45">
        <v>4296634</v>
      </c>
      <c r="F202" s="45"/>
      <c r="G202" s="45">
        <f>7412294+6291663+252624</f>
        <v>13956581</v>
      </c>
      <c r="H202" s="45"/>
      <c r="I202" s="45">
        <v>2994731</v>
      </c>
      <c r="J202" s="45"/>
      <c r="K202" s="45">
        <v>81915</v>
      </c>
      <c r="L202" s="45"/>
      <c r="M202" s="45">
        <v>5354141</v>
      </c>
      <c r="N202" s="45"/>
      <c r="O202" s="45">
        <v>517662</v>
      </c>
      <c r="P202" s="45"/>
      <c r="Q202" s="45">
        <v>1604953</v>
      </c>
      <c r="R202" s="45"/>
      <c r="S202" s="45">
        <v>0</v>
      </c>
      <c r="T202" s="45"/>
      <c r="U202" s="45">
        <v>0</v>
      </c>
      <c r="V202" s="45"/>
      <c r="W202" s="45">
        <v>0</v>
      </c>
      <c r="X202" s="45"/>
      <c r="Y202" s="45">
        <v>0</v>
      </c>
      <c r="Z202" s="44"/>
      <c r="AA202" s="45">
        <v>0</v>
      </c>
      <c r="AB202" s="44"/>
      <c r="AC202" s="45">
        <f t="shared" si="7"/>
        <v>28806617</v>
      </c>
      <c r="AD202" s="45"/>
      <c r="AE202" s="48">
        <v>0</v>
      </c>
      <c r="AF202" s="48"/>
      <c r="AG202" s="45">
        <v>7601298</v>
      </c>
      <c r="AH202" s="45"/>
      <c r="AI202" s="45">
        <v>24905404</v>
      </c>
      <c r="AJ202" s="45"/>
      <c r="AK202" s="45">
        <v>0</v>
      </c>
      <c r="AL202" s="45"/>
      <c r="AM202" s="45">
        <f>+'Gen rev'!U202-'Gen exp'!AC202-AG202+'Gen rev'!W202+AI202+AK202-'Gen Bal'!S202-'Gen exp'!AE202</f>
        <v>0</v>
      </c>
      <c r="AN202" s="44"/>
      <c r="AO202" s="44"/>
      <c r="AP202" s="44"/>
      <c r="AQ202" s="44"/>
    </row>
    <row r="203" spans="1:45" s="49" customFormat="1" ht="12.75" customHeight="1">
      <c r="A203" s="28" t="s">
        <v>232</v>
      </c>
      <c r="C203" s="28" t="s">
        <v>27</v>
      </c>
      <c r="E203" s="45">
        <f>2351795+520867</f>
        <v>2872662</v>
      </c>
      <c r="F203" s="45"/>
      <c r="G203" s="45">
        <f>5004626+4178010</f>
        <v>9182636</v>
      </c>
      <c r="H203" s="45"/>
      <c r="I203" s="45">
        <v>215342</v>
      </c>
      <c r="J203" s="45"/>
      <c r="K203" s="45">
        <v>127799</v>
      </c>
      <c r="L203" s="45"/>
      <c r="M203" s="45">
        <v>971973</v>
      </c>
      <c r="N203" s="45"/>
      <c r="O203" s="45">
        <v>356328</v>
      </c>
      <c r="P203" s="45"/>
      <c r="Q203" s="45">
        <f>639842+1453626+263621</f>
        <v>2357089</v>
      </c>
      <c r="R203" s="45"/>
      <c r="S203" s="45">
        <v>0</v>
      </c>
      <c r="T203" s="45"/>
      <c r="U203" s="45">
        <v>0</v>
      </c>
      <c r="V203" s="45"/>
      <c r="W203" s="45">
        <v>6773</v>
      </c>
      <c r="X203" s="45"/>
      <c r="Y203" s="45">
        <v>12778</v>
      </c>
      <c r="Z203" s="44"/>
      <c r="AA203" s="45">
        <v>0</v>
      </c>
      <c r="AB203" s="44"/>
      <c r="AC203" s="45">
        <f t="shared" si="7"/>
        <v>16103380</v>
      </c>
      <c r="AD203" s="45"/>
      <c r="AE203" s="48">
        <v>0</v>
      </c>
      <c r="AF203" s="48"/>
      <c r="AG203" s="45">
        <v>673478</v>
      </c>
      <c r="AH203" s="45"/>
      <c r="AI203" s="45">
        <v>4538487</v>
      </c>
      <c r="AJ203" s="45"/>
      <c r="AK203" s="45">
        <v>0</v>
      </c>
      <c r="AL203" s="45"/>
      <c r="AM203" s="45">
        <f>+'Gen rev'!U203-'Gen exp'!AC203-AG203+'Gen rev'!W203+AI203+AK203-'Gen Bal'!S203-'Gen exp'!AE203</f>
        <v>0</v>
      </c>
      <c r="AN203" s="45"/>
      <c r="AO203" s="45"/>
      <c r="AP203" s="45"/>
      <c r="AQ203" s="45"/>
      <c r="AR203" s="52"/>
      <c r="AS203" s="50"/>
    </row>
    <row r="204" spans="1:45" s="49" customFormat="1" ht="12.75" customHeight="1">
      <c r="A204" s="28" t="s">
        <v>233</v>
      </c>
      <c r="C204" s="28" t="s">
        <v>111</v>
      </c>
      <c r="E204" s="45">
        <v>4184041</v>
      </c>
      <c r="F204" s="45"/>
      <c r="G204" s="45">
        <v>2786721</v>
      </c>
      <c r="H204" s="45"/>
      <c r="I204" s="45">
        <v>608100</v>
      </c>
      <c r="J204" s="45"/>
      <c r="K204" s="45">
        <v>15066</v>
      </c>
      <c r="L204" s="45"/>
      <c r="M204" s="45">
        <v>0</v>
      </c>
      <c r="N204" s="45"/>
      <c r="O204" s="45">
        <v>463880</v>
      </c>
      <c r="P204" s="45"/>
      <c r="Q204" s="45">
        <v>0</v>
      </c>
      <c r="R204" s="45"/>
      <c r="S204" s="45">
        <v>0</v>
      </c>
      <c r="T204" s="45"/>
      <c r="U204" s="45">
        <v>0</v>
      </c>
      <c r="V204" s="45"/>
      <c r="W204" s="45">
        <v>0</v>
      </c>
      <c r="X204" s="45"/>
      <c r="Y204" s="45">
        <v>0</v>
      </c>
      <c r="Z204" s="44"/>
      <c r="AA204" s="45">
        <v>0</v>
      </c>
      <c r="AB204" s="44"/>
      <c r="AC204" s="45">
        <f t="shared" si="7"/>
        <v>8057808</v>
      </c>
      <c r="AD204" s="45"/>
      <c r="AE204" s="48">
        <v>0</v>
      </c>
      <c r="AF204" s="48"/>
      <c r="AG204" s="45">
        <v>283946</v>
      </c>
      <c r="AH204" s="45"/>
      <c r="AI204" s="45">
        <v>6426031</v>
      </c>
      <c r="AJ204" s="45"/>
      <c r="AK204" s="45">
        <v>1018</v>
      </c>
      <c r="AL204" s="45"/>
      <c r="AM204" s="45">
        <f>+'Gen rev'!U204-'Gen exp'!AC204-AG204+'Gen rev'!W204+AI204+AK204-'Gen Bal'!S204-'Gen exp'!AE204</f>
        <v>0</v>
      </c>
      <c r="AN204" s="35"/>
      <c r="AO204" s="35"/>
      <c r="AP204" s="35"/>
      <c r="AQ204" s="35"/>
      <c r="AR204" s="50"/>
      <c r="AS204" s="50"/>
    </row>
    <row r="205" spans="1:45" s="49" customFormat="1" ht="12.75" customHeight="1">
      <c r="A205" s="28" t="s">
        <v>234</v>
      </c>
      <c r="C205" s="28" t="s">
        <v>45</v>
      </c>
      <c r="E205" s="45">
        <v>4461476</v>
      </c>
      <c r="F205" s="45"/>
      <c r="G205" s="45">
        <v>8444700</v>
      </c>
      <c r="H205" s="45"/>
      <c r="I205" s="45">
        <v>578024</v>
      </c>
      <c r="J205" s="45"/>
      <c r="K205" s="45">
        <v>291857</v>
      </c>
      <c r="L205" s="45"/>
      <c r="M205" s="45">
        <v>1020471</v>
      </c>
      <c r="N205" s="45"/>
      <c r="O205" s="45">
        <v>1535864</v>
      </c>
      <c r="P205" s="45"/>
      <c r="Q205" s="45">
        <v>0</v>
      </c>
      <c r="R205" s="45"/>
      <c r="S205" s="45">
        <v>57209</v>
      </c>
      <c r="T205" s="45"/>
      <c r="U205" s="45">
        <v>0</v>
      </c>
      <c r="V205" s="45"/>
      <c r="W205" s="45">
        <v>4937</v>
      </c>
      <c r="X205" s="45"/>
      <c r="Y205" s="45">
        <v>1807</v>
      </c>
      <c r="Z205" s="44"/>
      <c r="AA205" s="45">
        <v>0</v>
      </c>
      <c r="AB205" s="44"/>
      <c r="AC205" s="45">
        <f t="shared" si="7"/>
        <v>16396345</v>
      </c>
      <c r="AD205" s="45"/>
      <c r="AE205" s="48">
        <v>0</v>
      </c>
      <c r="AF205" s="48"/>
      <c r="AG205" s="45">
        <v>1080400</v>
      </c>
      <c r="AH205" s="45"/>
      <c r="AI205" s="45">
        <v>7569984</v>
      </c>
      <c r="AJ205" s="45"/>
      <c r="AK205" s="45">
        <v>0</v>
      </c>
      <c r="AL205" s="45"/>
      <c r="AM205" s="45">
        <f>+'Gen rev'!U205-'Gen exp'!AC205-AG205+'Gen rev'!W205+AI205+AK205-'Gen Bal'!S205-'Gen exp'!AE205</f>
        <v>0</v>
      </c>
      <c r="AN205" s="44"/>
      <c r="AO205" s="44"/>
      <c r="AP205" s="44"/>
      <c r="AQ205" s="44"/>
    </row>
    <row r="206" spans="1:45" s="49" customFormat="1" ht="12.75" customHeight="1">
      <c r="A206" s="28" t="s">
        <v>235</v>
      </c>
      <c r="C206" s="28" t="s">
        <v>183</v>
      </c>
      <c r="E206" s="45">
        <v>8904232</v>
      </c>
      <c r="F206" s="45"/>
      <c r="G206" s="45">
        <v>21008360</v>
      </c>
      <c r="H206" s="45"/>
      <c r="I206" s="45">
        <v>800800</v>
      </c>
      <c r="J206" s="45"/>
      <c r="K206" s="45">
        <v>34850</v>
      </c>
      <c r="L206" s="45"/>
      <c r="M206" s="45">
        <v>28045</v>
      </c>
      <c r="N206" s="45"/>
      <c r="O206" s="45">
        <v>1452185</v>
      </c>
      <c r="P206" s="45"/>
      <c r="Q206" s="45">
        <v>1004</v>
      </c>
      <c r="R206" s="45"/>
      <c r="S206" s="45">
        <v>49394</v>
      </c>
      <c r="T206" s="45"/>
      <c r="U206" s="45">
        <v>0</v>
      </c>
      <c r="V206" s="45"/>
      <c r="W206" s="45">
        <v>0</v>
      </c>
      <c r="X206" s="45"/>
      <c r="Y206" s="45">
        <v>0</v>
      </c>
      <c r="Z206" s="44"/>
      <c r="AA206" s="45">
        <v>0</v>
      </c>
      <c r="AB206" s="44"/>
      <c r="AC206" s="45">
        <f t="shared" si="7"/>
        <v>32278870</v>
      </c>
      <c r="AD206" s="45"/>
      <c r="AE206" s="48">
        <v>0</v>
      </c>
      <c r="AF206" s="48"/>
      <c r="AG206" s="45">
        <v>1440159</v>
      </c>
      <c r="AH206" s="45"/>
      <c r="AI206" s="45">
        <v>5651058</v>
      </c>
      <c r="AJ206" s="45"/>
      <c r="AK206" s="45">
        <v>0</v>
      </c>
      <c r="AL206" s="45"/>
      <c r="AM206" s="45">
        <f>+'Gen rev'!U206-'Gen exp'!AC206-AG206+'Gen rev'!W206+AI206+AK206-'Gen Bal'!S206-'Gen exp'!AE206</f>
        <v>0</v>
      </c>
      <c r="AN206" s="44"/>
      <c r="AO206" s="44"/>
      <c r="AP206" s="44"/>
      <c r="AQ206" s="44"/>
    </row>
    <row r="207" spans="1:45" s="49" customFormat="1" ht="12.75" customHeight="1">
      <c r="A207" s="64" t="s">
        <v>236</v>
      </c>
      <c r="B207" s="46"/>
      <c r="C207" s="64" t="s">
        <v>45</v>
      </c>
      <c r="D207" s="46"/>
      <c r="E207" s="45">
        <v>4434810</v>
      </c>
      <c r="F207" s="45"/>
      <c r="G207" s="45">
        <v>4806925</v>
      </c>
      <c r="H207" s="45"/>
      <c r="I207" s="45">
        <v>0</v>
      </c>
      <c r="J207" s="45"/>
      <c r="K207" s="45">
        <v>248466</v>
      </c>
      <c r="L207" s="45"/>
      <c r="M207" s="45">
        <v>106403</v>
      </c>
      <c r="N207" s="45"/>
      <c r="O207" s="45">
        <v>152839</v>
      </c>
      <c r="P207" s="45"/>
      <c r="Q207" s="45">
        <f>1779+1348964</f>
        <v>1350743</v>
      </c>
      <c r="R207" s="45"/>
      <c r="S207" s="45">
        <v>0</v>
      </c>
      <c r="T207" s="45"/>
      <c r="U207" s="45">
        <v>0</v>
      </c>
      <c r="V207" s="45"/>
      <c r="W207" s="45">
        <v>0</v>
      </c>
      <c r="X207" s="45"/>
      <c r="Y207" s="45">
        <v>0</v>
      </c>
      <c r="Z207" s="44"/>
      <c r="AA207" s="45">
        <v>0</v>
      </c>
      <c r="AB207" s="44"/>
      <c r="AC207" s="45">
        <f t="shared" si="7"/>
        <v>11100186</v>
      </c>
      <c r="AD207" s="45"/>
      <c r="AE207" s="48">
        <v>0</v>
      </c>
      <c r="AF207" s="48"/>
      <c r="AG207" s="45">
        <v>3689575</v>
      </c>
      <c r="AH207" s="45"/>
      <c r="AI207" s="45">
        <v>7834281</v>
      </c>
      <c r="AJ207" s="45"/>
      <c r="AK207" s="45">
        <v>15595</v>
      </c>
      <c r="AL207" s="45"/>
      <c r="AM207" s="45">
        <f>+'Gen rev'!U208-'Gen exp'!AC207-AG207+'Gen rev'!W208+AI207+AK207-'Gen Bal'!S207-'Gen exp'!AE207</f>
        <v>0</v>
      </c>
      <c r="AN207" s="45"/>
      <c r="AO207" s="45"/>
      <c r="AP207" s="45"/>
      <c r="AQ207" s="45"/>
      <c r="AR207" s="52"/>
      <c r="AS207" s="50"/>
    </row>
    <row r="208" spans="1:45" s="49" customFormat="1" ht="12.75" customHeight="1">
      <c r="A208" s="28" t="s">
        <v>237</v>
      </c>
      <c r="C208" s="28" t="s">
        <v>33</v>
      </c>
      <c r="E208" s="45">
        <v>271697</v>
      </c>
      <c r="F208" s="45"/>
      <c r="G208" s="45">
        <v>1876</v>
      </c>
      <c r="H208" s="45"/>
      <c r="I208" s="45">
        <v>0</v>
      </c>
      <c r="J208" s="45"/>
      <c r="K208" s="45">
        <v>16197</v>
      </c>
      <c r="L208" s="45"/>
      <c r="M208" s="45">
        <v>0</v>
      </c>
      <c r="N208" s="45"/>
      <c r="O208" s="45">
        <v>0</v>
      </c>
      <c r="P208" s="45"/>
      <c r="Q208" s="45">
        <v>0</v>
      </c>
      <c r="R208" s="45"/>
      <c r="S208" s="45">
        <v>0</v>
      </c>
      <c r="T208" s="45"/>
      <c r="U208" s="45">
        <v>0</v>
      </c>
      <c r="V208" s="45"/>
      <c r="W208" s="45">
        <v>0</v>
      </c>
      <c r="X208" s="45"/>
      <c r="Y208" s="45">
        <v>0</v>
      </c>
      <c r="Z208" s="44"/>
      <c r="AA208" s="45">
        <v>0</v>
      </c>
      <c r="AB208" s="44"/>
      <c r="AC208" s="45">
        <f t="shared" si="7"/>
        <v>289770</v>
      </c>
      <c r="AD208" s="45"/>
      <c r="AE208" s="48">
        <v>0</v>
      </c>
      <c r="AF208" s="48"/>
      <c r="AG208" s="45">
        <v>988078</v>
      </c>
      <c r="AH208" s="45"/>
      <c r="AI208" s="45">
        <v>-53125</v>
      </c>
      <c r="AJ208" s="45"/>
      <c r="AK208" s="45">
        <v>0</v>
      </c>
      <c r="AL208" s="45"/>
      <c r="AM208" s="45">
        <f>+'Gen rev'!U209-'Gen exp'!AC208-AG208+'Gen rev'!W209+AI208+AK208-'Gen Bal'!S208-'Gen exp'!AE208</f>
        <v>0</v>
      </c>
      <c r="AN208" s="45"/>
      <c r="AO208" s="45"/>
      <c r="AP208" s="45"/>
      <c r="AQ208" s="45"/>
      <c r="AR208" s="52"/>
      <c r="AS208" s="50"/>
    </row>
    <row r="209" spans="1:45" s="49" customFormat="1" ht="12.75" customHeight="1">
      <c r="A209" s="28" t="s">
        <v>238</v>
      </c>
      <c r="C209" s="28" t="s">
        <v>239</v>
      </c>
      <c r="E209" s="45">
        <v>1021236</v>
      </c>
      <c r="F209" s="45"/>
      <c r="G209" s="45">
        <v>2653201</v>
      </c>
      <c r="H209" s="45"/>
      <c r="I209" s="45">
        <v>20194</v>
      </c>
      <c r="J209" s="45"/>
      <c r="K209" s="45">
        <v>20090</v>
      </c>
      <c r="L209" s="45"/>
      <c r="M209" s="45">
        <v>0</v>
      </c>
      <c r="N209" s="45"/>
      <c r="O209" s="45">
        <v>127326</v>
      </c>
      <c r="P209" s="45"/>
      <c r="Q209" s="45">
        <v>0</v>
      </c>
      <c r="R209" s="45"/>
      <c r="S209" s="45">
        <v>0</v>
      </c>
      <c r="T209" s="45"/>
      <c r="U209" s="45">
        <v>0</v>
      </c>
      <c r="V209" s="45"/>
      <c r="W209" s="45">
        <v>0</v>
      </c>
      <c r="X209" s="45"/>
      <c r="Y209" s="45">
        <v>0</v>
      </c>
      <c r="Z209" s="44"/>
      <c r="AA209" s="45">
        <v>0</v>
      </c>
      <c r="AB209" s="44"/>
      <c r="AC209" s="45">
        <f t="shared" si="7"/>
        <v>3842047</v>
      </c>
      <c r="AD209" s="45"/>
      <c r="AE209" s="48">
        <v>0</v>
      </c>
      <c r="AF209" s="48"/>
      <c r="AG209" s="45">
        <v>1110244</v>
      </c>
      <c r="AH209" s="45"/>
      <c r="AI209" s="45">
        <v>4521632</v>
      </c>
      <c r="AJ209" s="45"/>
      <c r="AK209" s="45">
        <v>7004</v>
      </c>
      <c r="AL209" s="45"/>
      <c r="AM209" s="45">
        <f>+'Gen rev'!U210-'Gen exp'!AC209-AG209+'Gen rev'!W210+AI209+AK209-'Gen Bal'!S209-'Gen exp'!AE209</f>
        <v>0</v>
      </c>
      <c r="AN209" s="45"/>
      <c r="AO209" s="45"/>
      <c r="AP209" s="45"/>
      <c r="AQ209" s="45"/>
      <c r="AR209" s="52"/>
      <c r="AS209" s="50"/>
    </row>
    <row r="210" spans="1:45" s="49" customFormat="1" ht="12.75" customHeight="1">
      <c r="A210" s="28" t="s">
        <v>486</v>
      </c>
      <c r="C210" s="28" t="s">
        <v>249</v>
      </c>
      <c r="E210" s="45">
        <v>2375597</v>
      </c>
      <c r="F210" s="45"/>
      <c r="G210" s="45">
        <v>6725875</v>
      </c>
      <c r="H210" s="45"/>
      <c r="I210" s="45">
        <v>126110</v>
      </c>
      <c r="J210" s="45"/>
      <c r="K210" s="45">
        <v>545808</v>
      </c>
      <c r="L210" s="45"/>
      <c r="M210" s="45">
        <v>891541</v>
      </c>
      <c r="N210" s="45"/>
      <c r="O210" s="45">
        <v>528096</v>
      </c>
      <c r="P210" s="45"/>
      <c r="Q210" s="45">
        <v>0</v>
      </c>
      <c r="R210" s="45"/>
      <c r="S210" s="45">
        <v>0</v>
      </c>
      <c r="T210" s="45"/>
      <c r="U210" s="45">
        <v>0</v>
      </c>
      <c r="V210" s="45"/>
      <c r="W210" s="45">
        <v>50588</v>
      </c>
      <c r="X210" s="45"/>
      <c r="Y210" s="45">
        <v>84985</v>
      </c>
      <c r="Z210" s="44"/>
      <c r="AA210" s="45">
        <v>0</v>
      </c>
      <c r="AB210" s="44"/>
      <c r="AC210" s="45">
        <f t="shared" si="7"/>
        <v>11328600</v>
      </c>
      <c r="AD210" s="45"/>
      <c r="AE210" s="48">
        <v>0</v>
      </c>
      <c r="AF210" s="48"/>
      <c r="AG210" s="45">
        <v>0</v>
      </c>
      <c r="AH210" s="45"/>
      <c r="AI210" s="45">
        <v>-519797</v>
      </c>
      <c r="AJ210" s="45"/>
      <c r="AK210" s="45">
        <v>0</v>
      </c>
      <c r="AL210" s="45"/>
      <c r="AM210" s="45">
        <f>+'Gen rev'!U211-'Gen exp'!AC210-AG210+'Gen rev'!W211+AI210+AK210-'Gen Bal'!S210-'Gen exp'!AE210</f>
        <v>0</v>
      </c>
      <c r="AN210" s="44"/>
      <c r="AO210" s="44"/>
      <c r="AP210" s="44"/>
      <c r="AQ210" s="44"/>
    </row>
    <row r="211" spans="1:45" s="49" customFormat="1" ht="12.75" customHeight="1">
      <c r="A211" s="28" t="s">
        <v>240</v>
      </c>
      <c r="C211" s="28" t="s">
        <v>13</v>
      </c>
      <c r="E211" s="45">
        <v>7887304</v>
      </c>
      <c r="F211" s="45"/>
      <c r="G211" s="45">
        <v>9631014</v>
      </c>
      <c r="H211" s="45"/>
      <c r="I211" s="45">
        <v>1100164</v>
      </c>
      <c r="J211" s="45"/>
      <c r="K211" s="45">
        <v>368408</v>
      </c>
      <c r="L211" s="45"/>
      <c r="M211" s="45">
        <v>580561</v>
      </c>
      <c r="N211" s="45"/>
      <c r="O211" s="45">
        <v>1592541</v>
      </c>
      <c r="P211" s="45"/>
      <c r="Q211" s="45">
        <v>0</v>
      </c>
      <c r="R211" s="45"/>
      <c r="S211" s="45">
        <v>0</v>
      </c>
      <c r="T211" s="45"/>
      <c r="U211" s="45">
        <v>0</v>
      </c>
      <c r="V211" s="45"/>
      <c r="W211" s="45">
        <v>0</v>
      </c>
      <c r="X211" s="45"/>
      <c r="Y211" s="45">
        <v>0</v>
      </c>
      <c r="Z211" s="44"/>
      <c r="AA211" s="45">
        <v>0</v>
      </c>
      <c r="AB211" s="44"/>
      <c r="AC211" s="45">
        <f t="shared" si="7"/>
        <v>21159992</v>
      </c>
      <c r="AD211" s="45"/>
      <c r="AE211" s="48">
        <v>0</v>
      </c>
      <c r="AF211" s="48"/>
      <c r="AG211" s="45">
        <v>566923</v>
      </c>
      <c r="AH211" s="45"/>
      <c r="AI211" s="45">
        <v>4462010</v>
      </c>
      <c r="AJ211" s="45"/>
      <c r="AK211" s="45">
        <v>0</v>
      </c>
      <c r="AL211" s="45"/>
      <c r="AM211" s="45">
        <f>+'Gen rev'!U212-'Gen exp'!AC211-AG211+'Gen rev'!W212+AI211+AK211-'Gen Bal'!S211-'Gen exp'!AE211</f>
        <v>0</v>
      </c>
      <c r="AN211" s="44"/>
      <c r="AO211" s="44"/>
      <c r="AP211" s="44"/>
      <c r="AQ211" s="44"/>
    </row>
    <row r="212" spans="1:45" s="49" customFormat="1" ht="12.75" customHeight="1">
      <c r="A212" s="28" t="s">
        <v>241</v>
      </c>
      <c r="C212" s="28" t="s">
        <v>22</v>
      </c>
      <c r="E212" s="45">
        <v>2400589</v>
      </c>
      <c r="F212" s="45"/>
      <c r="G212" s="45">
        <v>5781006</v>
      </c>
      <c r="H212" s="45"/>
      <c r="I212" s="45">
        <v>629224</v>
      </c>
      <c r="J212" s="45"/>
      <c r="K212" s="45">
        <v>0</v>
      </c>
      <c r="L212" s="45"/>
      <c r="M212" s="45">
        <v>0</v>
      </c>
      <c r="N212" s="45"/>
      <c r="O212" s="45">
        <v>441235</v>
      </c>
      <c r="P212" s="45"/>
      <c r="Q212" s="45">
        <v>793323</v>
      </c>
      <c r="R212" s="45"/>
      <c r="S212" s="45">
        <v>0</v>
      </c>
      <c r="T212" s="45"/>
      <c r="U212" s="45">
        <v>0</v>
      </c>
      <c r="V212" s="45"/>
      <c r="W212" s="45">
        <v>0</v>
      </c>
      <c r="X212" s="45"/>
      <c r="Y212" s="45">
        <v>0</v>
      </c>
      <c r="Z212" s="44"/>
      <c r="AA212" s="45">
        <v>0</v>
      </c>
      <c r="AB212" s="44"/>
      <c r="AC212" s="45">
        <f t="shared" si="7"/>
        <v>10045377</v>
      </c>
      <c r="AD212" s="45"/>
      <c r="AE212" s="48">
        <v>0</v>
      </c>
      <c r="AF212" s="48"/>
      <c r="AG212" s="45">
        <v>234350</v>
      </c>
      <c r="AH212" s="45"/>
      <c r="AI212" s="45">
        <v>1805940</v>
      </c>
      <c r="AJ212" s="45"/>
      <c r="AK212" s="45">
        <v>0</v>
      </c>
      <c r="AL212" s="45"/>
      <c r="AM212" s="45">
        <f>+'Gen rev'!U213-'Gen exp'!AC212-AG212+'Gen rev'!W213+AI212+AK212-'Gen Bal'!S212-'Gen exp'!AE212</f>
        <v>0</v>
      </c>
      <c r="AN212" s="45"/>
      <c r="AO212" s="45"/>
      <c r="AP212" s="45"/>
      <c r="AQ212" s="45"/>
      <c r="AR212" s="52"/>
      <c r="AS212" s="50"/>
    </row>
    <row r="213" spans="1:45" s="49" customFormat="1" ht="12.75" customHeight="1">
      <c r="A213" s="28" t="s">
        <v>242</v>
      </c>
      <c r="C213" s="28" t="s">
        <v>27</v>
      </c>
      <c r="E213" s="45">
        <v>5927884</v>
      </c>
      <c r="F213" s="45"/>
      <c r="G213" s="45">
        <v>9810775</v>
      </c>
      <c r="H213" s="45"/>
      <c r="I213" s="45">
        <v>1112484</v>
      </c>
      <c r="J213" s="45"/>
      <c r="K213" s="45">
        <v>284774</v>
      </c>
      <c r="L213" s="45"/>
      <c r="M213" s="45">
        <v>0</v>
      </c>
      <c r="N213" s="45"/>
      <c r="O213" s="45">
        <v>290950</v>
      </c>
      <c r="P213" s="45"/>
      <c r="Q213" s="45">
        <v>2547844</v>
      </c>
      <c r="R213" s="45"/>
      <c r="S213" s="45">
        <v>433199</v>
      </c>
      <c r="T213" s="45"/>
      <c r="U213" s="45">
        <v>0</v>
      </c>
      <c r="V213" s="45"/>
      <c r="W213" s="45">
        <v>0</v>
      </c>
      <c r="X213" s="45"/>
      <c r="Y213" s="45">
        <v>0</v>
      </c>
      <c r="Z213" s="44"/>
      <c r="AA213" s="45">
        <v>0</v>
      </c>
      <c r="AB213" s="44"/>
      <c r="AC213" s="45">
        <f t="shared" si="7"/>
        <v>20407910</v>
      </c>
      <c r="AD213" s="45"/>
      <c r="AE213" s="48">
        <v>0</v>
      </c>
      <c r="AF213" s="48"/>
      <c r="AG213" s="45">
        <v>9350250</v>
      </c>
      <c r="AH213" s="45"/>
      <c r="AI213" s="45">
        <v>11504354</v>
      </c>
      <c r="AJ213" s="45"/>
      <c r="AK213" s="45">
        <v>0</v>
      </c>
      <c r="AL213" s="45"/>
      <c r="AM213" s="45">
        <f>+'Gen rev'!U214-'Gen exp'!AC213-AG213+'Gen rev'!W214+AI213+AK213-'Gen Bal'!S213-'Gen exp'!AE213</f>
        <v>0</v>
      </c>
      <c r="AN213" s="44"/>
      <c r="AO213" s="44"/>
      <c r="AP213" s="44"/>
      <c r="AQ213" s="44"/>
    </row>
    <row r="214" spans="1:45" s="49" customFormat="1" ht="12.75" customHeight="1">
      <c r="A214" s="28" t="s">
        <v>243</v>
      </c>
      <c r="C214" s="28" t="s">
        <v>163</v>
      </c>
      <c r="E214" s="45">
        <v>3811259</v>
      </c>
      <c r="F214" s="45"/>
      <c r="G214" s="45">
        <v>4900997</v>
      </c>
      <c r="H214" s="45"/>
      <c r="I214" s="45">
        <v>459133</v>
      </c>
      <c r="J214" s="45"/>
      <c r="K214" s="45">
        <v>220397</v>
      </c>
      <c r="L214" s="45"/>
      <c r="M214" s="45">
        <v>292313</v>
      </c>
      <c r="N214" s="45"/>
      <c r="O214" s="45">
        <v>833821</v>
      </c>
      <c r="P214" s="45"/>
      <c r="Q214" s="45">
        <v>703693</v>
      </c>
      <c r="R214" s="45"/>
      <c r="S214" s="45">
        <v>0</v>
      </c>
      <c r="T214" s="45"/>
      <c r="U214" s="45">
        <v>0</v>
      </c>
      <c r="V214" s="45"/>
      <c r="W214" s="45">
        <v>0</v>
      </c>
      <c r="X214" s="45"/>
      <c r="Y214" s="45">
        <v>0</v>
      </c>
      <c r="Z214" s="44"/>
      <c r="AA214" s="45">
        <v>0</v>
      </c>
      <c r="AB214" s="44"/>
      <c r="AC214" s="45">
        <f t="shared" si="7"/>
        <v>11221613</v>
      </c>
      <c r="AD214" s="45"/>
      <c r="AE214" s="48">
        <v>0</v>
      </c>
      <c r="AF214" s="48"/>
      <c r="AG214" s="45">
        <v>1036411</v>
      </c>
      <c r="AH214" s="45"/>
      <c r="AI214" s="45">
        <v>1451216</v>
      </c>
      <c r="AJ214" s="45"/>
      <c r="AK214" s="45">
        <v>17271</v>
      </c>
      <c r="AL214" s="45"/>
      <c r="AM214" s="45">
        <f>+'Gen rev'!U215-'Gen exp'!AC214-AG214+'Gen rev'!W215+AI214+AK214-'Gen Bal'!S214-'Gen exp'!AE214</f>
        <v>0</v>
      </c>
      <c r="AN214" s="44"/>
      <c r="AO214" s="44"/>
      <c r="AP214" s="44"/>
      <c r="AQ214" s="44"/>
    </row>
    <row r="215" spans="1:45" s="49" customFormat="1" ht="12.75" customHeight="1">
      <c r="A215" s="28" t="s">
        <v>244</v>
      </c>
      <c r="C215" s="28" t="s">
        <v>13</v>
      </c>
      <c r="E215" s="45">
        <v>2995338</v>
      </c>
      <c r="F215" s="45"/>
      <c r="G215" s="45">
        <f>3327196+33874</f>
        <v>3361070</v>
      </c>
      <c r="H215" s="45"/>
      <c r="I215" s="45">
        <v>307770</v>
      </c>
      <c r="J215" s="45"/>
      <c r="K215" s="45">
        <v>0</v>
      </c>
      <c r="L215" s="45"/>
      <c r="M215" s="45">
        <v>223425</v>
      </c>
      <c r="N215" s="45"/>
      <c r="O215" s="45">
        <v>1454787</v>
      </c>
      <c r="P215" s="45"/>
      <c r="Q215" s="45">
        <v>0</v>
      </c>
      <c r="R215" s="45"/>
      <c r="S215" s="45">
        <v>0</v>
      </c>
      <c r="T215" s="45"/>
      <c r="U215" s="45">
        <v>0</v>
      </c>
      <c r="V215" s="45"/>
      <c r="W215" s="45">
        <v>0</v>
      </c>
      <c r="X215" s="45"/>
      <c r="Y215" s="45">
        <v>0</v>
      </c>
      <c r="Z215" s="44"/>
      <c r="AA215" s="45">
        <v>0</v>
      </c>
      <c r="AB215" s="44"/>
      <c r="AC215" s="45">
        <f t="shared" si="7"/>
        <v>8342390</v>
      </c>
      <c r="AD215" s="45"/>
      <c r="AE215" s="48">
        <v>0</v>
      </c>
      <c r="AF215" s="48"/>
      <c r="AG215" s="45">
        <v>2837512</v>
      </c>
      <c r="AH215" s="45"/>
      <c r="AI215" s="45">
        <v>3479405</v>
      </c>
      <c r="AJ215" s="45"/>
      <c r="AK215" s="45">
        <v>0</v>
      </c>
      <c r="AL215" s="45"/>
      <c r="AM215" s="45">
        <f>+'Gen rev'!U216-'Gen exp'!AC215-AG215+'Gen rev'!W216+AI215+AK215-'Gen Bal'!S216-'Gen exp'!AE215</f>
        <v>0</v>
      </c>
      <c r="AN215" s="45"/>
      <c r="AO215" s="45"/>
      <c r="AP215" s="45"/>
      <c r="AQ215" s="45"/>
      <c r="AR215" s="52"/>
      <c r="AS215" s="50"/>
    </row>
    <row r="216" spans="1:45" s="46" customFormat="1" ht="12.75" customHeight="1">
      <c r="A216" s="28" t="s">
        <v>341</v>
      </c>
      <c r="B216" s="49"/>
      <c r="C216" s="28" t="s">
        <v>110</v>
      </c>
      <c r="D216" s="49"/>
      <c r="E216" s="45">
        <v>2410363</v>
      </c>
      <c r="F216" s="45"/>
      <c r="G216" s="45">
        <v>6218947</v>
      </c>
      <c r="H216" s="45"/>
      <c r="I216" s="45">
        <v>186132</v>
      </c>
      <c r="J216" s="45"/>
      <c r="K216" s="45">
        <v>0</v>
      </c>
      <c r="L216" s="45"/>
      <c r="M216" s="45">
        <v>0</v>
      </c>
      <c r="N216" s="45"/>
      <c r="O216" s="45">
        <v>0</v>
      </c>
      <c r="P216" s="45"/>
      <c r="Q216" s="45">
        <v>0</v>
      </c>
      <c r="R216" s="45"/>
      <c r="S216" s="45">
        <v>0</v>
      </c>
      <c r="T216" s="45"/>
      <c r="U216" s="45">
        <v>0</v>
      </c>
      <c r="V216" s="45"/>
      <c r="W216" s="45">
        <v>28288</v>
      </c>
      <c r="X216" s="45"/>
      <c r="Y216" s="45">
        <v>3517</v>
      </c>
      <c r="Z216" s="44"/>
      <c r="AA216" s="45">
        <v>0</v>
      </c>
      <c r="AB216" s="44"/>
      <c r="AC216" s="45">
        <f t="shared" si="7"/>
        <v>8847247</v>
      </c>
      <c r="AD216" s="45"/>
      <c r="AE216" s="48">
        <v>0</v>
      </c>
      <c r="AF216" s="48"/>
      <c r="AG216" s="45">
        <v>1046603</v>
      </c>
      <c r="AH216" s="45"/>
      <c r="AI216" s="45">
        <v>1038287</v>
      </c>
      <c r="AJ216" s="45"/>
      <c r="AK216" s="45">
        <v>-1101</v>
      </c>
      <c r="AL216" s="45"/>
      <c r="AM216" s="45">
        <f>+'Gen rev'!U217-'Gen exp'!AC216-AG216+'Gen rev'!W217+AI216+AK216-'Gen Bal'!S217-'Gen exp'!AE216</f>
        <v>0</v>
      </c>
      <c r="AN216" s="94"/>
      <c r="AO216" s="94"/>
      <c r="AP216" s="94"/>
      <c r="AQ216" s="94"/>
      <c r="AR216" s="90"/>
      <c r="AS216" s="64"/>
    </row>
    <row r="217" spans="1:45" s="49" customFormat="1" ht="12.75" customHeight="1">
      <c r="A217" s="28" t="s">
        <v>246</v>
      </c>
      <c r="C217" s="28" t="s">
        <v>209</v>
      </c>
      <c r="E217" s="45">
        <v>1421622</v>
      </c>
      <c r="F217" s="45"/>
      <c r="G217" s="45">
        <v>3048107</v>
      </c>
      <c r="H217" s="45"/>
      <c r="I217" s="45">
        <v>252874</v>
      </c>
      <c r="J217" s="45"/>
      <c r="K217" s="45">
        <v>0</v>
      </c>
      <c r="L217" s="45"/>
      <c r="M217" s="45">
        <v>0</v>
      </c>
      <c r="N217" s="45"/>
      <c r="O217" s="45">
        <v>383973</v>
      </c>
      <c r="P217" s="45"/>
      <c r="Q217" s="45">
        <v>229294</v>
      </c>
      <c r="R217" s="45"/>
      <c r="S217" s="45">
        <v>20415</v>
      </c>
      <c r="T217" s="45"/>
      <c r="U217" s="45">
        <v>0</v>
      </c>
      <c r="V217" s="45"/>
      <c r="W217" s="45">
        <v>6665</v>
      </c>
      <c r="X217" s="45"/>
      <c r="Y217" s="45">
        <v>91</v>
      </c>
      <c r="Z217" s="44"/>
      <c r="AA217" s="45">
        <v>0</v>
      </c>
      <c r="AB217" s="44"/>
      <c r="AC217" s="45">
        <f t="shared" si="7"/>
        <v>5363041</v>
      </c>
      <c r="AD217" s="45"/>
      <c r="AE217" s="48">
        <v>0</v>
      </c>
      <c r="AF217" s="48"/>
      <c r="AG217" s="45">
        <v>257000</v>
      </c>
      <c r="AH217" s="45"/>
      <c r="AI217" s="45">
        <v>4003954</v>
      </c>
      <c r="AJ217" s="45"/>
      <c r="AK217" s="45">
        <v>12212</v>
      </c>
      <c r="AL217" s="45"/>
      <c r="AM217" s="45">
        <f>+'Gen rev'!U218-'Gen exp'!AC217-AG217+'Gen rev'!W218+AI217+AK217-'Gen Bal'!S218-'Gen exp'!AE217</f>
        <v>0</v>
      </c>
      <c r="AN217" s="35"/>
      <c r="AO217" s="35"/>
      <c r="AP217" s="35"/>
      <c r="AQ217" s="35"/>
      <c r="AR217" s="50"/>
      <c r="AS217" s="50"/>
    </row>
    <row r="218" spans="1:45" s="49" customFormat="1" ht="12.75" customHeight="1">
      <c r="A218" s="28" t="s">
        <v>247</v>
      </c>
      <c r="C218" s="28" t="s">
        <v>163</v>
      </c>
      <c r="E218" s="45">
        <v>15092000</v>
      </c>
      <c r="F218" s="45"/>
      <c r="G218" s="45">
        <v>153359000</v>
      </c>
      <c r="H218" s="45"/>
      <c r="I218" s="45">
        <v>3929000</v>
      </c>
      <c r="J218" s="45"/>
      <c r="K218" s="45">
        <v>10971000</v>
      </c>
      <c r="L218" s="45"/>
      <c r="M218" s="45">
        <v>1510000</v>
      </c>
      <c r="N218" s="45"/>
      <c r="O218" s="45">
        <v>2100000</v>
      </c>
      <c r="P218" s="45"/>
      <c r="Q218" s="45">
        <v>0</v>
      </c>
      <c r="R218" s="45"/>
      <c r="S218" s="45">
        <v>2331000</v>
      </c>
      <c r="T218" s="45"/>
      <c r="U218" s="45">
        <v>0</v>
      </c>
      <c r="V218" s="45"/>
      <c r="W218" s="45">
        <v>1615000</v>
      </c>
      <c r="X218" s="45"/>
      <c r="Y218" s="45">
        <v>708000</v>
      </c>
      <c r="Z218" s="44"/>
      <c r="AA218" s="45">
        <v>0</v>
      </c>
      <c r="AB218" s="44"/>
      <c r="AC218" s="45">
        <f t="shared" si="7"/>
        <v>191615000</v>
      </c>
      <c r="AD218" s="45"/>
      <c r="AE218" s="48">
        <v>0</v>
      </c>
      <c r="AF218" s="48"/>
      <c r="AG218" s="45">
        <v>32548000</v>
      </c>
      <c r="AH218" s="45"/>
      <c r="AI218" s="45">
        <v>-8020000</v>
      </c>
      <c r="AJ218" s="45"/>
      <c r="AK218" s="45">
        <v>33000</v>
      </c>
      <c r="AL218" s="45"/>
      <c r="AM218" s="45">
        <f>+'Gen rev'!U219-'Gen exp'!AC218-AG218+'Gen rev'!W219+AI218+AK218-'Gen Bal'!S219-'Gen exp'!AE218</f>
        <v>0</v>
      </c>
      <c r="AN218" s="44"/>
      <c r="AO218" s="44">
        <f>+AN218-AC218</f>
        <v>-191615000</v>
      </c>
      <c r="AP218" s="44"/>
      <c r="AQ218" s="44"/>
    </row>
    <row r="219" spans="1:45" s="49" customFormat="1" ht="12.75" customHeight="1">
      <c r="A219" s="28" t="s">
        <v>248</v>
      </c>
      <c r="C219" s="28" t="s">
        <v>249</v>
      </c>
      <c r="E219" s="45">
        <v>489852</v>
      </c>
      <c r="F219" s="45"/>
      <c r="G219" s="45">
        <v>1370536</v>
      </c>
      <c r="H219" s="45"/>
      <c r="I219" s="45">
        <v>0</v>
      </c>
      <c r="J219" s="45"/>
      <c r="K219" s="45">
        <v>23069</v>
      </c>
      <c r="L219" s="45"/>
      <c r="M219" s="45">
        <v>53204</v>
      </c>
      <c r="N219" s="45"/>
      <c r="O219" s="45">
        <v>6000</v>
      </c>
      <c r="P219" s="45"/>
      <c r="Q219" s="45">
        <v>0</v>
      </c>
      <c r="R219" s="45"/>
      <c r="S219" s="45">
        <v>152882</v>
      </c>
      <c r="T219" s="45"/>
      <c r="U219" s="45">
        <v>0</v>
      </c>
      <c r="V219" s="45"/>
      <c r="W219" s="45">
        <v>45501</v>
      </c>
      <c r="X219" s="45"/>
      <c r="Y219" s="45">
        <v>9185</v>
      </c>
      <c r="Z219" s="44"/>
      <c r="AA219" s="45">
        <v>0</v>
      </c>
      <c r="AB219" s="44"/>
      <c r="AC219" s="45">
        <f t="shared" si="7"/>
        <v>2150229</v>
      </c>
      <c r="AD219" s="45"/>
      <c r="AE219" s="48">
        <v>0</v>
      </c>
      <c r="AF219" s="48"/>
      <c r="AG219" s="45">
        <v>870000</v>
      </c>
      <c r="AH219" s="45"/>
      <c r="AI219" s="45">
        <v>833447</v>
      </c>
      <c r="AJ219" s="45"/>
      <c r="AK219" s="45">
        <v>0</v>
      </c>
      <c r="AL219" s="45"/>
      <c r="AM219" s="45">
        <f>+'Gen rev'!U220-'Gen exp'!AC219-AG219+'Gen rev'!W220+AI219+AK219-'Gen Bal'!S220-'Gen exp'!AE219</f>
        <v>0</v>
      </c>
      <c r="AN219" s="44"/>
      <c r="AO219" s="44">
        <f>+AN219-AG218</f>
        <v>-32548000</v>
      </c>
      <c r="AP219" s="44"/>
      <c r="AQ219" s="44"/>
    </row>
    <row r="220" spans="1:45" s="49" customFormat="1" ht="12.75" customHeight="1">
      <c r="A220" s="28" t="s">
        <v>250</v>
      </c>
      <c r="C220" s="28" t="s">
        <v>103</v>
      </c>
      <c r="E220" s="45">
        <v>357672</v>
      </c>
      <c r="F220" s="45"/>
      <c r="G220" s="45">
        <v>2042750</v>
      </c>
      <c r="H220" s="45"/>
      <c r="I220" s="45">
        <v>181675</v>
      </c>
      <c r="J220" s="45"/>
      <c r="K220" s="45">
        <v>57094</v>
      </c>
      <c r="L220" s="45"/>
      <c r="M220" s="45">
        <v>0</v>
      </c>
      <c r="N220" s="45"/>
      <c r="O220" s="45">
        <v>0</v>
      </c>
      <c r="P220" s="45"/>
      <c r="Q220" s="45">
        <v>51814</v>
      </c>
      <c r="R220" s="45"/>
      <c r="S220" s="45">
        <v>0</v>
      </c>
      <c r="T220" s="45"/>
      <c r="U220" s="45">
        <v>0</v>
      </c>
      <c r="V220" s="45"/>
      <c r="W220" s="45">
        <v>0</v>
      </c>
      <c r="X220" s="45"/>
      <c r="Y220" s="45">
        <v>0</v>
      </c>
      <c r="Z220" s="44"/>
      <c r="AA220" s="45">
        <v>0</v>
      </c>
      <c r="AB220" s="44"/>
      <c r="AC220" s="45">
        <f t="shared" si="7"/>
        <v>2691005</v>
      </c>
      <c r="AD220" s="45"/>
      <c r="AE220" s="48">
        <v>0</v>
      </c>
      <c r="AF220" s="48"/>
      <c r="AG220" s="45">
        <v>437445</v>
      </c>
      <c r="AH220" s="45"/>
      <c r="AI220" s="45">
        <v>2144609</v>
      </c>
      <c r="AJ220" s="45"/>
      <c r="AK220" s="45">
        <v>0</v>
      </c>
      <c r="AL220" s="45"/>
      <c r="AM220" s="45">
        <f>+'Gen rev'!U221-'Gen exp'!AC220-AG220+'Gen rev'!W221+AI220+AK220-'Gen Bal'!S221-'Gen exp'!AE220</f>
        <v>0</v>
      </c>
      <c r="AN220" s="48"/>
      <c r="AO220" s="48"/>
      <c r="AP220" s="48"/>
      <c r="AQ220" s="48"/>
      <c r="AR220" s="52"/>
      <c r="AS220" s="50"/>
    </row>
    <row r="221" spans="1:45" s="129" customFormat="1" ht="12.75" hidden="1" customHeight="1">
      <c r="A221" s="151" t="s">
        <v>251</v>
      </c>
      <c r="C221" s="151" t="s">
        <v>66</v>
      </c>
      <c r="E221" s="127">
        <v>0</v>
      </c>
      <c r="F221" s="127"/>
      <c r="G221" s="127">
        <v>0</v>
      </c>
      <c r="H221" s="127"/>
      <c r="I221" s="127">
        <v>0</v>
      </c>
      <c r="J221" s="127"/>
      <c r="K221" s="127">
        <v>0</v>
      </c>
      <c r="L221" s="127"/>
      <c r="M221" s="127">
        <v>0</v>
      </c>
      <c r="N221" s="127"/>
      <c r="O221" s="127">
        <v>0</v>
      </c>
      <c r="P221" s="127"/>
      <c r="Q221" s="127">
        <v>0</v>
      </c>
      <c r="R221" s="127"/>
      <c r="S221" s="127">
        <v>0</v>
      </c>
      <c r="T221" s="127"/>
      <c r="U221" s="127">
        <v>0</v>
      </c>
      <c r="V221" s="127"/>
      <c r="W221" s="127">
        <v>0</v>
      </c>
      <c r="X221" s="127"/>
      <c r="Y221" s="127">
        <v>0</v>
      </c>
      <c r="Z221" s="121"/>
      <c r="AA221" s="127">
        <v>0</v>
      </c>
      <c r="AB221" s="121"/>
      <c r="AC221" s="127">
        <f t="shared" si="7"/>
        <v>0</v>
      </c>
      <c r="AD221" s="127"/>
      <c r="AE221" s="130">
        <v>0</v>
      </c>
      <c r="AF221" s="130"/>
      <c r="AG221" s="127">
        <v>0</v>
      </c>
      <c r="AH221" s="127"/>
      <c r="AI221" s="127">
        <v>0</v>
      </c>
      <c r="AJ221" s="127"/>
      <c r="AK221" s="127">
        <v>0</v>
      </c>
      <c r="AL221" s="127"/>
      <c r="AM221" s="127">
        <f>+'Gen rev'!U222-'Gen exp'!AC221-AG221+'Gen rev'!W222+AI221+AK221-'Gen Bal'!S222-'Gen exp'!AE221</f>
        <v>0</v>
      </c>
      <c r="AN221" s="127"/>
      <c r="AO221" s="127"/>
      <c r="AP221" s="127"/>
      <c r="AQ221" s="127"/>
      <c r="AR221" s="132"/>
      <c r="AS221" s="133"/>
    </row>
    <row r="222" spans="1:45" s="49" customFormat="1" ht="12.75" customHeight="1">
      <c r="A222" s="64" t="s">
        <v>252</v>
      </c>
      <c r="B222" s="46"/>
      <c r="C222" s="64" t="s">
        <v>209</v>
      </c>
      <c r="D222" s="46"/>
      <c r="E222" s="45">
        <v>3984159</v>
      </c>
      <c r="F222" s="45"/>
      <c r="G222" s="45">
        <v>9478312</v>
      </c>
      <c r="H222" s="45"/>
      <c r="I222" s="45">
        <v>821025</v>
      </c>
      <c r="J222" s="45"/>
      <c r="K222" s="45">
        <v>0</v>
      </c>
      <c r="L222" s="45"/>
      <c r="M222" s="45">
        <v>0</v>
      </c>
      <c r="N222" s="45"/>
      <c r="O222" s="45">
        <v>1284742</v>
      </c>
      <c r="P222" s="45"/>
      <c r="Q222" s="45">
        <v>1021525</v>
      </c>
      <c r="R222" s="45"/>
      <c r="S222" s="45">
        <v>0</v>
      </c>
      <c r="T222" s="45"/>
      <c r="U222" s="45">
        <v>0</v>
      </c>
      <c r="V222" s="45"/>
      <c r="W222" s="45">
        <v>0</v>
      </c>
      <c r="X222" s="45"/>
      <c r="Y222" s="45">
        <v>0</v>
      </c>
      <c r="Z222" s="44"/>
      <c r="AA222" s="45">
        <v>0</v>
      </c>
      <c r="AB222" s="44"/>
      <c r="AC222" s="45">
        <f t="shared" si="7"/>
        <v>16589763</v>
      </c>
      <c r="AD222" s="45"/>
      <c r="AE222" s="48">
        <v>0</v>
      </c>
      <c r="AF222" s="48"/>
      <c r="AG222" s="45">
        <v>3117000</v>
      </c>
      <c r="AH222" s="45"/>
      <c r="AI222" s="45">
        <v>42485258</v>
      </c>
      <c r="AJ222" s="45"/>
      <c r="AK222" s="45">
        <v>0</v>
      </c>
      <c r="AL222" s="45"/>
      <c r="AM222" s="45">
        <f>+'Gen rev'!U223-'Gen exp'!AC222-AG222+'Gen rev'!W223+AI222+AK222-'Gen Bal'!S223-'Gen exp'!AE222</f>
        <v>0</v>
      </c>
      <c r="AN222" s="45"/>
      <c r="AO222" s="45"/>
      <c r="AP222" s="45"/>
      <c r="AQ222" s="45"/>
      <c r="AR222" s="52"/>
      <c r="AS222" s="50"/>
    </row>
    <row r="223" spans="1:45" s="49" customFormat="1" ht="12.75" customHeight="1">
      <c r="A223" s="28" t="s">
        <v>253</v>
      </c>
      <c r="C223" s="28" t="s">
        <v>13</v>
      </c>
      <c r="E223" s="45">
        <v>4410149</v>
      </c>
      <c r="F223" s="45"/>
      <c r="G223" s="45">
        <v>5781329</v>
      </c>
      <c r="H223" s="45"/>
      <c r="I223" s="45">
        <v>1130987</v>
      </c>
      <c r="J223" s="45"/>
      <c r="K223" s="45">
        <v>0</v>
      </c>
      <c r="L223" s="45"/>
      <c r="M223" s="45">
        <v>3567817</v>
      </c>
      <c r="N223" s="45"/>
      <c r="O223" s="45">
        <v>2029336</v>
      </c>
      <c r="P223" s="45"/>
      <c r="Q223" s="45">
        <v>129996</v>
      </c>
      <c r="R223" s="45"/>
      <c r="S223" s="45">
        <v>0</v>
      </c>
      <c r="T223" s="45"/>
      <c r="U223" s="45">
        <v>0</v>
      </c>
      <c r="V223" s="45"/>
      <c r="W223" s="45">
        <v>0</v>
      </c>
      <c r="X223" s="45"/>
      <c r="Y223" s="45">
        <v>0</v>
      </c>
      <c r="Z223" s="44"/>
      <c r="AA223" s="45">
        <v>0</v>
      </c>
      <c r="AB223" s="44"/>
      <c r="AC223" s="45">
        <f t="shared" si="7"/>
        <v>17049614</v>
      </c>
      <c r="AD223" s="45"/>
      <c r="AE223" s="48">
        <v>0</v>
      </c>
      <c r="AF223" s="48"/>
      <c r="AG223" s="45">
        <v>964648</v>
      </c>
      <c r="AH223" s="45"/>
      <c r="AI223" s="45">
        <v>8794040</v>
      </c>
      <c r="AJ223" s="45"/>
      <c r="AK223" s="45">
        <v>0</v>
      </c>
      <c r="AL223" s="45"/>
      <c r="AM223" s="45">
        <f>+'Gen rev'!U224-'Gen exp'!AC223-AG223+'Gen rev'!W224+AI223+AK223-'Gen Bal'!S224-'Gen exp'!AE223</f>
        <v>0</v>
      </c>
      <c r="AN223" s="45"/>
      <c r="AO223" s="45"/>
      <c r="AP223" s="45"/>
      <c r="AQ223" s="45"/>
      <c r="AR223" s="52"/>
      <c r="AS223" s="50"/>
    </row>
    <row r="224" spans="1:45" s="49" customFormat="1" ht="12.75" customHeight="1">
      <c r="A224" s="28" t="s">
        <v>254</v>
      </c>
      <c r="C224" s="28" t="s">
        <v>89</v>
      </c>
      <c r="E224" s="45">
        <v>600018</v>
      </c>
      <c r="F224" s="45"/>
      <c r="G224" s="45">
        <v>1176221</v>
      </c>
      <c r="H224" s="45"/>
      <c r="I224" s="45">
        <v>0</v>
      </c>
      <c r="J224" s="45"/>
      <c r="K224" s="45">
        <v>1036</v>
      </c>
      <c r="L224" s="45"/>
      <c r="M224" s="45">
        <v>0</v>
      </c>
      <c r="N224" s="45"/>
      <c r="O224" s="45">
        <v>0</v>
      </c>
      <c r="P224" s="45"/>
      <c r="Q224" s="45">
        <v>0</v>
      </c>
      <c r="R224" s="45"/>
      <c r="S224" s="45">
        <v>0</v>
      </c>
      <c r="T224" s="45"/>
      <c r="U224" s="45">
        <v>0</v>
      </c>
      <c r="V224" s="45"/>
      <c r="W224" s="45">
        <v>0</v>
      </c>
      <c r="X224" s="45"/>
      <c r="Y224" s="45">
        <v>0</v>
      </c>
      <c r="Z224" s="44"/>
      <c r="AA224" s="45">
        <v>0</v>
      </c>
      <c r="AB224" s="44"/>
      <c r="AC224" s="45">
        <f t="shared" si="7"/>
        <v>1777275</v>
      </c>
      <c r="AD224" s="45"/>
      <c r="AE224" s="48">
        <v>0</v>
      </c>
      <c r="AF224" s="48"/>
      <c r="AG224" s="45">
        <v>191488</v>
      </c>
      <c r="AH224" s="45"/>
      <c r="AI224" s="45">
        <v>965729</v>
      </c>
      <c r="AJ224" s="45"/>
      <c r="AK224" s="45">
        <v>0</v>
      </c>
      <c r="AL224" s="45"/>
      <c r="AM224" s="45">
        <f>+'Gen rev'!U225-'Gen exp'!AC224-AG224+'Gen rev'!W225+AI224+AK224-'Gen Bal'!S225-'Gen exp'!AE224</f>
        <v>0</v>
      </c>
      <c r="AN224" s="45"/>
      <c r="AO224" s="45"/>
      <c r="AP224" s="45"/>
      <c r="AQ224" s="45"/>
      <c r="AR224" s="52"/>
      <c r="AS224" s="50"/>
    </row>
    <row r="225" spans="1:45" s="49" customFormat="1" ht="12.75" customHeight="1">
      <c r="A225" s="28" t="s">
        <v>159</v>
      </c>
      <c r="C225" s="28" t="s">
        <v>66</v>
      </c>
      <c r="E225" s="45">
        <v>769919</v>
      </c>
      <c r="F225" s="45"/>
      <c r="G225" s="45">
        <v>0</v>
      </c>
      <c r="H225" s="45"/>
      <c r="I225" s="45">
        <v>0</v>
      </c>
      <c r="J225" s="45"/>
      <c r="K225" s="45">
        <v>0</v>
      </c>
      <c r="L225" s="45"/>
      <c r="M225" s="45">
        <v>0</v>
      </c>
      <c r="N225" s="45"/>
      <c r="O225" s="45">
        <v>0</v>
      </c>
      <c r="P225" s="45"/>
      <c r="Q225" s="45">
        <v>0</v>
      </c>
      <c r="R225" s="45"/>
      <c r="S225" s="45">
        <v>134112</v>
      </c>
      <c r="T225" s="45"/>
      <c r="U225" s="45">
        <v>0</v>
      </c>
      <c r="V225" s="45"/>
      <c r="W225" s="45">
        <v>20100</v>
      </c>
      <c r="X225" s="45"/>
      <c r="Y225" s="45">
        <v>3467</v>
      </c>
      <c r="Z225" s="44"/>
      <c r="AA225" s="45">
        <v>0</v>
      </c>
      <c r="AB225" s="44"/>
      <c r="AC225" s="45">
        <f t="shared" si="7"/>
        <v>927598</v>
      </c>
      <c r="AD225" s="45"/>
      <c r="AE225" s="48">
        <v>0</v>
      </c>
      <c r="AF225" s="48"/>
      <c r="AG225" s="45">
        <v>122439</v>
      </c>
      <c r="AH225" s="45"/>
      <c r="AI225" s="45">
        <v>525275</v>
      </c>
      <c r="AJ225" s="45"/>
      <c r="AK225" s="45">
        <v>0</v>
      </c>
      <c r="AL225" s="45"/>
      <c r="AM225" s="45">
        <f>+'Gen rev'!U226-'Gen exp'!AC225-AG225+'Gen rev'!W226+AI225+AK225-'Gen Bal'!S226-'Gen exp'!AE225</f>
        <v>0</v>
      </c>
      <c r="AN225" s="45"/>
      <c r="AO225" s="45"/>
      <c r="AP225" s="45"/>
      <c r="AQ225" s="45"/>
      <c r="AR225" s="52"/>
      <c r="AS225" s="50"/>
    </row>
    <row r="226" spans="1:45" s="49" customFormat="1" ht="12.75" customHeight="1">
      <c r="A226" s="28" t="s">
        <v>255</v>
      </c>
      <c r="C226" s="28" t="s">
        <v>27</v>
      </c>
      <c r="E226" s="45">
        <v>1468987</v>
      </c>
      <c r="F226" s="45"/>
      <c r="G226" s="45">
        <v>7077282</v>
      </c>
      <c r="H226" s="45"/>
      <c r="I226" s="45">
        <v>696861</v>
      </c>
      <c r="J226" s="45"/>
      <c r="K226" s="45">
        <v>26290</v>
      </c>
      <c r="L226" s="45"/>
      <c r="M226" s="45">
        <v>393618</v>
      </c>
      <c r="N226" s="45"/>
      <c r="O226" s="45">
        <v>342295</v>
      </c>
      <c r="P226" s="45"/>
      <c r="Q226" s="45">
        <v>1108950</v>
      </c>
      <c r="R226" s="45"/>
      <c r="S226" s="45">
        <v>0</v>
      </c>
      <c r="T226" s="45"/>
      <c r="U226" s="45">
        <v>0</v>
      </c>
      <c r="V226" s="45"/>
      <c r="W226" s="45">
        <v>63268</v>
      </c>
      <c r="X226" s="45"/>
      <c r="Y226" s="45">
        <v>11339</v>
      </c>
      <c r="Z226" s="44"/>
      <c r="AA226" s="45">
        <v>0</v>
      </c>
      <c r="AB226" s="44"/>
      <c r="AC226" s="45">
        <f t="shared" si="7"/>
        <v>11188890</v>
      </c>
      <c r="AD226" s="45"/>
      <c r="AE226" s="48">
        <v>0</v>
      </c>
      <c r="AF226" s="48"/>
      <c r="AG226" s="45">
        <v>943949</v>
      </c>
      <c r="AH226" s="45"/>
      <c r="AI226" s="45">
        <v>1132156</v>
      </c>
      <c r="AJ226" s="45"/>
      <c r="AK226" s="45">
        <v>0</v>
      </c>
      <c r="AL226" s="45"/>
      <c r="AM226" s="45">
        <f>+'Gen rev'!U227-'Gen exp'!AC226-AG226+'Gen rev'!W227+AI226+AK226-'Gen Bal'!S227-'Gen exp'!AE226</f>
        <v>0</v>
      </c>
      <c r="AN226" s="35"/>
      <c r="AO226" s="35"/>
      <c r="AP226" s="35"/>
      <c r="AQ226" s="35"/>
      <c r="AR226" s="50"/>
      <c r="AS226" s="50"/>
    </row>
    <row r="227" spans="1:45" s="44" customFormat="1" ht="12.75" customHeight="1">
      <c r="A227" s="35" t="s">
        <v>256</v>
      </c>
      <c r="C227" s="35" t="s">
        <v>43</v>
      </c>
      <c r="E227" s="45">
        <v>7616436</v>
      </c>
      <c r="F227" s="45"/>
      <c r="G227" s="45">
        <v>15528680</v>
      </c>
      <c r="H227" s="45"/>
      <c r="I227" s="45">
        <v>991447</v>
      </c>
      <c r="J227" s="45"/>
      <c r="K227" s="45">
        <v>0</v>
      </c>
      <c r="L227" s="45"/>
      <c r="M227" s="45">
        <v>1330988</v>
      </c>
      <c r="N227" s="45"/>
      <c r="O227" s="45">
        <v>2798207</v>
      </c>
      <c r="P227" s="45"/>
      <c r="Q227" s="45">
        <v>0</v>
      </c>
      <c r="R227" s="45"/>
      <c r="S227" s="45">
        <v>1177723</v>
      </c>
      <c r="T227" s="45"/>
      <c r="U227" s="45">
        <v>0</v>
      </c>
      <c r="V227" s="45"/>
      <c r="W227" s="45">
        <v>0</v>
      </c>
      <c r="X227" s="45"/>
      <c r="Y227" s="45">
        <v>0</v>
      </c>
      <c r="AA227" s="45">
        <v>0</v>
      </c>
      <c r="AC227" s="45">
        <f t="shared" si="7"/>
        <v>29443481</v>
      </c>
      <c r="AD227" s="45"/>
      <c r="AE227" s="48">
        <v>0</v>
      </c>
      <c r="AF227" s="48"/>
      <c r="AG227" s="45">
        <v>5510682</v>
      </c>
      <c r="AH227" s="45"/>
      <c r="AI227" s="45">
        <v>26754156</v>
      </c>
      <c r="AJ227" s="45"/>
      <c r="AK227" s="45">
        <v>0</v>
      </c>
      <c r="AL227" s="45"/>
      <c r="AM227" s="45">
        <f>+'Gen rev'!U228-'Gen exp'!AC227-AG227+'Gen rev'!W228+AI227+AK227-'Gen Bal'!S228-'Gen exp'!AE227</f>
        <v>0</v>
      </c>
    </row>
    <row r="228" spans="1:45" s="49" customFormat="1" ht="12.75" customHeight="1">
      <c r="A228" s="28" t="s">
        <v>257</v>
      </c>
      <c r="C228" s="28" t="s">
        <v>258</v>
      </c>
      <c r="E228" s="45">
        <f>388828+551041+1</f>
        <v>939870</v>
      </c>
      <c r="F228" s="45"/>
      <c r="G228" s="45">
        <v>1888546</v>
      </c>
      <c r="H228" s="45"/>
      <c r="I228" s="45">
        <v>60060</v>
      </c>
      <c r="J228" s="45"/>
      <c r="K228" s="45">
        <v>37311</v>
      </c>
      <c r="L228" s="45"/>
      <c r="M228" s="45">
        <v>0</v>
      </c>
      <c r="N228" s="45"/>
      <c r="O228" s="45">
        <v>0</v>
      </c>
      <c r="P228" s="45"/>
      <c r="Q228" s="45">
        <v>0</v>
      </c>
      <c r="R228" s="45"/>
      <c r="S228" s="45">
        <v>0</v>
      </c>
      <c r="T228" s="45"/>
      <c r="U228" s="45">
        <v>0</v>
      </c>
      <c r="V228" s="45"/>
      <c r="W228" s="45">
        <v>4443</v>
      </c>
      <c r="X228" s="45"/>
      <c r="Y228" s="45">
        <v>674</v>
      </c>
      <c r="Z228" s="44"/>
      <c r="AA228" s="45">
        <v>0</v>
      </c>
      <c r="AB228" s="44"/>
      <c r="AC228" s="45">
        <f t="shared" si="7"/>
        <v>2930904</v>
      </c>
      <c r="AD228" s="45"/>
      <c r="AE228" s="48">
        <v>0</v>
      </c>
      <c r="AF228" s="48"/>
      <c r="AG228" s="45">
        <v>505762</v>
      </c>
      <c r="AH228" s="45"/>
      <c r="AI228" s="45">
        <v>-235978</v>
      </c>
      <c r="AJ228" s="45"/>
      <c r="AK228" s="45">
        <v>-488</v>
      </c>
      <c r="AL228" s="45"/>
      <c r="AM228" s="45">
        <f>+'Gen rev'!U229-'Gen exp'!AC228-AG228+'Gen rev'!W229+AI228+AK228-'Gen Bal'!S229-'Gen exp'!AE228</f>
        <v>0</v>
      </c>
      <c r="AN228" s="44"/>
      <c r="AO228" s="44"/>
      <c r="AP228" s="44"/>
      <c r="AQ228" s="44"/>
    </row>
    <row r="229" spans="1:45" s="49" customFormat="1" ht="12.75" customHeight="1">
      <c r="A229" s="28" t="s">
        <v>259</v>
      </c>
      <c r="C229" s="28" t="s">
        <v>260</v>
      </c>
      <c r="E229" s="45">
        <v>1640235</v>
      </c>
      <c r="F229" s="45"/>
      <c r="G229" s="45">
        <v>3228784</v>
      </c>
      <c r="H229" s="45"/>
      <c r="I229" s="45">
        <v>0</v>
      </c>
      <c r="J229" s="45"/>
      <c r="K229" s="45">
        <v>44879</v>
      </c>
      <c r="L229" s="45"/>
      <c r="M229" s="45">
        <v>0</v>
      </c>
      <c r="N229" s="45"/>
      <c r="O229" s="45">
        <v>269494</v>
      </c>
      <c r="P229" s="45"/>
      <c r="Q229" s="45">
        <v>0</v>
      </c>
      <c r="R229" s="45"/>
      <c r="S229" s="45">
        <v>0</v>
      </c>
      <c r="T229" s="45"/>
      <c r="U229" s="45">
        <v>0</v>
      </c>
      <c r="V229" s="45"/>
      <c r="W229" s="45">
        <v>0</v>
      </c>
      <c r="X229" s="45"/>
      <c r="Y229" s="45">
        <v>0</v>
      </c>
      <c r="Z229" s="44"/>
      <c r="AA229" s="45">
        <v>0</v>
      </c>
      <c r="AB229" s="44"/>
      <c r="AC229" s="45">
        <f t="shared" si="7"/>
        <v>5183392</v>
      </c>
      <c r="AD229" s="45"/>
      <c r="AE229" s="48">
        <v>0</v>
      </c>
      <c r="AF229" s="48"/>
      <c r="AG229" s="45">
        <v>130000</v>
      </c>
      <c r="AH229" s="45"/>
      <c r="AI229" s="45">
        <v>771344</v>
      </c>
      <c r="AJ229" s="45"/>
      <c r="AK229" s="45">
        <v>0</v>
      </c>
      <c r="AL229" s="45"/>
      <c r="AM229" s="45">
        <f>+'Gen rev'!U230-'Gen exp'!AC229-AG229+'Gen rev'!W230+AI229+AK229-'Gen Bal'!S230-'Gen exp'!AE229</f>
        <v>0</v>
      </c>
      <c r="AN229" s="44"/>
      <c r="AO229" s="44"/>
      <c r="AP229" s="44"/>
      <c r="AQ229" s="44"/>
    </row>
    <row r="230" spans="1:45" s="49" customFormat="1" ht="12.75" customHeight="1">
      <c r="A230" s="28" t="s">
        <v>261</v>
      </c>
      <c r="C230" s="28" t="s">
        <v>66</v>
      </c>
      <c r="E230" s="45">
        <f>3244775+1870438</f>
        <v>5115213</v>
      </c>
      <c r="F230" s="45"/>
      <c r="G230" s="45">
        <f>4128973+1759886</f>
        <v>5888859</v>
      </c>
      <c r="H230" s="45"/>
      <c r="I230" s="45">
        <v>0</v>
      </c>
      <c r="J230" s="45"/>
      <c r="K230" s="45">
        <v>0</v>
      </c>
      <c r="L230" s="45"/>
      <c r="M230" s="45">
        <f>908040+663184</f>
        <v>1571224</v>
      </c>
      <c r="N230" s="45"/>
      <c r="O230" s="45">
        <v>3321067</v>
      </c>
      <c r="P230" s="45"/>
      <c r="Q230" s="45">
        <v>770926</v>
      </c>
      <c r="R230" s="45"/>
      <c r="S230" s="45">
        <v>204364</v>
      </c>
      <c r="T230" s="45"/>
      <c r="U230" s="45">
        <v>0</v>
      </c>
      <c r="V230" s="45"/>
      <c r="W230" s="45">
        <v>0</v>
      </c>
      <c r="X230" s="45"/>
      <c r="Y230" s="45">
        <v>0</v>
      </c>
      <c r="Z230" s="44"/>
      <c r="AA230" s="45">
        <v>0</v>
      </c>
      <c r="AB230" s="44"/>
      <c r="AC230" s="45">
        <f t="shared" si="7"/>
        <v>16871653</v>
      </c>
      <c r="AD230" s="45"/>
      <c r="AE230" s="48">
        <v>0</v>
      </c>
      <c r="AF230" s="48"/>
      <c r="AG230" s="45">
        <v>4441090</v>
      </c>
      <c r="AH230" s="45"/>
      <c r="AI230" s="45">
        <v>14032913</v>
      </c>
      <c r="AJ230" s="45"/>
      <c r="AK230" s="45">
        <v>0</v>
      </c>
      <c r="AL230" s="45"/>
      <c r="AM230" s="45">
        <f>+'Gen rev'!U231-'Gen exp'!AC230-AG230+'Gen rev'!W231+AI230+AK230-'Gen Bal'!S231-'Gen exp'!AE230</f>
        <v>0</v>
      </c>
      <c r="AN230" s="44"/>
      <c r="AO230" s="44"/>
      <c r="AP230" s="44"/>
      <c r="AQ230" s="44"/>
    </row>
    <row r="231" spans="1:45" s="129" customFormat="1" ht="12.75" hidden="1" customHeight="1">
      <c r="A231" s="151" t="s">
        <v>262</v>
      </c>
      <c r="C231" s="151" t="s">
        <v>132</v>
      </c>
      <c r="E231" s="127">
        <v>0</v>
      </c>
      <c r="F231" s="127"/>
      <c r="G231" s="127">
        <v>0</v>
      </c>
      <c r="H231" s="127"/>
      <c r="I231" s="127">
        <v>0</v>
      </c>
      <c r="J231" s="127"/>
      <c r="K231" s="127">
        <v>0</v>
      </c>
      <c r="L231" s="127"/>
      <c r="M231" s="127">
        <v>0</v>
      </c>
      <c r="N231" s="127"/>
      <c r="O231" s="127">
        <v>0</v>
      </c>
      <c r="P231" s="127"/>
      <c r="Q231" s="127">
        <v>0</v>
      </c>
      <c r="R231" s="127"/>
      <c r="S231" s="127">
        <v>0</v>
      </c>
      <c r="T231" s="127"/>
      <c r="U231" s="127">
        <v>0</v>
      </c>
      <c r="V231" s="127"/>
      <c r="W231" s="127">
        <v>0</v>
      </c>
      <c r="X231" s="127"/>
      <c r="Y231" s="127">
        <v>0</v>
      </c>
      <c r="Z231" s="121"/>
      <c r="AA231" s="127">
        <v>0</v>
      </c>
      <c r="AB231" s="121"/>
      <c r="AC231" s="127">
        <f t="shared" si="7"/>
        <v>0</v>
      </c>
      <c r="AD231" s="127"/>
      <c r="AE231" s="130">
        <v>0</v>
      </c>
      <c r="AF231" s="130"/>
      <c r="AG231" s="127">
        <v>0</v>
      </c>
      <c r="AH231" s="127"/>
      <c r="AI231" s="127">
        <v>0</v>
      </c>
      <c r="AJ231" s="127"/>
      <c r="AK231" s="127">
        <v>0</v>
      </c>
      <c r="AL231" s="127"/>
      <c r="AM231" s="127">
        <f>+'Gen rev'!U232-'Gen exp'!AC231-AG231+'Gen rev'!W232+AI231+AK231-'Gen Bal'!S232-'Gen exp'!AE231</f>
        <v>0</v>
      </c>
      <c r="AN231" s="121"/>
      <c r="AO231" s="121"/>
      <c r="AP231" s="121"/>
      <c r="AQ231" s="121"/>
    </row>
    <row r="232" spans="1:45" s="49" customFormat="1" ht="12.75" customHeight="1">
      <c r="A232" s="28" t="s">
        <v>263</v>
      </c>
      <c r="C232" s="28" t="s">
        <v>53</v>
      </c>
      <c r="E232" s="45">
        <v>2080415</v>
      </c>
      <c r="F232" s="45"/>
      <c r="G232" s="45">
        <v>4543221</v>
      </c>
      <c r="H232" s="45"/>
      <c r="I232" s="45">
        <v>334776</v>
      </c>
      <c r="J232" s="45"/>
      <c r="K232" s="45">
        <v>98634</v>
      </c>
      <c r="L232" s="45"/>
      <c r="M232" s="45">
        <v>0</v>
      </c>
      <c r="N232" s="45"/>
      <c r="O232" s="45">
        <v>944732</v>
      </c>
      <c r="P232" s="45"/>
      <c r="Q232" s="45">
        <v>7499</v>
      </c>
      <c r="R232" s="45"/>
      <c r="S232" s="45">
        <v>0</v>
      </c>
      <c r="T232" s="45"/>
      <c r="U232" s="45">
        <v>0</v>
      </c>
      <c r="V232" s="45"/>
      <c r="W232" s="45">
        <v>2161</v>
      </c>
      <c r="X232" s="45"/>
      <c r="Y232" s="45">
        <v>4077</v>
      </c>
      <c r="Z232" s="44"/>
      <c r="AA232" s="45">
        <v>0</v>
      </c>
      <c r="AB232" s="44"/>
      <c r="AC232" s="45">
        <f t="shared" si="7"/>
        <v>8015515</v>
      </c>
      <c r="AD232" s="45"/>
      <c r="AE232" s="48">
        <v>0</v>
      </c>
      <c r="AF232" s="48"/>
      <c r="AG232" s="45">
        <v>146476</v>
      </c>
      <c r="AH232" s="45"/>
      <c r="AI232" s="45">
        <v>4061295</v>
      </c>
      <c r="AJ232" s="45"/>
      <c r="AK232" s="45">
        <v>0</v>
      </c>
      <c r="AL232" s="45"/>
      <c r="AM232" s="45">
        <f>+'Gen rev'!U233-'Gen exp'!AC232-AG232+'Gen rev'!W233+AI232+AK232-'Gen Bal'!S233-'Gen exp'!AE232</f>
        <v>0</v>
      </c>
      <c r="AN232" s="45"/>
      <c r="AO232" s="45"/>
      <c r="AP232" s="45"/>
      <c r="AQ232" s="45"/>
      <c r="AR232" s="52"/>
      <c r="AS232" s="50"/>
    </row>
    <row r="233" spans="1:45" s="46" customFormat="1" ht="12.75" customHeight="1">
      <c r="A233" s="28" t="s">
        <v>264</v>
      </c>
      <c r="B233" s="49"/>
      <c r="C233" s="28" t="s">
        <v>239</v>
      </c>
      <c r="D233" s="49"/>
      <c r="E233" s="45">
        <v>536168</v>
      </c>
      <c r="F233" s="45"/>
      <c r="G233" s="45">
        <f>1423412+1406482+15472</f>
        <v>2845366</v>
      </c>
      <c r="H233" s="45"/>
      <c r="I233" s="45">
        <v>64067</v>
      </c>
      <c r="J233" s="45"/>
      <c r="K233" s="45">
        <v>172208</v>
      </c>
      <c r="L233" s="45"/>
      <c r="M233" s="45">
        <v>0</v>
      </c>
      <c r="N233" s="45"/>
      <c r="O233" s="45">
        <v>0</v>
      </c>
      <c r="P233" s="45"/>
      <c r="Q233" s="45">
        <v>0</v>
      </c>
      <c r="R233" s="45"/>
      <c r="S233" s="45">
        <v>0</v>
      </c>
      <c r="T233" s="45"/>
      <c r="U233" s="45">
        <v>0</v>
      </c>
      <c r="V233" s="45"/>
      <c r="W233" s="45">
        <v>32942</v>
      </c>
      <c r="X233" s="45"/>
      <c r="Y233" s="45">
        <v>13402</v>
      </c>
      <c r="Z233" s="44"/>
      <c r="AA233" s="45">
        <v>0</v>
      </c>
      <c r="AB233" s="44"/>
      <c r="AC233" s="45">
        <f t="shared" si="7"/>
        <v>3664153</v>
      </c>
      <c r="AD233" s="45"/>
      <c r="AE233" s="48">
        <v>0</v>
      </c>
      <c r="AF233" s="48"/>
      <c r="AG233" s="45">
        <v>1225000</v>
      </c>
      <c r="AH233" s="45"/>
      <c r="AI233" s="45">
        <v>2685178</v>
      </c>
      <c r="AJ233" s="45"/>
      <c r="AK233" s="45">
        <v>0</v>
      </c>
      <c r="AL233" s="45"/>
      <c r="AM233" s="45">
        <f>+'Gen rev'!U234-'Gen exp'!AC233-AG233+'Gen rev'!W234+AI233+AK233-'Gen Bal'!S234-'Gen exp'!AE233</f>
        <v>0</v>
      </c>
      <c r="AN233" s="94"/>
      <c r="AO233" s="94"/>
      <c r="AP233" s="94"/>
      <c r="AQ233" s="94"/>
      <c r="AR233" s="90"/>
      <c r="AS233" s="64"/>
    </row>
    <row r="234" spans="1:45" s="49" customFormat="1" ht="12.75" customHeight="1">
      <c r="A234" s="28" t="s">
        <v>111</v>
      </c>
      <c r="C234" s="28" t="s">
        <v>80</v>
      </c>
      <c r="E234" s="45">
        <v>7177176</v>
      </c>
      <c r="F234" s="45"/>
      <c r="G234" s="45">
        <v>14807217</v>
      </c>
      <c r="H234" s="45"/>
      <c r="I234" s="45">
        <v>1707275</v>
      </c>
      <c r="J234" s="45"/>
      <c r="K234" s="45">
        <v>627133</v>
      </c>
      <c r="L234" s="45"/>
      <c r="M234" s="45">
        <v>0</v>
      </c>
      <c r="N234" s="45"/>
      <c r="O234" s="45">
        <v>440263</v>
      </c>
      <c r="P234" s="45"/>
      <c r="Q234" s="45">
        <v>0</v>
      </c>
      <c r="R234" s="45"/>
      <c r="S234" s="45">
        <v>0</v>
      </c>
      <c r="T234" s="45"/>
      <c r="U234" s="45">
        <v>0</v>
      </c>
      <c r="V234" s="45"/>
      <c r="W234" s="45">
        <v>58304</v>
      </c>
      <c r="X234" s="45"/>
      <c r="Y234" s="45">
        <v>10670</v>
      </c>
      <c r="Z234" s="44"/>
      <c r="AA234" s="45">
        <v>0</v>
      </c>
      <c r="AB234" s="44"/>
      <c r="AC234" s="45">
        <f t="shared" si="7"/>
        <v>24828038</v>
      </c>
      <c r="AD234" s="45"/>
      <c r="AE234" s="48">
        <v>0</v>
      </c>
      <c r="AF234" s="48"/>
      <c r="AG234" s="45">
        <v>260092</v>
      </c>
      <c r="AH234" s="45"/>
      <c r="AI234" s="45">
        <v>4116332</v>
      </c>
      <c r="AJ234" s="45"/>
      <c r="AK234" s="45">
        <v>0</v>
      </c>
      <c r="AL234" s="45"/>
      <c r="AM234" s="45">
        <f>+'Gen rev'!U235-'Gen exp'!AC234-AG234+'Gen rev'!W235+AI234+AK234-'Gen Bal'!S235-'Gen exp'!AE234</f>
        <v>0</v>
      </c>
      <c r="AN234" s="45"/>
      <c r="AO234" s="45"/>
      <c r="AP234" s="45"/>
      <c r="AQ234" s="45"/>
      <c r="AR234" s="52"/>
      <c r="AS234" s="50"/>
    </row>
    <row r="235" spans="1:45" s="49" customFormat="1" ht="12.75" customHeight="1">
      <c r="A235" s="28" t="s">
        <v>265</v>
      </c>
      <c r="C235" s="28" t="s">
        <v>27</v>
      </c>
      <c r="E235" s="45">
        <v>2771942</v>
      </c>
      <c r="F235" s="45"/>
      <c r="G235" s="45">
        <f>4177750+3238296</f>
        <v>7416046</v>
      </c>
      <c r="H235" s="45"/>
      <c r="I235" s="45">
        <v>683847</v>
      </c>
      <c r="J235" s="45"/>
      <c r="K235" s="45">
        <v>27952</v>
      </c>
      <c r="L235" s="45"/>
      <c r="M235" s="45">
        <v>1225175</v>
      </c>
      <c r="N235" s="45"/>
      <c r="O235" s="45">
        <v>178910</v>
      </c>
      <c r="P235" s="45"/>
      <c r="Q235" s="45">
        <v>1025838</v>
      </c>
      <c r="R235" s="45"/>
      <c r="S235" s="45">
        <v>0</v>
      </c>
      <c r="T235" s="45"/>
      <c r="U235" s="45">
        <v>0</v>
      </c>
      <c r="V235" s="45"/>
      <c r="W235" s="45">
        <v>0</v>
      </c>
      <c r="X235" s="45"/>
      <c r="Y235" s="45">
        <v>4472</v>
      </c>
      <c r="Z235" s="44"/>
      <c r="AA235" s="45">
        <v>0</v>
      </c>
      <c r="AB235" s="44"/>
      <c r="AC235" s="45">
        <f t="shared" si="7"/>
        <v>13334182</v>
      </c>
      <c r="AD235" s="45"/>
      <c r="AE235" s="48">
        <v>0</v>
      </c>
      <c r="AF235" s="48"/>
      <c r="AG235" s="45">
        <v>470028</v>
      </c>
      <c r="AH235" s="45"/>
      <c r="AI235" s="45">
        <v>269559</v>
      </c>
      <c r="AJ235" s="45"/>
      <c r="AK235" s="45">
        <v>0</v>
      </c>
      <c r="AL235" s="45"/>
      <c r="AM235" s="45">
        <f>+'Gen rev'!U236-'Gen exp'!AC235-AG235+'Gen rev'!W236+AI235+AK235-'Gen Bal'!S236-'Gen exp'!AE235</f>
        <v>0</v>
      </c>
      <c r="AN235" s="44"/>
      <c r="AO235" s="44"/>
      <c r="AP235" s="44"/>
      <c r="AQ235" s="44"/>
    </row>
    <row r="236" spans="1:45" s="49" customFormat="1" ht="12.75" customHeight="1">
      <c r="A236" s="28" t="s">
        <v>40</v>
      </c>
      <c r="C236" s="47" t="s">
        <v>451</v>
      </c>
      <c r="E236" s="45">
        <v>2351993</v>
      </c>
      <c r="F236" s="45"/>
      <c r="G236" s="45">
        <v>3647116</v>
      </c>
      <c r="H236" s="45"/>
      <c r="I236" s="45">
        <v>816058</v>
      </c>
      <c r="J236" s="45"/>
      <c r="K236" s="45">
        <v>34017</v>
      </c>
      <c r="L236" s="45"/>
      <c r="M236" s="45">
        <v>0</v>
      </c>
      <c r="N236" s="45"/>
      <c r="O236" s="45">
        <v>62692</v>
      </c>
      <c r="P236" s="45"/>
      <c r="Q236" s="45">
        <v>0</v>
      </c>
      <c r="R236" s="45"/>
      <c r="S236" s="45">
        <v>0</v>
      </c>
      <c r="T236" s="45"/>
      <c r="U236" s="45">
        <v>0</v>
      </c>
      <c r="V236" s="45"/>
      <c r="W236" s="45">
        <v>0</v>
      </c>
      <c r="X236" s="45"/>
      <c r="Y236" s="45">
        <v>0</v>
      </c>
      <c r="Z236" s="44"/>
      <c r="AA236" s="45">
        <v>0</v>
      </c>
      <c r="AB236" s="44"/>
      <c r="AC236" s="45">
        <f t="shared" si="7"/>
        <v>6911876</v>
      </c>
      <c r="AD236" s="45"/>
      <c r="AE236" s="48">
        <v>0</v>
      </c>
      <c r="AF236" s="48"/>
      <c r="AG236" s="45">
        <v>36000</v>
      </c>
      <c r="AH236" s="45"/>
      <c r="AI236" s="45">
        <v>1314817</v>
      </c>
      <c r="AJ236" s="45"/>
      <c r="AK236" s="45">
        <v>0</v>
      </c>
      <c r="AL236" s="45"/>
      <c r="AM236" s="45">
        <f>+'Gen rev'!U237-'Gen exp'!AC236-AG236+'Gen rev'!W237+AI236+AK236-'Gen Bal'!S237-'Gen exp'!AE236</f>
        <v>0</v>
      </c>
      <c r="AN236" s="44"/>
      <c r="AO236" s="44"/>
      <c r="AP236" s="44"/>
      <c r="AQ236" s="44"/>
    </row>
    <row r="237" spans="1:45" s="46" customFormat="1" ht="12.75" customHeight="1">
      <c r="A237" s="28" t="s">
        <v>266</v>
      </c>
      <c r="B237" s="49"/>
      <c r="C237" s="28" t="s">
        <v>267</v>
      </c>
      <c r="D237" s="49"/>
      <c r="E237" s="45">
        <v>628752</v>
      </c>
      <c r="F237" s="45"/>
      <c r="G237" s="45">
        <v>2176419</v>
      </c>
      <c r="H237" s="45"/>
      <c r="I237" s="45">
        <v>198094</v>
      </c>
      <c r="J237" s="45"/>
      <c r="K237" s="45">
        <v>0</v>
      </c>
      <c r="L237" s="45"/>
      <c r="M237" s="45">
        <v>267154</v>
      </c>
      <c r="N237" s="45"/>
      <c r="O237" s="45">
        <v>437758</v>
      </c>
      <c r="P237" s="45"/>
      <c r="Q237" s="45">
        <v>15497</v>
      </c>
      <c r="R237" s="45"/>
      <c r="S237" s="45">
        <v>2944</v>
      </c>
      <c r="T237" s="45"/>
      <c r="U237" s="45">
        <v>0</v>
      </c>
      <c r="V237" s="45"/>
      <c r="W237" s="45">
        <v>0</v>
      </c>
      <c r="X237" s="45"/>
      <c r="Y237" s="45">
        <v>0</v>
      </c>
      <c r="Z237" s="44"/>
      <c r="AA237" s="45">
        <v>0</v>
      </c>
      <c r="AB237" s="44"/>
      <c r="AC237" s="45">
        <f t="shared" si="7"/>
        <v>3726618</v>
      </c>
      <c r="AD237" s="45"/>
      <c r="AE237" s="48">
        <v>0</v>
      </c>
      <c r="AF237" s="48"/>
      <c r="AG237" s="45">
        <v>56378</v>
      </c>
      <c r="AH237" s="45"/>
      <c r="AI237" s="45">
        <v>453316</v>
      </c>
      <c r="AJ237" s="45"/>
      <c r="AK237" s="45">
        <v>13204</v>
      </c>
      <c r="AL237" s="45"/>
      <c r="AM237" s="45">
        <f>+'Gen rev'!U238-'Gen exp'!AC237-AG237+'Gen rev'!W238+AI237+AK237-'Gen Bal'!S238-'Gen exp'!AE237</f>
        <v>0</v>
      </c>
      <c r="AN237" s="94"/>
      <c r="AO237" s="94"/>
      <c r="AP237" s="94"/>
      <c r="AQ237" s="94"/>
      <c r="AR237" s="90"/>
      <c r="AS237" s="64"/>
    </row>
    <row r="238" spans="1:45" s="49" customFormat="1" ht="12.75" customHeight="1">
      <c r="A238" s="28" t="s">
        <v>268</v>
      </c>
      <c r="C238" s="28" t="s">
        <v>269</v>
      </c>
      <c r="E238" s="45">
        <v>760535</v>
      </c>
      <c r="F238" s="45"/>
      <c r="G238" s="45">
        <v>92860</v>
      </c>
      <c r="H238" s="45"/>
      <c r="I238" s="45">
        <v>0</v>
      </c>
      <c r="J238" s="45"/>
      <c r="K238" s="45">
        <v>1470</v>
      </c>
      <c r="L238" s="45"/>
      <c r="M238" s="45">
        <v>0</v>
      </c>
      <c r="N238" s="45"/>
      <c r="O238" s="45">
        <v>85208</v>
      </c>
      <c r="P238" s="45"/>
      <c r="Q238" s="45">
        <v>0</v>
      </c>
      <c r="R238" s="45"/>
      <c r="S238" s="45">
        <v>11989</v>
      </c>
      <c r="T238" s="45"/>
      <c r="U238" s="45">
        <v>0</v>
      </c>
      <c r="V238" s="45"/>
      <c r="W238" s="45">
        <v>0</v>
      </c>
      <c r="X238" s="45"/>
      <c r="Y238" s="45">
        <v>0</v>
      </c>
      <c r="Z238" s="44"/>
      <c r="AA238" s="45">
        <v>0</v>
      </c>
      <c r="AB238" s="44"/>
      <c r="AC238" s="45">
        <f t="shared" si="7"/>
        <v>952062</v>
      </c>
      <c r="AD238" s="45"/>
      <c r="AE238" s="48">
        <v>0</v>
      </c>
      <c r="AF238" s="48"/>
      <c r="AG238" s="45">
        <v>1206527</v>
      </c>
      <c r="AH238" s="45"/>
      <c r="AI238" s="45">
        <v>1138609</v>
      </c>
      <c r="AJ238" s="45"/>
      <c r="AK238" s="45">
        <v>0</v>
      </c>
      <c r="AL238" s="45"/>
      <c r="AM238" s="45">
        <f>+'Gen rev'!U239-'Gen exp'!AC238-AG238+'Gen rev'!W239+AI238+AK238-'Gen Bal'!S239-'Gen exp'!AE238</f>
        <v>0</v>
      </c>
      <c r="AN238" s="44"/>
      <c r="AO238" s="44"/>
      <c r="AP238" s="44"/>
      <c r="AQ238" s="44"/>
    </row>
    <row r="239" spans="1:45" s="49" customFormat="1" ht="12.75" customHeight="1">
      <c r="A239" s="28" t="s">
        <v>270</v>
      </c>
      <c r="C239" s="28" t="s">
        <v>136</v>
      </c>
      <c r="E239" s="45">
        <v>691409</v>
      </c>
      <c r="F239" s="45"/>
      <c r="G239" s="45">
        <v>1388105</v>
      </c>
      <c r="H239" s="45"/>
      <c r="I239" s="45">
        <v>0</v>
      </c>
      <c r="J239" s="45"/>
      <c r="K239" s="45">
        <v>0</v>
      </c>
      <c r="L239" s="45"/>
      <c r="M239" s="45">
        <v>0</v>
      </c>
      <c r="N239" s="45"/>
      <c r="O239" s="45">
        <v>0</v>
      </c>
      <c r="P239" s="45"/>
      <c r="Q239" s="45">
        <v>0</v>
      </c>
      <c r="R239" s="45"/>
      <c r="S239" s="45">
        <v>0</v>
      </c>
      <c r="T239" s="45"/>
      <c r="U239" s="45">
        <v>0</v>
      </c>
      <c r="V239" s="45"/>
      <c r="W239" s="45">
        <v>60486</v>
      </c>
      <c r="X239" s="45"/>
      <c r="Y239" s="45">
        <v>12209</v>
      </c>
      <c r="Z239" s="44"/>
      <c r="AA239" s="45">
        <v>0</v>
      </c>
      <c r="AB239" s="44"/>
      <c r="AC239" s="45">
        <f t="shared" si="7"/>
        <v>2152209</v>
      </c>
      <c r="AD239" s="45"/>
      <c r="AE239" s="48">
        <v>0</v>
      </c>
      <c r="AF239" s="48"/>
      <c r="AG239" s="45">
        <v>66087</v>
      </c>
      <c r="AH239" s="45"/>
      <c r="AI239" s="45">
        <v>257489</v>
      </c>
      <c r="AJ239" s="45"/>
      <c r="AK239" s="45">
        <v>0</v>
      </c>
      <c r="AL239" s="45"/>
      <c r="AM239" s="45">
        <f>+'Gen rev'!U240-'Gen exp'!AC239-AG239+'Gen rev'!W240+AI239+AK239-'Gen Bal'!S240-'Gen exp'!AE239</f>
        <v>0</v>
      </c>
      <c r="AN239" s="44"/>
      <c r="AO239" s="44"/>
      <c r="AP239" s="44"/>
      <c r="AQ239" s="44"/>
    </row>
    <row r="240" spans="1:45" s="46" customFormat="1" ht="12.75" customHeight="1">
      <c r="A240" s="28" t="s">
        <v>271</v>
      </c>
      <c r="B240" s="49"/>
      <c r="C240" s="28" t="s">
        <v>66</v>
      </c>
      <c r="D240" s="49"/>
      <c r="E240" s="45">
        <v>945930</v>
      </c>
      <c r="F240" s="45"/>
      <c r="G240" s="45">
        <v>4794200</v>
      </c>
      <c r="H240" s="45"/>
      <c r="I240" s="45">
        <v>977195</v>
      </c>
      <c r="J240" s="45"/>
      <c r="K240" s="45">
        <v>0</v>
      </c>
      <c r="L240" s="45"/>
      <c r="M240" s="45">
        <v>0</v>
      </c>
      <c r="N240" s="45"/>
      <c r="O240" s="45">
        <v>676476</v>
      </c>
      <c r="P240" s="45"/>
      <c r="Q240" s="45">
        <v>0</v>
      </c>
      <c r="R240" s="45"/>
      <c r="S240" s="45">
        <v>0</v>
      </c>
      <c r="T240" s="45"/>
      <c r="U240" s="45">
        <v>0</v>
      </c>
      <c r="V240" s="45"/>
      <c r="W240" s="45">
        <v>0</v>
      </c>
      <c r="X240" s="45"/>
      <c r="Y240" s="45">
        <v>0</v>
      </c>
      <c r="Z240" s="44"/>
      <c r="AA240" s="45">
        <v>0</v>
      </c>
      <c r="AB240" s="44"/>
      <c r="AC240" s="45">
        <f t="shared" si="7"/>
        <v>7393801</v>
      </c>
      <c r="AD240" s="45"/>
      <c r="AE240" s="48">
        <v>0</v>
      </c>
      <c r="AF240" s="48"/>
      <c r="AG240" s="45">
        <v>762877</v>
      </c>
      <c r="AH240" s="45"/>
      <c r="AI240" s="45">
        <v>2526667</v>
      </c>
      <c r="AJ240" s="45"/>
      <c r="AK240" s="45">
        <v>0</v>
      </c>
      <c r="AL240" s="45"/>
      <c r="AM240" s="45">
        <f>+'Gen rev'!U241-'Gen exp'!AC240-AG240+'Gen rev'!W241+AI240+AK240-'Gen Bal'!S241-'Gen exp'!AE240</f>
        <v>0</v>
      </c>
    </row>
    <row r="241" spans="1:45" s="44" customFormat="1" ht="12.75" customHeight="1">
      <c r="A241" s="35" t="s">
        <v>272</v>
      </c>
      <c r="C241" s="35" t="s">
        <v>43</v>
      </c>
      <c r="E241" s="45">
        <v>9635674</v>
      </c>
      <c r="F241" s="45"/>
      <c r="G241" s="45">
        <v>13585570</v>
      </c>
      <c r="H241" s="45"/>
      <c r="I241" s="45">
        <v>2761688</v>
      </c>
      <c r="J241" s="45"/>
      <c r="K241" s="45">
        <v>82426</v>
      </c>
      <c r="L241" s="45"/>
      <c r="M241" s="45">
        <v>0</v>
      </c>
      <c r="N241" s="45"/>
      <c r="O241" s="45">
        <v>0</v>
      </c>
      <c r="P241" s="45"/>
      <c r="Q241" s="45">
        <v>563587</v>
      </c>
      <c r="R241" s="45"/>
      <c r="S241" s="45">
        <v>0</v>
      </c>
      <c r="T241" s="45"/>
      <c r="U241" s="45">
        <v>0</v>
      </c>
      <c r="V241" s="45"/>
      <c r="W241" s="45">
        <v>637</v>
      </c>
      <c r="X241" s="45"/>
      <c r="Y241" s="45">
        <v>855</v>
      </c>
      <c r="AA241" s="45">
        <v>0</v>
      </c>
      <c r="AC241" s="45">
        <f t="shared" si="7"/>
        <v>26630437</v>
      </c>
      <c r="AD241" s="45"/>
      <c r="AE241" s="48">
        <v>0</v>
      </c>
      <c r="AF241" s="48"/>
      <c r="AG241" s="45">
        <v>14922181</v>
      </c>
      <c r="AH241" s="45"/>
      <c r="AI241" s="45">
        <v>29945392</v>
      </c>
      <c r="AJ241" s="45"/>
      <c r="AK241" s="45">
        <v>0</v>
      </c>
      <c r="AL241" s="45"/>
      <c r="AM241" s="45">
        <f>+'Gen rev'!U242-'Gen exp'!AC241-AG241+'Gen rev'!W242+AI241+AK241-'Gen Bal'!S242-'Gen exp'!AE241</f>
        <v>0</v>
      </c>
      <c r="AN241" s="45"/>
      <c r="AO241" s="45"/>
      <c r="AP241" s="45"/>
      <c r="AQ241" s="45"/>
      <c r="AR241" s="55"/>
      <c r="AS241" s="35"/>
    </row>
    <row r="242" spans="1:45" s="49" customFormat="1" ht="12.75" customHeight="1">
      <c r="A242" s="28" t="s">
        <v>273</v>
      </c>
      <c r="C242" s="28" t="s">
        <v>27</v>
      </c>
      <c r="E242" s="45">
        <v>6810554</v>
      </c>
      <c r="F242" s="45"/>
      <c r="G242" s="45">
        <v>10251870</v>
      </c>
      <c r="H242" s="45"/>
      <c r="I242" s="45">
        <v>1573027</v>
      </c>
      <c r="J242" s="45"/>
      <c r="K242" s="45">
        <v>1077970</v>
      </c>
      <c r="L242" s="45"/>
      <c r="M242" s="45">
        <v>5323992</v>
      </c>
      <c r="N242" s="45"/>
      <c r="O242" s="45">
        <v>813965</v>
      </c>
      <c r="P242" s="45"/>
      <c r="Q242" s="45">
        <v>666299</v>
      </c>
      <c r="R242" s="45"/>
      <c r="S242" s="45">
        <v>23119</v>
      </c>
      <c r="T242" s="45"/>
      <c r="U242" s="45">
        <v>0</v>
      </c>
      <c r="V242" s="45"/>
      <c r="W242" s="45">
        <v>0</v>
      </c>
      <c r="X242" s="45"/>
      <c r="Y242" s="45">
        <v>0</v>
      </c>
      <c r="Z242" s="44"/>
      <c r="AA242" s="45">
        <v>0</v>
      </c>
      <c r="AB242" s="44"/>
      <c r="AC242" s="45">
        <f t="shared" si="7"/>
        <v>26540796</v>
      </c>
      <c r="AD242" s="45"/>
      <c r="AE242" s="48">
        <v>0</v>
      </c>
      <c r="AF242" s="48"/>
      <c r="AG242" s="45">
        <v>710800</v>
      </c>
      <c r="AH242" s="45"/>
      <c r="AI242" s="45">
        <v>26462531</v>
      </c>
      <c r="AJ242" s="45"/>
      <c r="AK242" s="45">
        <v>0</v>
      </c>
      <c r="AL242" s="45"/>
      <c r="AM242" s="45">
        <f>+'Gen rev'!U243-'Gen exp'!AC242-AG242+'Gen rev'!W243+AI242+AK242-'Gen Bal'!S243-'Gen exp'!AE242</f>
        <v>0</v>
      </c>
      <c r="AN242" s="45"/>
      <c r="AO242" s="45"/>
      <c r="AP242" s="45"/>
      <c r="AQ242" s="45"/>
      <c r="AR242" s="52"/>
      <c r="AS242" s="50"/>
    </row>
    <row r="243" spans="1:45" s="49" customFormat="1" ht="12.75" customHeight="1">
      <c r="A243" s="28" t="s">
        <v>274</v>
      </c>
      <c r="C243" s="28" t="s">
        <v>43</v>
      </c>
      <c r="E243" s="45">
        <v>5830459</v>
      </c>
      <c r="F243" s="45"/>
      <c r="G243" s="45">
        <v>10695309</v>
      </c>
      <c r="H243" s="45"/>
      <c r="I243" s="45">
        <v>31443</v>
      </c>
      <c r="J243" s="45"/>
      <c r="K243" s="45">
        <v>110079</v>
      </c>
      <c r="L243" s="45"/>
      <c r="M243" s="45">
        <v>507729</v>
      </c>
      <c r="N243" s="45"/>
      <c r="O243" s="45">
        <v>664087</v>
      </c>
      <c r="P243" s="45"/>
      <c r="Q243" s="45">
        <v>676465</v>
      </c>
      <c r="R243" s="45"/>
      <c r="S243" s="45">
        <v>243243</v>
      </c>
      <c r="T243" s="45"/>
      <c r="U243" s="45">
        <v>0</v>
      </c>
      <c r="V243" s="45"/>
      <c r="W243" s="45">
        <v>5949</v>
      </c>
      <c r="X243" s="45"/>
      <c r="Y243" s="45">
        <v>2362</v>
      </c>
      <c r="Z243" s="44"/>
      <c r="AA243" s="45">
        <v>0</v>
      </c>
      <c r="AB243" s="44"/>
      <c r="AC243" s="45">
        <f t="shared" si="7"/>
        <v>18767125</v>
      </c>
      <c r="AD243" s="45"/>
      <c r="AE243" s="48">
        <v>0</v>
      </c>
      <c r="AF243" s="48"/>
      <c r="AG243" s="45">
        <v>2437558</v>
      </c>
      <c r="AH243" s="45"/>
      <c r="AI243" s="45">
        <v>5027723</v>
      </c>
      <c r="AJ243" s="45"/>
      <c r="AK243" s="45">
        <v>0</v>
      </c>
      <c r="AL243" s="45"/>
      <c r="AM243" s="45">
        <f>+'Gen rev'!U244-'Gen exp'!AC243-AG243+'Gen rev'!W244+AI243+AK243-'Gen Bal'!S244-'Gen exp'!AE243</f>
        <v>0</v>
      </c>
      <c r="AN243" s="44"/>
      <c r="AO243" s="44"/>
      <c r="AP243" s="44"/>
      <c r="AQ243" s="44"/>
    </row>
    <row r="244" spans="1:45" s="49" customFormat="1" ht="12.75" customHeight="1">
      <c r="A244" s="28" t="s">
        <v>275</v>
      </c>
      <c r="C244" s="28" t="s">
        <v>92</v>
      </c>
      <c r="E244" s="45">
        <v>4011642</v>
      </c>
      <c r="F244" s="45"/>
      <c r="G244" s="45">
        <v>5860105</v>
      </c>
      <c r="H244" s="45"/>
      <c r="I244" s="45">
        <v>201741</v>
      </c>
      <c r="J244" s="45"/>
      <c r="K244" s="45">
        <v>9033</v>
      </c>
      <c r="L244" s="45"/>
      <c r="M244" s="45">
        <v>1076941</v>
      </c>
      <c r="N244" s="45"/>
      <c r="O244" s="45">
        <v>223048</v>
      </c>
      <c r="P244" s="45"/>
      <c r="Q244" s="45">
        <v>909096</v>
      </c>
      <c r="R244" s="45"/>
      <c r="S244" s="45">
        <v>0</v>
      </c>
      <c r="T244" s="45"/>
      <c r="U244" s="45">
        <v>0</v>
      </c>
      <c r="V244" s="45"/>
      <c r="W244" s="45">
        <v>0</v>
      </c>
      <c r="X244" s="45"/>
      <c r="Y244" s="45">
        <v>0</v>
      </c>
      <c r="Z244" s="44"/>
      <c r="AA244" s="45">
        <v>0</v>
      </c>
      <c r="AB244" s="44"/>
      <c r="AC244" s="45">
        <f t="shared" si="7"/>
        <v>12291606</v>
      </c>
      <c r="AD244" s="45"/>
      <c r="AE244" s="48">
        <v>0</v>
      </c>
      <c r="AF244" s="48"/>
      <c r="AG244" s="45">
        <v>212366</v>
      </c>
      <c r="AH244" s="45"/>
      <c r="AI244" s="45">
        <v>6261155</v>
      </c>
      <c r="AJ244" s="45"/>
      <c r="AK244" s="45">
        <v>-21056</v>
      </c>
      <c r="AL244" s="45"/>
      <c r="AM244" s="45">
        <f>+'Gen rev'!U245-'Gen exp'!AC244-AG244+'Gen rev'!W245+AI244+AK244-'Gen Bal'!S245-'Gen exp'!AE244</f>
        <v>0</v>
      </c>
      <c r="AN244" s="44"/>
      <c r="AO244" s="44"/>
      <c r="AP244" s="44"/>
      <c r="AQ244" s="44"/>
    </row>
    <row r="245" spans="1:45" s="49" customFormat="1" ht="12.75" customHeight="1">
      <c r="A245" s="28"/>
      <c r="C245" s="28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4"/>
      <c r="AA245" s="45"/>
      <c r="AB245" s="44"/>
      <c r="AC245" s="45"/>
      <c r="AD245" s="45"/>
      <c r="AE245" s="48"/>
      <c r="AF245" s="48"/>
      <c r="AG245" s="48" t="s">
        <v>484</v>
      </c>
      <c r="AH245" s="45"/>
      <c r="AI245" s="45"/>
      <c r="AJ245" s="45"/>
      <c r="AK245" s="45"/>
      <c r="AL245" s="45"/>
      <c r="AM245" s="45"/>
      <c r="AN245" s="44"/>
      <c r="AO245" s="44"/>
      <c r="AP245" s="44"/>
      <c r="AQ245" s="44"/>
    </row>
    <row r="246" spans="1:45" s="46" customFormat="1" ht="12.75" customHeight="1">
      <c r="A246" s="64" t="s">
        <v>276</v>
      </c>
      <c r="C246" s="64" t="s">
        <v>38</v>
      </c>
      <c r="E246" s="94">
        <v>512215</v>
      </c>
      <c r="F246" s="94"/>
      <c r="G246" s="94">
        <v>2196068</v>
      </c>
      <c r="H246" s="94"/>
      <c r="I246" s="94">
        <v>187901</v>
      </c>
      <c r="J246" s="94"/>
      <c r="K246" s="94">
        <v>38630</v>
      </c>
      <c r="L246" s="94"/>
      <c r="M246" s="94">
        <v>234185</v>
      </c>
      <c r="N246" s="94"/>
      <c r="O246" s="94">
        <v>0</v>
      </c>
      <c r="P246" s="94"/>
      <c r="Q246" s="94">
        <v>0</v>
      </c>
      <c r="R246" s="94"/>
      <c r="S246" s="94">
        <v>0</v>
      </c>
      <c r="T246" s="94"/>
      <c r="U246" s="94">
        <v>0</v>
      </c>
      <c r="V246" s="94"/>
      <c r="W246" s="94">
        <v>0</v>
      </c>
      <c r="X246" s="94"/>
      <c r="Y246" s="94">
        <v>0</v>
      </c>
      <c r="AA246" s="94">
        <v>0</v>
      </c>
      <c r="AC246" s="94">
        <f t="shared" si="7"/>
        <v>3168999</v>
      </c>
      <c r="AD246" s="94"/>
      <c r="AE246" s="68">
        <v>0</v>
      </c>
      <c r="AF246" s="68"/>
      <c r="AG246" s="94">
        <v>15400</v>
      </c>
      <c r="AH246" s="94"/>
      <c r="AI246" s="94">
        <v>1897785</v>
      </c>
      <c r="AJ246" s="94"/>
      <c r="AK246" s="94">
        <v>0</v>
      </c>
      <c r="AL246" s="94"/>
      <c r="AM246" s="94">
        <f>+'Gen rev'!U246-'Gen exp'!AC246-AG246+'Gen rev'!W246+AI246+AK246-'Gen Bal'!S246-'Gen exp'!AE246</f>
        <v>0</v>
      </c>
      <c r="AN246" s="94"/>
      <c r="AO246" s="94"/>
      <c r="AP246" s="94"/>
      <c r="AQ246" s="94"/>
      <c r="AR246" s="90"/>
      <c r="AS246" s="64"/>
    </row>
    <row r="247" spans="1:45" s="49" customFormat="1" ht="12.75" customHeight="1">
      <c r="A247" s="28" t="s">
        <v>277</v>
      </c>
      <c r="C247" s="28" t="s">
        <v>92</v>
      </c>
      <c r="E247" s="45">
        <v>6659021</v>
      </c>
      <c r="F247" s="45"/>
      <c r="G247" s="45">
        <v>11363316</v>
      </c>
      <c r="H247" s="45"/>
      <c r="I247" s="45">
        <v>910615</v>
      </c>
      <c r="J247" s="45"/>
      <c r="K247" s="45">
        <v>484620</v>
      </c>
      <c r="L247" s="45"/>
      <c r="M247" s="45">
        <v>76488</v>
      </c>
      <c r="N247" s="45"/>
      <c r="O247" s="45">
        <v>998401</v>
      </c>
      <c r="P247" s="45"/>
      <c r="Q247" s="45">
        <v>1248932</v>
      </c>
      <c r="R247" s="45"/>
      <c r="S247" s="45">
        <v>6349</v>
      </c>
      <c r="T247" s="45"/>
      <c r="U247" s="45">
        <v>0</v>
      </c>
      <c r="V247" s="45"/>
      <c r="W247" s="45">
        <v>0</v>
      </c>
      <c r="X247" s="45"/>
      <c r="Y247" s="45">
        <v>0</v>
      </c>
      <c r="Z247" s="44"/>
      <c r="AA247" s="45">
        <v>0</v>
      </c>
      <c r="AB247" s="44"/>
      <c r="AC247" s="45">
        <f t="shared" si="7"/>
        <v>21747742</v>
      </c>
      <c r="AD247" s="45"/>
      <c r="AE247" s="48">
        <v>0</v>
      </c>
      <c r="AF247" s="48"/>
      <c r="AG247" s="45">
        <v>2254060</v>
      </c>
      <c r="AH247" s="45"/>
      <c r="AI247" s="45">
        <v>11016272</v>
      </c>
      <c r="AJ247" s="45"/>
      <c r="AK247" s="45">
        <v>-4117</v>
      </c>
      <c r="AL247" s="45"/>
      <c r="AM247" s="45">
        <f>+'Gen rev'!U247-'Gen exp'!AC247-AG247+'Gen rev'!W247+AI247+AK247-'Gen Bal'!S247-'Gen exp'!AE247</f>
        <v>0</v>
      </c>
      <c r="AN247" s="44"/>
      <c r="AO247" s="44"/>
      <c r="AP247" s="44"/>
      <c r="AQ247" s="44"/>
    </row>
    <row r="248" spans="1:45" s="49" customFormat="1" ht="12.75" customHeight="1">
      <c r="A248" s="28" t="s">
        <v>278</v>
      </c>
      <c r="C248" s="28" t="s">
        <v>92</v>
      </c>
      <c r="E248" s="45">
        <v>2850951</v>
      </c>
      <c r="F248" s="45"/>
      <c r="G248" s="45">
        <f>2769194+1201518</f>
        <v>3970712</v>
      </c>
      <c r="H248" s="45"/>
      <c r="I248" s="45">
        <v>134130</v>
      </c>
      <c r="J248" s="45"/>
      <c r="K248" s="45">
        <v>0</v>
      </c>
      <c r="L248" s="45"/>
      <c r="M248" s="45">
        <v>24516</v>
      </c>
      <c r="N248" s="45"/>
      <c r="O248" s="45">
        <v>112122</v>
      </c>
      <c r="P248" s="45"/>
      <c r="Q248" s="45">
        <v>0</v>
      </c>
      <c r="R248" s="45"/>
      <c r="S248" s="45">
        <v>0</v>
      </c>
      <c r="T248" s="45"/>
      <c r="U248" s="45">
        <v>0</v>
      </c>
      <c r="V248" s="45"/>
      <c r="W248" s="45">
        <v>0</v>
      </c>
      <c r="X248" s="45"/>
      <c r="Y248" s="45">
        <v>0</v>
      </c>
      <c r="Z248" s="44"/>
      <c r="AA248" s="45">
        <v>0</v>
      </c>
      <c r="AB248" s="44"/>
      <c r="AC248" s="45">
        <f t="shared" si="7"/>
        <v>7092431</v>
      </c>
      <c r="AD248" s="45"/>
      <c r="AE248" s="48">
        <v>0</v>
      </c>
      <c r="AF248" s="48"/>
      <c r="AG248" s="45">
        <v>229767</v>
      </c>
      <c r="AH248" s="45"/>
      <c r="AI248" s="45">
        <v>265703</v>
      </c>
      <c r="AJ248" s="45"/>
      <c r="AK248" s="45">
        <v>0</v>
      </c>
      <c r="AL248" s="45"/>
      <c r="AM248" s="45">
        <f>+'Gen rev'!U248-'Gen exp'!AC248-AG248+'Gen rev'!W248+AI248+AK248-'Gen Bal'!S248-'Gen exp'!AE248</f>
        <v>0</v>
      </c>
      <c r="AN248" s="44"/>
      <c r="AO248" s="44"/>
      <c r="AP248" s="44"/>
      <c r="AQ248" s="44"/>
    </row>
    <row r="249" spans="1:45" s="49" customFormat="1" ht="12.75" customHeight="1">
      <c r="A249" s="28" t="s">
        <v>279</v>
      </c>
      <c r="C249" s="28" t="s">
        <v>92</v>
      </c>
      <c r="E249" s="45">
        <v>1528835</v>
      </c>
      <c r="F249" s="45"/>
      <c r="G249" s="45">
        <v>3349634</v>
      </c>
      <c r="H249" s="45"/>
      <c r="I249" s="45">
        <v>293489</v>
      </c>
      <c r="J249" s="45"/>
      <c r="K249" s="45">
        <v>118615</v>
      </c>
      <c r="L249" s="45"/>
      <c r="M249" s="45">
        <v>249278</v>
      </c>
      <c r="N249" s="45"/>
      <c r="O249" s="45">
        <v>833713</v>
      </c>
      <c r="P249" s="45"/>
      <c r="Q249" s="45">
        <v>957193</v>
      </c>
      <c r="R249" s="45"/>
      <c r="S249" s="45">
        <v>0</v>
      </c>
      <c r="T249" s="45"/>
      <c r="U249" s="45">
        <v>0</v>
      </c>
      <c r="V249" s="45"/>
      <c r="W249" s="45">
        <v>7106</v>
      </c>
      <c r="X249" s="45"/>
      <c r="Y249" s="45">
        <v>1210</v>
      </c>
      <c r="Z249" s="44"/>
      <c r="AA249" s="45">
        <v>0</v>
      </c>
      <c r="AB249" s="44"/>
      <c r="AC249" s="45">
        <f t="shared" si="7"/>
        <v>7339073</v>
      </c>
      <c r="AD249" s="45"/>
      <c r="AE249" s="48">
        <v>0</v>
      </c>
      <c r="AF249" s="48"/>
      <c r="AG249" s="45">
        <v>390000</v>
      </c>
      <c r="AH249" s="45"/>
      <c r="AI249" s="45">
        <v>1473998</v>
      </c>
      <c r="AJ249" s="45"/>
      <c r="AK249" s="45">
        <v>0</v>
      </c>
      <c r="AL249" s="45"/>
      <c r="AM249" s="45">
        <f>+'Gen rev'!U249-'Gen exp'!AC249-AG249+'Gen rev'!W249+AI249+AK249-'Gen Bal'!S249-'Gen exp'!AE249</f>
        <v>0</v>
      </c>
      <c r="AN249" s="44"/>
      <c r="AO249" s="44"/>
      <c r="AP249" s="44"/>
      <c r="AQ249" s="44"/>
    </row>
    <row r="250" spans="1:45" s="49" customFormat="1" ht="12.75" customHeight="1">
      <c r="A250" s="28" t="s">
        <v>280</v>
      </c>
      <c r="C250" s="28" t="s">
        <v>281</v>
      </c>
      <c r="E250" s="45">
        <v>4605298</v>
      </c>
      <c r="F250" s="45"/>
      <c r="G250" s="45">
        <v>6832</v>
      </c>
      <c r="H250" s="45"/>
      <c r="I250" s="45">
        <v>0</v>
      </c>
      <c r="J250" s="45"/>
      <c r="K250" s="45">
        <v>0</v>
      </c>
      <c r="L250" s="45"/>
      <c r="M250" s="45">
        <v>0</v>
      </c>
      <c r="N250" s="45"/>
      <c r="O250" s="45">
        <v>0</v>
      </c>
      <c r="P250" s="45"/>
      <c r="Q250" s="45">
        <v>0</v>
      </c>
      <c r="R250" s="45"/>
      <c r="S250" s="45">
        <v>0</v>
      </c>
      <c r="T250" s="45"/>
      <c r="U250" s="45">
        <v>0</v>
      </c>
      <c r="V250" s="45"/>
      <c r="W250" s="45">
        <v>0</v>
      </c>
      <c r="X250" s="45"/>
      <c r="Y250" s="45">
        <v>0</v>
      </c>
      <c r="Z250" s="44"/>
      <c r="AA250" s="45">
        <v>0</v>
      </c>
      <c r="AB250" s="44"/>
      <c r="AC250" s="45">
        <f t="shared" si="7"/>
        <v>4612130</v>
      </c>
      <c r="AD250" s="45"/>
      <c r="AE250" s="48">
        <v>0</v>
      </c>
      <c r="AF250" s="48"/>
      <c r="AG250" s="45">
        <v>4412084</v>
      </c>
      <c r="AH250" s="45"/>
      <c r="AI250" s="45">
        <v>5551213</v>
      </c>
      <c r="AJ250" s="45"/>
      <c r="AK250" s="45">
        <v>0</v>
      </c>
      <c r="AL250" s="45"/>
      <c r="AM250" s="45">
        <f>+'Gen rev'!U250-'Gen exp'!AC250-AG250+'Gen rev'!W250+AI250+AK250-'Gen Bal'!S250-'Gen exp'!AE250</f>
        <v>0</v>
      </c>
      <c r="AN250" s="44"/>
      <c r="AO250" s="44"/>
      <c r="AP250" s="44"/>
      <c r="AQ250" s="44"/>
    </row>
    <row r="251" spans="1:45" s="49" customFormat="1" ht="12.75" customHeight="1">
      <c r="A251" s="28" t="s">
        <v>282</v>
      </c>
      <c r="C251" s="28" t="s">
        <v>199</v>
      </c>
      <c r="E251" s="45">
        <v>3681702</v>
      </c>
      <c r="F251" s="45"/>
      <c r="G251" s="45">
        <v>10639592</v>
      </c>
      <c r="H251" s="45"/>
      <c r="I251" s="45">
        <v>889444</v>
      </c>
      <c r="J251" s="45"/>
      <c r="K251" s="45">
        <v>140185</v>
      </c>
      <c r="L251" s="45"/>
      <c r="M251" s="45">
        <v>1510868</v>
      </c>
      <c r="N251" s="45"/>
      <c r="O251" s="45">
        <v>1793052</v>
      </c>
      <c r="P251" s="45"/>
      <c r="Q251" s="45">
        <v>0</v>
      </c>
      <c r="R251" s="45"/>
      <c r="S251" s="45">
        <v>0</v>
      </c>
      <c r="T251" s="45"/>
      <c r="U251" s="45">
        <v>0</v>
      </c>
      <c r="V251" s="45"/>
      <c r="W251" s="45">
        <v>123621</v>
      </c>
      <c r="X251" s="45"/>
      <c r="Y251" s="45">
        <v>28169</v>
      </c>
      <c r="Z251" s="44"/>
      <c r="AA251" s="45">
        <v>0</v>
      </c>
      <c r="AB251" s="44"/>
      <c r="AC251" s="45">
        <f t="shared" si="7"/>
        <v>18806633</v>
      </c>
      <c r="AD251" s="45"/>
      <c r="AE251" s="48">
        <v>0</v>
      </c>
      <c r="AF251" s="48"/>
      <c r="AG251" s="45">
        <f>1050223+83000</f>
        <v>1133223</v>
      </c>
      <c r="AH251" s="45"/>
      <c r="AI251" s="45">
        <v>11591211</v>
      </c>
      <c r="AJ251" s="45"/>
      <c r="AK251" s="45">
        <v>0</v>
      </c>
      <c r="AL251" s="45"/>
      <c r="AM251" s="45">
        <f>+'Gen rev'!U251-'Gen exp'!AC251-AG251+'Gen rev'!W251+AI251+AK251-'Gen Bal'!S251-'Gen exp'!AE251</f>
        <v>0</v>
      </c>
      <c r="AN251" s="45"/>
      <c r="AO251" s="45"/>
      <c r="AP251" s="45"/>
      <c r="AQ251" s="45"/>
      <c r="AR251" s="52"/>
      <c r="AS251" s="50"/>
    </row>
    <row r="252" spans="1:45" s="49" customFormat="1" ht="12.75" customHeight="1">
      <c r="A252" s="28" t="s">
        <v>283</v>
      </c>
      <c r="C252" s="28" t="s">
        <v>43</v>
      </c>
      <c r="E252" s="45">
        <v>5181190</v>
      </c>
      <c r="F252" s="45"/>
      <c r="G252" s="45">
        <v>9358653</v>
      </c>
      <c r="H252" s="45"/>
      <c r="I252" s="45">
        <v>552755</v>
      </c>
      <c r="J252" s="45"/>
      <c r="K252" s="45">
        <v>50284</v>
      </c>
      <c r="L252" s="45"/>
      <c r="M252" s="45">
        <v>1416205</v>
      </c>
      <c r="N252" s="45"/>
      <c r="O252" s="45">
        <v>3007206</v>
      </c>
      <c r="P252" s="45"/>
      <c r="Q252" s="45">
        <v>1745040</v>
      </c>
      <c r="R252" s="45"/>
      <c r="S252" s="45">
        <v>0</v>
      </c>
      <c r="T252" s="45"/>
      <c r="U252" s="45">
        <v>0</v>
      </c>
      <c r="V252" s="45"/>
      <c r="W252" s="45">
        <v>0</v>
      </c>
      <c r="X252" s="45"/>
      <c r="Y252" s="45">
        <v>0</v>
      </c>
      <c r="Z252" s="44"/>
      <c r="AA252" s="45">
        <v>0</v>
      </c>
      <c r="AB252" s="44"/>
      <c r="AC252" s="45">
        <f t="shared" si="7"/>
        <v>21311333</v>
      </c>
      <c r="AD252" s="45"/>
      <c r="AE252" s="48">
        <v>0</v>
      </c>
      <c r="AF252" s="48"/>
      <c r="AG252" s="45">
        <f>555000+32340</f>
        <v>587340</v>
      </c>
      <c r="AH252" s="45"/>
      <c r="AI252" s="45">
        <v>2639891</v>
      </c>
      <c r="AJ252" s="45"/>
      <c r="AK252" s="45">
        <v>0</v>
      </c>
      <c r="AL252" s="45"/>
      <c r="AM252" s="45">
        <f>+'Gen rev'!U252-'Gen exp'!AC252-AG252+'Gen rev'!W252+AI252+AK252-'Gen Bal'!S252-'Gen exp'!AE252</f>
        <v>0</v>
      </c>
      <c r="AN252" s="45"/>
      <c r="AO252" s="45"/>
      <c r="AP252" s="45"/>
      <c r="AQ252" s="45"/>
      <c r="AR252" s="52"/>
      <c r="AS252" s="50"/>
    </row>
    <row r="253" spans="1:45" s="49" customFormat="1" ht="12.75" customHeight="1">
      <c r="A253" s="28" t="s">
        <v>284</v>
      </c>
      <c r="C253" s="28" t="s">
        <v>45</v>
      </c>
      <c r="E253" s="45">
        <v>2629106</v>
      </c>
      <c r="F253" s="45"/>
      <c r="G253" s="45">
        <v>2731212</v>
      </c>
      <c r="H253" s="45"/>
      <c r="I253" s="45">
        <v>335900</v>
      </c>
      <c r="J253" s="45"/>
      <c r="K253" s="45">
        <v>66983</v>
      </c>
      <c r="L253" s="45"/>
      <c r="M253" s="45">
        <v>561905</v>
      </c>
      <c r="N253" s="45"/>
      <c r="O253" s="45">
        <v>102878</v>
      </c>
      <c r="P253" s="45"/>
      <c r="Q253" s="45">
        <v>573699</v>
      </c>
      <c r="R253" s="45"/>
      <c r="S253" s="45">
        <v>0</v>
      </c>
      <c r="T253" s="45"/>
      <c r="U253" s="45">
        <v>0</v>
      </c>
      <c r="V253" s="45"/>
      <c r="W253" s="45">
        <v>3893</v>
      </c>
      <c r="X253" s="45"/>
      <c r="Y253" s="45">
        <v>7342</v>
      </c>
      <c r="Z253" s="44"/>
      <c r="AA253" s="45">
        <v>0</v>
      </c>
      <c r="AB253" s="44"/>
      <c r="AC253" s="45">
        <f t="shared" si="7"/>
        <v>7012918</v>
      </c>
      <c r="AD253" s="45"/>
      <c r="AE253" s="48">
        <v>0</v>
      </c>
      <c r="AF253" s="48"/>
      <c r="AG253" s="45">
        <v>1847436</v>
      </c>
      <c r="AH253" s="45"/>
      <c r="AI253" s="45">
        <v>3200101</v>
      </c>
      <c r="AJ253" s="45"/>
      <c r="AK253" s="45">
        <v>0</v>
      </c>
      <c r="AL253" s="45"/>
      <c r="AM253" s="45">
        <f>+'Gen rev'!U253-'Gen exp'!AC253-AG253+'Gen rev'!W253+AI253+AK253-'Gen Bal'!S253-'Gen exp'!AE253</f>
        <v>0</v>
      </c>
      <c r="AN253" s="44"/>
      <c r="AO253" s="44"/>
      <c r="AP253" s="44"/>
      <c r="AQ253" s="44"/>
    </row>
    <row r="254" spans="1:45" s="49" customFormat="1" ht="12.75" customHeight="1">
      <c r="A254" s="28" t="s">
        <v>285</v>
      </c>
      <c r="C254" s="28" t="s">
        <v>30</v>
      </c>
      <c r="E254" s="45">
        <v>2680427</v>
      </c>
      <c r="F254" s="45"/>
      <c r="G254" s="45">
        <v>0</v>
      </c>
      <c r="H254" s="45"/>
      <c r="I254" s="45">
        <v>248432</v>
      </c>
      <c r="J254" s="45"/>
      <c r="K254" s="45">
        <v>48257</v>
      </c>
      <c r="L254" s="45"/>
      <c r="M254" s="45">
        <v>272387</v>
      </c>
      <c r="N254" s="45"/>
      <c r="O254" s="45">
        <v>167728</v>
      </c>
      <c r="P254" s="45"/>
      <c r="Q254" s="45">
        <v>0</v>
      </c>
      <c r="R254" s="45"/>
      <c r="S254" s="45">
        <v>0</v>
      </c>
      <c r="T254" s="45"/>
      <c r="U254" s="45">
        <v>0</v>
      </c>
      <c r="V254" s="45"/>
      <c r="W254" s="45">
        <v>0</v>
      </c>
      <c r="X254" s="45"/>
      <c r="Y254" s="45">
        <v>0</v>
      </c>
      <c r="Z254" s="44"/>
      <c r="AA254" s="45">
        <v>0</v>
      </c>
      <c r="AB254" s="44"/>
      <c r="AC254" s="45">
        <f t="shared" si="7"/>
        <v>3417231</v>
      </c>
      <c r="AD254" s="45"/>
      <c r="AE254" s="48">
        <v>0</v>
      </c>
      <c r="AF254" s="48"/>
      <c r="AG254" s="45">
        <v>7528071</v>
      </c>
      <c r="AH254" s="45"/>
      <c r="AI254" s="45">
        <v>4500493</v>
      </c>
      <c r="AJ254" s="45"/>
      <c r="AK254" s="45">
        <v>-4443</v>
      </c>
      <c r="AL254" s="45"/>
      <c r="AM254" s="45">
        <f>+'Gen rev'!U254-'Gen exp'!AC254-AG254+'Gen rev'!W254+AI254+AK254-'Gen Bal'!S254-'Gen exp'!AE254</f>
        <v>0</v>
      </c>
      <c r="AN254" s="44"/>
      <c r="AO254" s="44"/>
      <c r="AP254" s="44"/>
      <c r="AQ254" s="44"/>
    </row>
    <row r="255" spans="1:45" s="129" customFormat="1" ht="12.75" hidden="1" customHeight="1">
      <c r="A255" s="151" t="s">
        <v>286</v>
      </c>
      <c r="C255" s="151" t="s">
        <v>61</v>
      </c>
      <c r="E255" s="127">
        <v>0</v>
      </c>
      <c r="F255" s="127"/>
      <c r="G255" s="127">
        <v>0</v>
      </c>
      <c r="H255" s="127"/>
      <c r="I255" s="127">
        <v>0</v>
      </c>
      <c r="J255" s="127"/>
      <c r="K255" s="127">
        <v>0</v>
      </c>
      <c r="L255" s="127"/>
      <c r="M255" s="127">
        <v>0</v>
      </c>
      <c r="N255" s="127"/>
      <c r="O255" s="127">
        <v>0</v>
      </c>
      <c r="P255" s="127"/>
      <c r="Q255" s="127">
        <v>0</v>
      </c>
      <c r="R255" s="127"/>
      <c r="S255" s="127">
        <v>0</v>
      </c>
      <c r="T255" s="127"/>
      <c r="U255" s="127">
        <v>0</v>
      </c>
      <c r="V255" s="127"/>
      <c r="W255" s="127">
        <v>0</v>
      </c>
      <c r="X255" s="127"/>
      <c r="Y255" s="127">
        <v>0</v>
      </c>
      <c r="Z255" s="121"/>
      <c r="AA255" s="127">
        <v>0</v>
      </c>
      <c r="AB255" s="121"/>
      <c r="AC255" s="127">
        <f t="shared" si="7"/>
        <v>0</v>
      </c>
      <c r="AD255" s="127"/>
      <c r="AE255" s="130">
        <v>0</v>
      </c>
      <c r="AF255" s="130"/>
      <c r="AG255" s="127">
        <v>0</v>
      </c>
      <c r="AH255" s="127"/>
      <c r="AI255" s="127">
        <v>0</v>
      </c>
      <c r="AJ255" s="127"/>
      <c r="AK255" s="127">
        <v>0</v>
      </c>
      <c r="AL255" s="127"/>
      <c r="AM255" s="127">
        <f>+'Gen rev'!U255-'Gen exp'!AC255-AG255+'Gen rev'!W255+AI255+AK255-'Gen Bal'!S255-'Gen exp'!AE255</f>
        <v>0</v>
      </c>
      <c r="AN255" s="121"/>
      <c r="AO255" s="121"/>
      <c r="AP255" s="121"/>
      <c r="AQ255" s="121"/>
    </row>
    <row r="256" spans="1:45" s="49" customFormat="1" ht="12.75" customHeight="1">
      <c r="A256" s="28" t="s">
        <v>287</v>
      </c>
      <c r="C256" s="28" t="s">
        <v>288</v>
      </c>
      <c r="E256" s="45">
        <v>2490336</v>
      </c>
      <c r="F256" s="45"/>
      <c r="G256" s="45">
        <v>1519788</v>
      </c>
      <c r="H256" s="45"/>
      <c r="I256" s="45">
        <v>284245</v>
      </c>
      <c r="J256" s="45"/>
      <c r="K256" s="45">
        <v>53743</v>
      </c>
      <c r="L256" s="45"/>
      <c r="M256" s="45">
        <v>0</v>
      </c>
      <c r="N256" s="45"/>
      <c r="O256" s="45">
        <v>404128</v>
      </c>
      <c r="P256" s="45"/>
      <c r="Q256" s="45">
        <v>0</v>
      </c>
      <c r="R256" s="45"/>
      <c r="S256" s="45">
        <v>247582</v>
      </c>
      <c r="T256" s="45"/>
      <c r="U256" s="45">
        <v>0</v>
      </c>
      <c r="V256" s="45"/>
      <c r="W256" s="45">
        <v>0</v>
      </c>
      <c r="X256" s="45"/>
      <c r="Y256" s="45">
        <v>24307</v>
      </c>
      <c r="Z256" s="44"/>
      <c r="AA256" s="45">
        <v>0</v>
      </c>
      <c r="AB256" s="44"/>
      <c r="AC256" s="45">
        <f t="shared" ref="AC256" si="8">SUM(E256:AA256)</f>
        <v>5024129</v>
      </c>
      <c r="AD256" s="45"/>
      <c r="AE256" s="48">
        <v>0</v>
      </c>
      <c r="AF256" s="48"/>
      <c r="AG256" s="45">
        <v>7260267</v>
      </c>
      <c r="AH256" s="45"/>
      <c r="AI256" s="45">
        <v>1213947</v>
      </c>
      <c r="AJ256" s="45"/>
      <c r="AK256" s="45">
        <v>0</v>
      </c>
      <c r="AL256" s="45"/>
      <c r="AM256" s="45">
        <f>+'Gen rev'!U256-'Gen exp'!AC256-AG256+'Gen rev'!W256+AI256+AK256-'Gen Bal'!S256-'Gen exp'!AE256</f>
        <v>0</v>
      </c>
      <c r="AN256" s="44"/>
      <c r="AO256" s="44"/>
      <c r="AP256" s="44"/>
      <c r="AQ256" s="44"/>
    </row>
    <row r="257" spans="1:45" s="47" customFormat="1" ht="12.75" customHeight="1">
      <c r="A257" s="50"/>
      <c r="B257" s="51"/>
      <c r="C257" s="50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51"/>
      <c r="AA257" s="49"/>
      <c r="AB257" s="51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</row>
    <row r="258" spans="1:45" s="49" customFormat="1" ht="12.75" customHeight="1">
      <c r="A258" s="50"/>
      <c r="C258" s="50"/>
      <c r="D258" s="47"/>
    </row>
    <row r="259" spans="1:45" s="49" customFormat="1" ht="12.75" customHeight="1">
      <c r="A259" s="50"/>
      <c r="C259" s="50"/>
    </row>
    <row r="260" spans="1:45" s="49" customFormat="1" ht="12.75" customHeight="1">
      <c r="A260" s="50"/>
      <c r="C260" s="50"/>
    </row>
    <row r="261" spans="1:45" s="49" customFormat="1" ht="12.75" customHeight="1">
      <c r="A261" s="50"/>
      <c r="C261" s="50"/>
    </row>
    <row r="262" spans="1:45" s="49" customFormat="1" ht="12.75" customHeight="1">
      <c r="A262" s="50"/>
      <c r="C262" s="50"/>
      <c r="D262" s="47"/>
    </row>
    <row r="263" spans="1:45" s="49" customFormat="1" ht="12.75" customHeight="1">
      <c r="A263" s="50"/>
      <c r="C263" s="50"/>
      <c r="D263" s="47"/>
    </row>
    <row r="264" spans="1:45" s="49" customFormat="1" ht="12.75" customHeight="1">
      <c r="A264" s="50"/>
      <c r="C264" s="50"/>
      <c r="D264" s="47"/>
    </row>
    <row r="265" spans="1:45" s="49" customFormat="1" ht="12.75" customHeight="1">
      <c r="A265" s="50"/>
      <c r="C265" s="50"/>
      <c r="D265" s="47"/>
    </row>
    <row r="266" spans="1:45" s="49" customFormat="1" ht="12.75" customHeight="1">
      <c r="A266" s="50"/>
      <c r="C266" s="50"/>
      <c r="D266" s="47"/>
    </row>
    <row r="267" spans="1:45" s="49" customFormat="1" ht="12.75" customHeight="1">
      <c r="A267" s="50"/>
      <c r="C267" s="50"/>
      <c r="D267" s="47"/>
    </row>
    <row r="268" spans="1:45" s="49" customFormat="1" ht="12.75" customHeight="1">
      <c r="A268" s="50"/>
      <c r="C268" s="50"/>
      <c r="D268" s="47"/>
    </row>
    <row r="269" spans="1:45" s="49" customFormat="1" ht="12.75" customHeight="1">
      <c r="A269" s="50"/>
      <c r="C269" s="50"/>
      <c r="D269" s="47"/>
    </row>
    <row r="270" spans="1:45" s="49" customFormat="1" ht="12.75" customHeight="1">
      <c r="A270" s="50"/>
      <c r="C270" s="50"/>
      <c r="D270" s="47"/>
    </row>
    <row r="271" spans="1:45" s="49" customFormat="1" ht="12.75" customHeight="1">
      <c r="A271" s="50"/>
      <c r="C271" s="50"/>
      <c r="D271" s="47"/>
      <c r="AR271" s="47"/>
      <c r="AS271" s="47"/>
    </row>
    <row r="272" spans="1:45" s="49" customFormat="1" ht="12.75" customHeight="1">
      <c r="A272" s="50"/>
      <c r="C272" s="50"/>
      <c r="D272" s="47"/>
      <c r="AR272" s="47"/>
      <c r="AS272" s="47"/>
    </row>
    <row r="273" spans="1:45" s="49" customFormat="1" ht="12.75" customHeight="1">
      <c r="A273" s="50"/>
      <c r="C273" s="50"/>
      <c r="D273" s="47"/>
      <c r="AR273" s="47"/>
      <c r="AS273" s="47"/>
    </row>
    <row r="274" spans="1:45" s="49" customFormat="1" ht="12.75" customHeight="1">
      <c r="A274" s="50"/>
      <c r="C274" s="50"/>
      <c r="D274" s="47"/>
      <c r="AR274" s="47"/>
      <c r="AS274" s="47"/>
    </row>
    <row r="275" spans="1:45" s="49" customFormat="1" ht="12.75" customHeight="1">
      <c r="A275" s="50"/>
      <c r="C275" s="50"/>
      <c r="D275" s="47"/>
      <c r="AR275" s="47"/>
      <c r="AS275" s="47"/>
    </row>
    <row r="276" spans="1:45" s="49" customFormat="1" ht="12.75" customHeight="1">
      <c r="A276" s="50"/>
      <c r="C276" s="50"/>
      <c r="D276" s="47"/>
      <c r="AR276" s="47"/>
      <c r="AS276" s="47"/>
    </row>
    <row r="277" spans="1:45" s="49" customFormat="1" ht="12.75" customHeight="1">
      <c r="A277" s="50"/>
      <c r="C277" s="50"/>
      <c r="D277" s="47"/>
      <c r="AR277" s="47"/>
      <c r="AS277" s="47"/>
    </row>
    <row r="278" spans="1:45" s="49" customFormat="1" ht="12.75" customHeight="1">
      <c r="A278" s="50"/>
      <c r="C278" s="50"/>
      <c r="D278" s="47"/>
      <c r="AR278" s="47"/>
      <c r="AS278" s="47"/>
    </row>
    <row r="279" spans="1:45" s="49" customFormat="1" ht="12.75" customHeight="1">
      <c r="A279" s="50"/>
      <c r="C279" s="50"/>
      <c r="D279" s="47"/>
      <c r="AR279" s="47"/>
      <c r="AS279" s="47"/>
    </row>
    <row r="280" spans="1:45" s="49" customFormat="1" ht="12.75" customHeight="1">
      <c r="A280" s="50"/>
      <c r="C280" s="50"/>
      <c r="D280" s="47"/>
      <c r="AR280" s="47"/>
      <c r="AS280" s="47"/>
    </row>
    <row r="281" spans="1:45" s="49" customFormat="1" ht="12.75" customHeight="1">
      <c r="A281" s="50"/>
      <c r="C281" s="50"/>
      <c r="D281" s="47"/>
      <c r="AR281" s="47"/>
      <c r="AS281" s="47"/>
    </row>
    <row r="282" spans="1:45" s="49" customFormat="1" ht="12.75" customHeight="1">
      <c r="A282" s="50"/>
      <c r="C282" s="50"/>
      <c r="D282" s="47"/>
      <c r="AR282" s="47"/>
      <c r="AS282" s="47"/>
    </row>
    <row r="283" spans="1:45" s="49" customFormat="1" ht="12.75" customHeight="1">
      <c r="A283" s="50"/>
      <c r="C283" s="50"/>
      <c r="D283" s="47"/>
      <c r="AR283" s="47"/>
      <c r="AS283" s="47"/>
    </row>
    <row r="284" spans="1:45" s="49" customFormat="1" ht="12.75" customHeight="1">
      <c r="A284" s="50"/>
      <c r="C284" s="50"/>
      <c r="D284" s="47"/>
      <c r="AR284" s="47"/>
      <c r="AS284" s="47"/>
    </row>
    <row r="285" spans="1:45" s="49" customFormat="1" ht="12.75" customHeight="1">
      <c r="A285" s="50"/>
      <c r="C285" s="50"/>
      <c r="D285" s="47"/>
      <c r="AR285" s="47"/>
      <c r="AS285" s="47"/>
    </row>
    <row r="286" spans="1:45" s="49" customFormat="1" ht="12.75" customHeight="1">
      <c r="A286" s="50"/>
      <c r="C286" s="50"/>
      <c r="D286" s="47"/>
      <c r="AR286" s="47"/>
      <c r="AS286" s="47"/>
    </row>
    <row r="287" spans="1:45" s="49" customFormat="1" ht="12.75" customHeight="1">
      <c r="A287" s="50"/>
      <c r="C287" s="50"/>
      <c r="D287" s="47"/>
      <c r="AR287" s="47"/>
      <c r="AS287" s="47"/>
    </row>
    <row r="288" spans="1:45" s="49" customFormat="1" ht="12.75" customHeight="1">
      <c r="A288" s="50"/>
      <c r="C288" s="50"/>
      <c r="D288" s="47"/>
      <c r="AR288" s="47"/>
      <c r="AS288" s="47"/>
    </row>
    <row r="289" spans="1:45" s="49" customFormat="1" ht="12.75" customHeight="1">
      <c r="A289" s="50"/>
      <c r="C289" s="50"/>
      <c r="D289" s="47"/>
      <c r="AR289" s="47"/>
      <c r="AS289" s="47"/>
    </row>
    <row r="290" spans="1:45" s="49" customFormat="1" ht="12.75" customHeight="1">
      <c r="A290" s="50"/>
      <c r="C290" s="50"/>
      <c r="D290" s="47"/>
      <c r="AR290" s="47"/>
      <c r="AS290" s="47"/>
    </row>
    <row r="291" spans="1:45" s="49" customFormat="1" ht="12.75" customHeight="1">
      <c r="A291" s="50"/>
      <c r="C291" s="50"/>
      <c r="D291" s="47"/>
      <c r="AR291" s="47"/>
      <c r="AS291" s="47"/>
    </row>
    <row r="292" spans="1:45" s="49" customFormat="1" ht="12.75" customHeight="1">
      <c r="A292" s="50"/>
      <c r="C292" s="50"/>
      <c r="D292" s="47"/>
      <c r="AR292" s="47"/>
      <c r="AS292" s="47"/>
    </row>
    <row r="293" spans="1:45" s="49" customFormat="1" ht="12.75" customHeight="1">
      <c r="A293" s="50"/>
      <c r="C293" s="50"/>
      <c r="D293" s="47"/>
      <c r="AR293" s="47"/>
      <c r="AS293" s="47"/>
    </row>
    <row r="294" spans="1:45" s="49" customFormat="1" ht="12.75" customHeight="1">
      <c r="A294" s="50"/>
      <c r="C294" s="50"/>
      <c r="D294" s="47"/>
      <c r="AR294" s="47"/>
      <c r="AS294" s="47"/>
    </row>
    <row r="295" spans="1:45" s="49" customFormat="1" ht="12.75" customHeight="1">
      <c r="A295" s="50"/>
      <c r="C295" s="50"/>
      <c r="D295" s="47"/>
      <c r="AR295" s="47"/>
      <c r="AS295" s="47"/>
    </row>
    <row r="296" spans="1:45" s="49" customFormat="1" ht="12.75" customHeight="1">
      <c r="A296" s="50"/>
      <c r="C296" s="50"/>
      <c r="D296" s="47"/>
      <c r="AR296" s="47"/>
      <c r="AS296" s="47"/>
    </row>
    <row r="297" spans="1:45" s="49" customFormat="1" ht="12.75" customHeight="1">
      <c r="A297" s="50"/>
      <c r="C297" s="50"/>
      <c r="D297" s="47"/>
      <c r="AR297" s="47"/>
      <c r="AS297" s="47"/>
    </row>
    <row r="298" spans="1:45" s="49" customFormat="1" ht="12.75" customHeight="1">
      <c r="A298" s="50"/>
      <c r="C298" s="50"/>
      <c r="D298" s="47"/>
      <c r="AR298" s="47"/>
      <c r="AS298" s="47"/>
    </row>
    <row r="299" spans="1:45" s="49" customFormat="1" ht="12.75" customHeight="1">
      <c r="A299" s="50"/>
      <c r="C299" s="50"/>
      <c r="D299" s="47"/>
      <c r="AR299" s="47"/>
      <c r="AS299" s="47"/>
    </row>
    <row r="300" spans="1:45" s="49" customFormat="1" ht="12.75" customHeight="1">
      <c r="A300" s="50"/>
      <c r="C300" s="50"/>
      <c r="D300" s="47"/>
      <c r="AR300" s="47"/>
      <c r="AS300" s="47"/>
    </row>
    <row r="301" spans="1:45" s="49" customFormat="1" ht="12.75" customHeight="1">
      <c r="A301" s="50"/>
      <c r="C301" s="50"/>
      <c r="D301" s="47"/>
      <c r="AR301" s="47"/>
      <c r="AS301" s="47"/>
    </row>
    <row r="302" spans="1:45" s="49" customFormat="1" ht="12.75" customHeight="1">
      <c r="A302" s="50"/>
      <c r="C302" s="50"/>
      <c r="D302" s="47"/>
      <c r="AR302" s="47"/>
      <c r="AS302" s="47"/>
    </row>
    <row r="303" spans="1:45" s="49" customFormat="1" ht="12.75" customHeight="1">
      <c r="A303" s="50"/>
      <c r="C303" s="50"/>
      <c r="D303" s="47"/>
      <c r="AR303" s="47"/>
      <c r="AS303" s="47"/>
    </row>
    <row r="304" spans="1:45" s="49" customFormat="1" ht="12.75" customHeight="1">
      <c r="A304" s="50"/>
      <c r="C304" s="50"/>
      <c r="D304" s="47"/>
      <c r="AR304" s="47"/>
      <c r="AS304" s="47"/>
    </row>
    <row r="305" spans="1:45" s="49" customFormat="1" ht="12.75" customHeight="1">
      <c r="A305" s="50"/>
      <c r="C305" s="50"/>
      <c r="D305" s="47"/>
      <c r="AR305" s="47"/>
      <c r="AS305" s="47"/>
    </row>
    <row r="306" spans="1:45" s="49" customFormat="1" ht="12.75" customHeight="1">
      <c r="A306" s="50"/>
      <c r="C306" s="50"/>
      <c r="D306" s="47"/>
      <c r="AR306" s="47"/>
      <c r="AS306" s="47"/>
    </row>
    <row r="307" spans="1:45" s="17" customFormat="1" ht="12.75" customHeight="1">
      <c r="A307" s="11"/>
      <c r="C307" s="11"/>
      <c r="D307" s="10"/>
      <c r="AR307" s="10"/>
      <c r="AS307" s="10"/>
    </row>
    <row r="308" spans="1:45" s="17" customFormat="1" ht="12.75" customHeight="1">
      <c r="A308" s="11"/>
      <c r="C308" s="11"/>
      <c r="D308" s="10"/>
      <c r="AR308" s="10"/>
      <c r="AS308" s="10"/>
    </row>
    <row r="309" spans="1:45" s="17" customFormat="1" ht="12.75" customHeight="1">
      <c r="A309" s="11"/>
      <c r="C309" s="11"/>
      <c r="D309" s="10"/>
      <c r="AR309" s="10"/>
      <c r="AS309" s="10"/>
    </row>
    <row r="310" spans="1:45" s="17" customFormat="1" ht="12.75" customHeight="1">
      <c r="A310" s="11"/>
      <c r="C310" s="11"/>
      <c r="D310" s="10"/>
      <c r="AR310" s="10"/>
      <c r="AS310" s="10"/>
    </row>
    <row r="311" spans="1:45" s="17" customFormat="1" ht="12.75" customHeight="1">
      <c r="A311" s="11"/>
      <c r="C311" s="11"/>
      <c r="D311" s="10"/>
      <c r="AR311" s="10"/>
      <c r="AS311" s="10"/>
    </row>
    <row r="312" spans="1:45" s="17" customFormat="1" ht="12.75" customHeight="1">
      <c r="A312" s="11"/>
      <c r="C312" s="11"/>
      <c r="D312" s="10"/>
      <c r="AR312" s="10"/>
      <c r="AS312" s="10"/>
    </row>
    <row r="313" spans="1:45" s="17" customFormat="1" ht="12.75" customHeight="1">
      <c r="A313" s="11"/>
      <c r="C313" s="11"/>
      <c r="D313" s="10"/>
      <c r="AR313" s="10"/>
      <c r="AS313" s="10"/>
    </row>
    <row r="314" spans="1:45" s="17" customFormat="1" ht="12.75" customHeight="1">
      <c r="A314" s="11"/>
      <c r="C314" s="11"/>
      <c r="D314" s="10"/>
      <c r="AR314" s="10"/>
      <c r="AS314" s="10"/>
    </row>
    <row r="315" spans="1:45" s="17" customFormat="1" ht="12.75" customHeight="1">
      <c r="A315" s="11"/>
      <c r="C315" s="11"/>
      <c r="D315" s="10"/>
      <c r="AR315" s="10"/>
      <c r="AS315" s="10"/>
    </row>
    <row r="316" spans="1:45" s="17" customFormat="1" ht="12.75" customHeight="1">
      <c r="A316" s="11"/>
      <c r="C316" s="11"/>
      <c r="D316" s="10"/>
      <c r="AR316" s="10"/>
      <c r="AS316" s="10"/>
    </row>
    <row r="317" spans="1:45" s="17" customFormat="1" ht="12.75" customHeight="1">
      <c r="A317" s="11"/>
      <c r="C317" s="11"/>
      <c r="D317" s="10"/>
      <c r="AR317" s="10"/>
      <c r="AS317" s="10"/>
    </row>
    <row r="318" spans="1:45" s="17" customFormat="1" ht="12.75" customHeight="1">
      <c r="A318" s="11"/>
      <c r="C318" s="11"/>
      <c r="D318" s="10"/>
      <c r="AR318" s="10"/>
      <c r="AS318" s="10"/>
    </row>
    <row r="319" spans="1:45" s="17" customFormat="1" ht="12.75" customHeight="1">
      <c r="A319" s="11"/>
      <c r="C319" s="11"/>
      <c r="D319" s="10"/>
      <c r="AR319" s="10"/>
      <c r="AS319" s="10"/>
    </row>
    <row r="320" spans="1:45" s="17" customFormat="1" ht="12.75" customHeight="1">
      <c r="A320" s="11"/>
      <c r="C320" s="11"/>
      <c r="D320" s="10"/>
      <c r="AR320" s="10"/>
      <c r="AS320" s="10"/>
    </row>
    <row r="321" spans="1:45" s="17" customFormat="1" ht="12.75" customHeight="1">
      <c r="A321" s="11"/>
      <c r="C321" s="11"/>
      <c r="D321" s="10"/>
      <c r="AR321" s="10"/>
      <c r="AS321" s="10"/>
    </row>
    <row r="322" spans="1:45" s="17" customFormat="1" ht="12.75" customHeight="1">
      <c r="A322" s="11"/>
      <c r="C322" s="11"/>
      <c r="D322" s="10"/>
      <c r="AR322" s="10"/>
      <c r="AS322" s="10"/>
    </row>
    <row r="323" spans="1:45" s="17" customFormat="1" ht="12.75" customHeight="1">
      <c r="A323" s="11"/>
      <c r="C323" s="11"/>
      <c r="D323" s="10"/>
      <c r="AR323" s="10"/>
      <c r="AS323" s="10"/>
    </row>
    <row r="324" spans="1:45" s="17" customFormat="1" ht="12.75" customHeight="1">
      <c r="A324" s="11"/>
      <c r="C324" s="11"/>
      <c r="D324" s="10"/>
      <c r="AR324" s="10"/>
      <c r="AS324" s="10"/>
    </row>
    <row r="325" spans="1:45" s="17" customFormat="1" ht="12.75" customHeight="1">
      <c r="A325" s="11"/>
      <c r="C325" s="11"/>
      <c r="D325" s="10"/>
      <c r="AR325" s="10"/>
      <c r="AS325" s="10"/>
    </row>
    <row r="326" spans="1:45" s="17" customFormat="1" ht="12.75" customHeight="1">
      <c r="A326" s="11"/>
      <c r="C326" s="11"/>
      <c r="D326" s="10"/>
      <c r="AR326" s="10"/>
      <c r="AS326" s="10"/>
    </row>
    <row r="327" spans="1:45" s="17" customFormat="1" ht="12.75" customHeight="1">
      <c r="A327" s="11"/>
      <c r="C327" s="11"/>
      <c r="D327" s="10"/>
      <c r="AR327" s="10"/>
      <c r="AS327" s="10"/>
    </row>
    <row r="328" spans="1:45" s="17" customFormat="1" ht="12.75" customHeight="1">
      <c r="A328" s="11"/>
      <c r="C328" s="11"/>
      <c r="D328" s="10"/>
      <c r="AR328" s="10"/>
      <c r="AS328" s="10"/>
    </row>
    <row r="329" spans="1:45" s="17" customFormat="1" ht="12.75" customHeight="1">
      <c r="A329" s="11"/>
      <c r="C329" s="11"/>
      <c r="D329" s="10"/>
      <c r="AR329" s="10"/>
      <c r="AS329" s="10"/>
    </row>
    <row r="330" spans="1:45" s="17" customFormat="1" ht="12.75" customHeight="1">
      <c r="A330" s="11"/>
      <c r="C330" s="11"/>
      <c r="D330" s="10"/>
      <c r="AR330" s="10"/>
      <c r="AS330" s="10"/>
    </row>
    <row r="331" spans="1:45" s="17" customFormat="1" ht="12.75" customHeight="1">
      <c r="A331" s="11"/>
      <c r="C331" s="11"/>
      <c r="D331" s="10"/>
      <c r="AR331" s="10"/>
      <c r="AS331" s="10"/>
    </row>
    <row r="332" spans="1:45" s="17" customFormat="1" ht="12.75" customHeight="1">
      <c r="A332" s="11"/>
      <c r="C332" s="11"/>
      <c r="D332" s="10"/>
      <c r="AR332" s="10"/>
      <c r="AS332" s="10"/>
    </row>
    <row r="333" spans="1:45" s="17" customFormat="1" ht="12.75" customHeight="1">
      <c r="A333" s="11"/>
      <c r="C333" s="11"/>
      <c r="D333" s="10"/>
      <c r="AR333" s="10"/>
      <c r="AS333" s="10"/>
    </row>
    <row r="334" spans="1:45" s="17" customFormat="1" ht="12.75" customHeight="1">
      <c r="A334" s="11"/>
      <c r="C334" s="11"/>
      <c r="D334" s="10"/>
      <c r="AR334" s="10"/>
      <c r="AS334" s="10"/>
    </row>
    <row r="335" spans="1:45" s="17" customFormat="1" ht="12.75" customHeight="1">
      <c r="A335" s="11"/>
      <c r="C335" s="11"/>
      <c r="D335" s="10"/>
      <c r="AR335" s="10"/>
      <c r="AS335" s="10"/>
    </row>
    <row r="336" spans="1:45" s="17" customFormat="1" ht="12.75" customHeight="1">
      <c r="A336" s="11"/>
      <c r="C336" s="11"/>
      <c r="D336" s="10"/>
      <c r="AR336" s="10"/>
      <c r="AS336" s="10"/>
    </row>
    <row r="337" spans="1:45" s="17" customFormat="1" ht="12.75" customHeight="1">
      <c r="A337" s="11"/>
      <c r="C337" s="11"/>
      <c r="D337" s="10"/>
      <c r="AR337" s="10"/>
      <c r="AS337" s="10"/>
    </row>
    <row r="338" spans="1:45" s="17" customFormat="1" ht="12.75" customHeight="1">
      <c r="A338" s="11"/>
      <c r="C338" s="11"/>
      <c r="D338" s="10"/>
      <c r="AR338" s="10"/>
      <c r="AS338" s="10"/>
    </row>
    <row r="339" spans="1:45" s="17" customFormat="1" ht="12.75" customHeight="1">
      <c r="A339" s="11"/>
      <c r="C339" s="11"/>
      <c r="D339" s="10"/>
      <c r="AR339" s="10"/>
      <c r="AS339" s="10"/>
    </row>
    <row r="340" spans="1:45" s="17" customFormat="1" ht="12.75" customHeight="1">
      <c r="A340" s="11"/>
      <c r="C340" s="11"/>
      <c r="D340" s="10"/>
      <c r="AR340" s="10"/>
      <c r="AS340" s="10"/>
    </row>
    <row r="341" spans="1:45" s="17" customFormat="1" ht="12.75" customHeight="1">
      <c r="A341" s="11"/>
      <c r="C341" s="11"/>
      <c r="D341" s="10"/>
      <c r="AR341" s="10"/>
      <c r="AS341" s="10"/>
    </row>
    <row r="342" spans="1:45" s="17" customFormat="1" ht="12.75" customHeight="1">
      <c r="A342" s="11"/>
      <c r="C342" s="11"/>
      <c r="D342" s="10"/>
      <c r="AR342" s="10"/>
      <c r="AS342" s="10"/>
    </row>
    <row r="343" spans="1:45" s="17" customFormat="1" ht="12.75" customHeight="1">
      <c r="A343" s="11"/>
      <c r="C343" s="11"/>
      <c r="D343" s="10"/>
      <c r="AR343" s="10"/>
      <c r="AS343" s="10"/>
    </row>
    <row r="344" spans="1:45" s="17" customFormat="1" ht="12.75" customHeight="1">
      <c r="A344" s="11"/>
      <c r="C344" s="11"/>
      <c r="D344" s="10"/>
      <c r="AR344" s="10"/>
      <c r="AS344" s="10"/>
    </row>
    <row r="345" spans="1:45" s="17" customFormat="1" ht="12.75" customHeight="1">
      <c r="A345" s="11"/>
      <c r="C345" s="11"/>
      <c r="D345" s="10"/>
      <c r="AR345" s="10"/>
      <c r="AS345" s="10"/>
    </row>
    <row r="346" spans="1:45" s="17" customFormat="1" ht="12.75" customHeight="1">
      <c r="A346" s="11"/>
      <c r="C346" s="11"/>
      <c r="D346" s="10"/>
      <c r="AR346" s="10"/>
      <c r="AS346" s="10"/>
    </row>
    <row r="347" spans="1:45" s="17" customFormat="1" ht="12.75" customHeight="1">
      <c r="A347" s="11"/>
      <c r="C347" s="11"/>
      <c r="D347" s="10"/>
      <c r="AR347" s="10"/>
      <c r="AS347" s="10"/>
    </row>
    <row r="348" spans="1:45" s="17" customFormat="1" ht="12.75" customHeight="1">
      <c r="A348" s="11"/>
      <c r="C348" s="11"/>
      <c r="D348" s="10"/>
      <c r="AR348" s="10"/>
      <c r="AS348" s="10"/>
    </row>
    <row r="349" spans="1:45" s="17" customFormat="1" ht="12.75" customHeight="1">
      <c r="A349" s="11"/>
      <c r="C349" s="11"/>
      <c r="D349" s="10"/>
      <c r="AR349" s="10"/>
      <c r="AS349" s="10"/>
    </row>
    <row r="350" spans="1:45" s="17" customFormat="1" ht="12.75" customHeight="1">
      <c r="A350" s="11"/>
      <c r="C350" s="11"/>
      <c r="D350" s="10"/>
      <c r="AR350" s="10"/>
      <c r="AS350" s="10"/>
    </row>
    <row r="351" spans="1:45" s="17" customFormat="1" ht="12.75" customHeight="1">
      <c r="A351" s="11"/>
      <c r="C351" s="11"/>
      <c r="D351" s="10"/>
      <c r="AR351" s="10"/>
      <c r="AS351" s="10"/>
    </row>
    <row r="352" spans="1:45" s="17" customFormat="1" ht="12.75" customHeight="1">
      <c r="A352" s="11"/>
      <c r="C352" s="11"/>
      <c r="D352" s="10"/>
      <c r="AR352" s="10"/>
      <c r="AS352" s="10"/>
    </row>
    <row r="353" spans="1:45" s="17" customFormat="1" ht="12.75" customHeight="1">
      <c r="A353" s="11"/>
      <c r="C353" s="11"/>
      <c r="D353" s="10"/>
      <c r="AR353" s="10"/>
      <c r="AS353" s="10"/>
    </row>
    <row r="354" spans="1:45" s="17" customFormat="1" ht="12.75" customHeight="1">
      <c r="A354" s="11"/>
      <c r="C354" s="11"/>
      <c r="D354" s="10"/>
      <c r="AR354" s="10"/>
      <c r="AS354" s="10"/>
    </row>
    <row r="355" spans="1:45" s="17" customFormat="1" ht="12.75" customHeight="1">
      <c r="A355" s="11"/>
      <c r="C355" s="11"/>
      <c r="D355" s="10"/>
      <c r="AR355" s="10"/>
      <c r="AS355" s="10"/>
    </row>
    <row r="356" spans="1:45" s="17" customFormat="1" ht="12.75" customHeight="1">
      <c r="A356" s="11"/>
      <c r="C356" s="11"/>
      <c r="D356" s="10"/>
      <c r="AR356" s="10"/>
      <c r="AS356" s="10"/>
    </row>
    <row r="357" spans="1:45" s="17" customFormat="1" ht="12.75" customHeight="1">
      <c r="A357" s="11"/>
      <c r="C357" s="11"/>
      <c r="D357" s="10"/>
      <c r="AR357" s="10"/>
      <c r="AS357" s="10"/>
    </row>
    <row r="358" spans="1:45" s="17" customFormat="1" ht="12.75" customHeight="1">
      <c r="A358" s="11"/>
      <c r="C358" s="11"/>
      <c r="D358" s="10"/>
      <c r="AR358" s="10"/>
      <c r="AS358" s="10"/>
    </row>
    <row r="359" spans="1:45" s="17" customFormat="1" ht="12.75" customHeight="1">
      <c r="A359" s="11"/>
      <c r="C359" s="11"/>
      <c r="D359" s="10"/>
      <c r="AR359" s="10"/>
      <c r="AS359" s="10"/>
    </row>
    <row r="360" spans="1:45" s="17" customFormat="1" ht="12.75" customHeight="1">
      <c r="A360" s="11"/>
      <c r="C360" s="11"/>
      <c r="D360" s="10"/>
      <c r="AR360" s="10"/>
      <c r="AS360" s="10"/>
    </row>
    <row r="361" spans="1:45" s="17" customFormat="1" ht="12.75" customHeight="1">
      <c r="A361" s="11"/>
      <c r="C361" s="11"/>
      <c r="D361" s="10"/>
      <c r="AR361" s="10"/>
      <c r="AS361" s="10"/>
    </row>
    <row r="362" spans="1:45" s="17" customFormat="1" ht="12.75" customHeight="1">
      <c r="A362" s="11"/>
      <c r="C362" s="11"/>
      <c r="D362" s="10"/>
      <c r="AR362" s="10"/>
      <c r="AS362" s="10"/>
    </row>
    <row r="363" spans="1:45" s="17" customFormat="1" ht="12.75" customHeight="1">
      <c r="A363" s="11"/>
      <c r="C363" s="11"/>
      <c r="D363" s="10"/>
      <c r="AR363" s="10"/>
      <c r="AS363" s="10"/>
    </row>
    <row r="364" spans="1:45" s="17" customFormat="1" ht="12.75" customHeight="1">
      <c r="A364" s="11"/>
      <c r="C364" s="11"/>
      <c r="D364" s="10"/>
      <c r="AR364" s="10"/>
      <c r="AS364" s="10"/>
    </row>
    <row r="365" spans="1:45" s="17" customFormat="1" ht="12.75" customHeight="1">
      <c r="A365" s="11"/>
      <c r="C365" s="11"/>
      <c r="D365" s="10"/>
      <c r="AR365" s="10"/>
      <c r="AS365" s="10"/>
    </row>
    <row r="366" spans="1:45" s="17" customFormat="1" ht="12.75" customHeight="1">
      <c r="A366" s="11"/>
      <c r="C366" s="11"/>
      <c r="D366" s="10"/>
      <c r="AR366" s="10"/>
      <c r="AS366" s="10"/>
    </row>
    <row r="367" spans="1:45" s="17" customFormat="1" ht="12.75" customHeight="1">
      <c r="A367" s="11"/>
      <c r="C367" s="11"/>
      <c r="D367" s="10"/>
      <c r="AR367" s="10"/>
      <c r="AS367" s="10"/>
    </row>
    <row r="368" spans="1:45" s="17" customFormat="1" ht="12.75" customHeight="1">
      <c r="A368" s="11"/>
      <c r="C368" s="11"/>
      <c r="D368" s="10"/>
      <c r="AR368" s="10"/>
      <c r="AS368" s="10"/>
    </row>
    <row r="369" spans="1:45" s="17" customFormat="1" ht="12.75" customHeight="1">
      <c r="A369" s="11"/>
      <c r="C369" s="11"/>
      <c r="D369" s="10"/>
      <c r="AR369" s="10"/>
      <c r="AS369" s="10"/>
    </row>
    <row r="370" spans="1:45" s="17" customFormat="1" ht="12.75" customHeight="1">
      <c r="A370" s="11"/>
      <c r="C370" s="11"/>
      <c r="D370" s="10"/>
      <c r="AR370" s="10"/>
      <c r="AS370" s="10"/>
    </row>
    <row r="371" spans="1:45" s="17" customFormat="1" ht="12.75" customHeight="1">
      <c r="A371" s="11"/>
      <c r="C371" s="11"/>
      <c r="D371" s="10"/>
      <c r="AR371" s="10"/>
      <c r="AS371" s="10"/>
    </row>
    <row r="372" spans="1:45" s="17" customFormat="1" ht="12.75" customHeight="1">
      <c r="A372" s="11"/>
      <c r="C372" s="11"/>
      <c r="D372" s="10"/>
      <c r="AR372" s="10"/>
      <c r="AS372" s="10"/>
    </row>
    <row r="373" spans="1:45" s="17" customFormat="1" ht="12.75" customHeight="1">
      <c r="A373" s="11"/>
      <c r="C373" s="11"/>
      <c r="D373" s="10"/>
      <c r="AR373" s="10"/>
      <c r="AS373" s="10"/>
    </row>
    <row r="374" spans="1:45" s="17" customFormat="1" ht="12.75" customHeight="1">
      <c r="A374" s="11"/>
      <c r="C374" s="11"/>
      <c r="D374" s="10"/>
      <c r="AR374" s="10"/>
      <c r="AS374" s="10"/>
    </row>
    <row r="375" spans="1:45" s="17" customFormat="1" ht="12.75" customHeight="1">
      <c r="A375" s="11"/>
      <c r="C375" s="11"/>
      <c r="D375" s="10"/>
      <c r="AR375" s="10"/>
      <c r="AS375" s="10"/>
    </row>
    <row r="376" spans="1:45" s="17" customFormat="1" ht="12.75" customHeight="1">
      <c r="A376" s="11"/>
      <c r="C376" s="11"/>
      <c r="D376" s="10"/>
      <c r="AR376" s="10"/>
      <c r="AS376" s="10"/>
    </row>
    <row r="377" spans="1:45" s="17" customFormat="1" ht="12.75" customHeight="1">
      <c r="A377" s="11"/>
      <c r="C377" s="11"/>
      <c r="D377" s="10"/>
      <c r="AR377" s="10"/>
      <c r="AS377" s="10"/>
    </row>
    <row r="378" spans="1:45" s="17" customFormat="1" ht="12.75" customHeight="1">
      <c r="A378" s="11"/>
      <c r="C378" s="11"/>
      <c r="D378" s="10"/>
      <c r="AR378" s="10"/>
      <c r="AS378" s="10"/>
    </row>
    <row r="379" spans="1:45" s="17" customFormat="1" ht="12.75" customHeight="1">
      <c r="A379" s="11"/>
      <c r="C379" s="11"/>
      <c r="D379" s="10"/>
      <c r="AR379" s="10"/>
      <c r="AS379" s="10"/>
    </row>
    <row r="380" spans="1:45" s="17" customFormat="1" ht="12.75" customHeight="1">
      <c r="A380" s="11"/>
      <c r="C380" s="11"/>
      <c r="D380" s="10"/>
      <c r="AR380" s="10"/>
      <c r="AS380" s="10"/>
    </row>
    <row r="381" spans="1:45" s="17" customFormat="1" ht="12.75" customHeight="1">
      <c r="A381" s="11"/>
      <c r="C381" s="11"/>
      <c r="D381" s="10"/>
      <c r="AR381" s="10"/>
      <c r="AS381" s="10"/>
    </row>
    <row r="382" spans="1:45" s="17" customFormat="1" ht="12.75" customHeight="1">
      <c r="A382" s="11"/>
      <c r="C382" s="11"/>
      <c r="D382" s="10"/>
      <c r="AR382" s="10"/>
      <c r="AS382" s="10"/>
    </row>
    <row r="383" spans="1:45" s="17" customFormat="1" ht="12.75" customHeight="1">
      <c r="A383" s="11"/>
      <c r="C383" s="11"/>
      <c r="D383" s="10"/>
      <c r="AR383" s="10"/>
      <c r="AS383" s="10"/>
    </row>
    <row r="384" spans="1:45" s="17" customFormat="1" ht="12.75" customHeight="1">
      <c r="A384" s="11"/>
      <c r="C384" s="11"/>
      <c r="D384" s="10"/>
      <c r="AR384" s="10"/>
      <c r="AS384" s="10"/>
    </row>
    <row r="385" spans="1:45" s="17" customFormat="1" ht="12.75" customHeight="1">
      <c r="A385" s="11"/>
      <c r="C385" s="11"/>
      <c r="D385" s="10"/>
      <c r="AR385" s="10"/>
      <c r="AS385" s="10"/>
    </row>
    <row r="386" spans="1:45" s="17" customFormat="1" ht="12.75" customHeight="1">
      <c r="A386" s="11"/>
      <c r="C386" s="11"/>
      <c r="D386" s="10"/>
      <c r="AR386" s="10"/>
      <c r="AS386" s="10"/>
    </row>
    <row r="387" spans="1:45" s="17" customFormat="1" ht="12.75" customHeight="1">
      <c r="A387" s="11"/>
      <c r="C387" s="11"/>
      <c r="D387" s="10"/>
      <c r="AR387" s="10"/>
      <c r="AS387" s="10"/>
    </row>
    <row r="388" spans="1:45" s="17" customFormat="1" ht="12.75" customHeight="1">
      <c r="A388" s="11"/>
      <c r="C388" s="11"/>
      <c r="D388" s="10"/>
      <c r="AR388" s="10"/>
      <c r="AS388" s="10"/>
    </row>
    <row r="389" spans="1:45" s="17" customFormat="1" ht="12.75" customHeight="1">
      <c r="A389" s="11"/>
      <c r="C389" s="11"/>
      <c r="D389" s="10"/>
      <c r="AR389" s="10"/>
      <c r="AS389" s="10"/>
    </row>
    <row r="390" spans="1:45" s="17" customFormat="1" ht="12.75" customHeight="1">
      <c r="A390" s="11"/>
      <c r="C390" s="11"/>
      <c r="D390" s="10"/>
      <c r="AR390" s="10"/>
      <c r="AS390" s="10"/>
    </row>
    <row r="391" spans="1:45" s="17" customFormat="1" ht="12.75" customHeight="1">
      <c r="A391" s="11"/>
      <c r="C391" s="11"/>
      <c r="D391" s="10"/>
      <c r="AR391" s="10"/>
      <c r="AS391" s="10"/>
    </row>
    <row r="392" spans="1:45" s="17" customFormat="1" ht="12.75" customHeight="1">
      <c r="A392" s="11"/>
      <c r="C392" s="11"/>
      <c r="D392" s="10"/>
      <c r="AR392" s="10"/>
      <c r="AS392" s="10"/>
    </row>
    <row r="393" spans="1:45" s="17" customFormat="1" ht="12.75" customHeight="1">
      <c r="A393" s="11"/>
      <c r="C393" s="11"/>
      <c r="D393" s="10"/>
      <c r="AR393" s="10"/>
      <c r="AS393" s="10"/>
    </row>
    <row r="394" spans="1:45" s="17" customFormat="1" ht="12.75" customHeight="1">
      <c r="A394" s="11"/>
      <c r="C394" s="11"/>
      <c r="D394" s="10"/>
      <c r="AR394" s="10"/>
      <c r="AS394" s="10"/>
    </row>
    <row r="395" spans="1:45" s="17" customFormat="1" ht="12.75" customHeight="1">
      <c r="A395" s="11"/>
      <c r="C395" s="11"/>
      <c r="D395" s="10"/>
      <c r="AR395" s="10"/>
      <c r="AS395" s="10"/>
    </row>
    <row r="396" spans="1:45" s="17" customFormat="1" ht="12.75" customHeight="1">
      <c r="A396" s="11"/>
      <c r="C396" s="11"/>
      <c r="D396" s="10"/>
      <c r="AR396" s="10"/>
      <c r="AS396" s="10"/>
    </row>
    <row r="397" spans="1:45" s="17" customFormat="1" ht="12.75" customHeight="1">
      <c r="A397" s="11"/>
      <c r="C397" s="11"/>
      <c r="D397" s="10"/>
      <c r="AR397" s="10"/>
      <c r="AS397" s="10"/>
    </row>
    <row r="398" spans="1:45" s="17" customFormat="1" ht="12.75" customHeight="1">
      <c r="A398" s="11"/>
      <c r="C398" s="11"/>
      <c r="D398" s="10"/>
      <c r="AR398" s="10"/>
      <c r="AS398" s="10"/>
    </row>
    <row r="399" spans="1:45" s="17" customFormat="1" ht="12.75" customHeight="1">
      <c r="A399" s="11"/>
      <c r="C399" s="11"/>
      <c r="D399" s="10"/>
      <c r="AR399" s="10"/>
      <c r="AS399" s="10"/>
    </row>
    <row r="400" spans="1:45" s="17" customFormat="1" ht="12.75" customHeight="1">
      <c r="A400" s="11"/>
      <c r="C400" s="11"/>
      <c r="D400" s="10"/>
      <c r="AR400" s="10"/>
      <c r="AS400" s="10"/>
    </row>
    <row r="401" spans="1:45" s="17" customFormat="1" ht="12.75" customHeight="1">
      <c r="A401" s="11"/>
      <c r="C401" s="11"/>
      <c r="D401" s="10"/>
      <c r="AR401" s="10"/>
      <c r="AS401" s="10"/>
    </row>
    <row r="402" spans="1:45" s="17" customFormat="1" ht="12.75" customHeight="1">
      <c r="A402" s="11"/>
      <c r="C402" s="11"/>
      <c r="D402" s="10"/>
      <c r="AR402" s="10"/>
      <c r="AS402" s="10"/>
    </row>
    <row r="403" spans="1:45" s="17" customFormat="1" ht="12.75" customHeight="1">
      <c r="A403" s="11"/>
      <c r="C403" s="11"/>
      <c r="D403" s="10"/>
      <c r="AR403" s="10"/>
      <c r="AS403" s="10"/>
    </row>
    <row r="404" spans="1:45" s="17" customFormat="1" ht="12.75" customHeight="1">
      <c r="A404" s="11"/>
      <c r="C404" s="11"/>
      <c r="D404" s="10"/>
      <c r="AR404" s="10"/>
      <c r="AS404" s="10"/>
    </row>
    <row r="405" spans="1:45" s="17" customFormat="1" ht="12.75" customHeight="1">
      <c r="A405" s="11"/>
      <c r="C405" s="11"/>
      <c r="D405" s="10"/>
      <c r="AR405" s="10"/>
      <c r="AS405" s="10"/>
    </row>
    <row r="406" spans="1:45" s="17" customFormat="1" ht="12.75" customHeight="1">
      <c r="A406" s="11"/>
      <c r="C406" s="11"/>
      <c r="D406" s="10"/>
      <c r="AR406" s="10"/>
      <c r="AS406" s="10"/>
    </row>
    <row r="407" spans="1:45" s="17" customFormat="1" ht="12.75" customHeight="1">
      <c r="A407" s="11"/>
      <c r="C407" s="11"/>
      <c r="D407" s="10"/>
      <c r="AR407" s="10"/>
      <c r="AS407" s="10"/>
    </row>
    <row r="408" spans="1:45" s="17" customFormat="1" ht="12.75" customHeight="1">
      <c r="A408" s="11"/>
      <c r="C408" s="11"/>
      <c r="D408" s="10"/>
      <c r="AR408" s="10"/>
      <c r="AS408" s="10"/>
    </row>
    <row r="409" spans="1:45" s="17" customFormat="1" ht="12.75" customHeight="1">
      <c r="A409" s="11"/>
      <c r="C409" s="11"/>
      <c r="D409" s="10"/>
      <c r="AR409" s="10"/>
      <c r="AS409" s="10"/>
    </row>
    <row r="410" spans="1:45" s="17" customFormat="1" ht="12.75" customHeight="1">
      <c r="A410" s="11"/>
      <c r="C410" s="11"/>
      <c r="D410" s="10"/>
      <c r="AR410" s="10"/>
      <c r="AS410" s="10"/>
    </row>
    <row r="411" spans="1:45" s="17" customFormat="1" ht="12.75" customHeight="1">
      <c r="A411" s="11"/>
      <c r="C411" s="11"/>
      <c r="D411" s="10"/>
      <c r="AR411" s="10"/>
      <c r="AS411" s="10"/>
    </row>
    <row r="412" spans="1:45" s="17" customFormat="1" ht="12.75" customHeight="1">
      <c r="A412" s="11"/>
      <c r="C412" s="11"/>
      <c r="D412" s="10"/>
      <c r="AR412" s="10"/>
      <c r="AS412" s="10"/>
    </row>
    <row r="413" spans="1:45" s="17" customFormat="1" ht="12.75" customHeight="1">
      <c r="A413" s="11"/>
      <c r="C413" s="11"/>
      <c r="D413" s="10"/>
      <c r="AR413" s="10"/>
      <c r="AS413" s="10"/>
    </row>
    <row r="414" spans="1:45" s="17" customFormat="1" ht="12.75" customHeight="1">
      <c r="A414" s="11"/>
      <c r="C414" s="11"/>
      <c r="D414" s="10"/>
      <c r="AR414" s="10"/>
      <c r="AS414" s="10"/>
    </row>
    <row r="415" spans="1:45" s="17" customFormat="1" ht="12.75" customHeight="1">
      <c r="A415" s="11"/>
      <c r="C415" s="11"/>
      <c r="D415" s="10"/>
      <c r="AR415" s="10"/>
      <c r="AS415" s="10"/>
    </row>
    <row r="416" spans="1:45" s="17" customFormat="1" ht="12.75" customHeight="1">
      <c r="A416" s="11"/>
      <c r="C416" s="11"/>
      <c r="D416" s="10"/>
      <c r="AR416" s="10"/>
      <c r="AS416" s="10"/>
    </row>
    <row r="417" spans="1:45" s="17" customFormat="1" ht="12.75" customHeight="1">
      <c r="A417" s="11"/>
      <c r="C417" s="11"/>
      <c r="D417" s="10"/>
      <c r="AR417" s="10"/>
      <c r="AS417" s="10"/>
    </row>
    <row r="418" spans="1:45" s="17" customFormat="1" ht="12.75" customHeight="1">
      <c r="A418" s="11"/>
      <c r="C418" s="11"/>
      <c r="D418" s="10"/>
      <c r="AR418" s="10"/>
      <c r="AS418" s="10"/>
    </row>
    <row r="419" spans="1:45" s="17" customFormat="1" ht="12.75" customHeight="1">
      <c r="A419" s="11"/>
      <c r="C419" s="11"/>
      <c r="D419" s="10"/>
      <c r="AR419" s="10"/>
      <c r="AS419" s="10"/>
    </row>
    <row r="420" spans="1:45" s="17" customFormat="1" ht="12.75" customHeight="1">
      <c r="A420" s="11"/>
      <c r="C420" s="11"/>
      <c r="D420" s="10"/>
      <c r="AR420" s="10"/>
      <c r="AS420" s="10"/>
    </row>
    <row r="421" spans="1:45" s="17" customFormat="1" ht="12.75" customHeight="1">
      <c r="A421" s="11"/>
      <c r="C421" s="11"/>
      <c r="D421" s="10"/>
      <c r="AR421" s="10"/>
      <c r="AS421" s="10"/>
    </row>
    <row r="422" spans="1:45" s="17" customFormat="1" ht="12.75" customHeight="1">
      <c r="A422" s="11"/>
      <c r="C422" s="11"/>
      <c r="D422" s="10"/>
      <c r="AR422" s="10"/>
      <c r="AS422" s="10"/>
    </row>
    <row r="423" spans="1:45" s="17" customFormat="1" ht="12.75" customHeight="1">
      <c r="A423" s="11"/>
      <c r="C423" s="11"/>
      <c r="D423" s="10"/>
      <c r="AR423" s="10"/>
      <c r="AS423" s="10"/>
    </row>
    <row r="424" spans="1:45" s="17" customFormat="1" ht="12.75" customHeight="1">
      <c r="A424" s="11"/>
      <c r="C424" s="11"/>
      <c r="D424" s="10"/>
      <c r="AR424" s="10"/>
      <c r="AS424" s="10"/>
    </row>
    <row r="425" spans="1:45" s="17" customFormat="1" ht="12.75" customHeight="1">
      <c r="A425" s="11"/>
      <c r="C425" s="11"/>
      <c r="D425" s="10"/>
      <c r="AR425" s="10"/>
      <c r="AS425" s="10"/>
    </row>
    <row r="426" spans="1:45" s="17" customFormat="1" ht="12.75" customHeight="1">
      <c r="A426" s="11"/>
      <c r="C426" s="11"/>
      <c r="D426" s="10"/>
      <c r="AR426" s="10"/>
      <c r="AS426" s="10"/>
    </row>
    <row r="427" spans="1:45" s="17" customFormat="1" ht="12.75" customHeight="1">
      <c r="A427" s="11"/>
      <c r="C427" s="11"/>
      <c r="D427" s="10"/>
      <c r="AR427" s="10"/>
      <c r="AS427" s="10"/>
    </row>
    <row r="428" spans="1:45" s="17" customFormat="1" ht="12.75" customHeight="1">
      <c r="A428" s="11"/>
      <c r="C428" s="11"/>
      <c r="D428" s="10"/>
      <c r="AR428" s="10"/>
      <c r="AS428" s="10"/>
    </row>
    <row r="429" spans="1:45" s="17" customFormat="1" ht="12.75" customHeight="1">
      <c r="A429" s="11"/>
      <c r="C429" s="11"/>
      <c r="D429" s="10"/>
      <c r="AR429" s="10"/>
      <c r="AS429" s="10"/>
    </row>
    <row r="430" spans="1:45" s="17" customFormat="1" ht="12.75" customHeight="1">
      <c r="A430" s="11"/>
      <c r="C430" s="11"/>
      <c r="D430" s="10"/>
      <c r="AR430" s="10"/>
      <c r="AS430" s="10"/>
    </row>
    <row r="431" spans="1:45" s="17" customFormat="1" ht="12.75" customHeight="1">
      <c r="A431" s="11"/>
      <c r="C431" s="11"/>
      <c r="D431" s="10"/>
      <c r="AR431" s="10"/>
      <c r="AS431" s="10"/>
    </row>
    <row r="432" spans="1:45" s="17" customFormat="1" ht="12.75" customHeight="1">
      <c r="A432" s="11"/>
      <c r="C432" s="11"/>
      <c r="D432" s="10"/>
      <c r="AR432" s="10"/>
      <c r="AS432" s="10"/>
    </row>
    <row r="433" spans="1:45" s="17" customFormat="1" ht="12.75" customHeight="1">
      <c r="A433" s="11"/>
      <c r="C433" s="11"/>
      <c r="D433" s="10"/>
      <c r="AR433" s="10"/>
      <c r="AS433" s="10"/>
    </row>
    <row r="434" spans="1:45" s="17" customFormat="1" ht="12.75" customHeight="1">
      <c r="A434" s="11"/>
      <c r="C434" s="11"/>
      <c r="D434" s="10"/>
      <c r="AR434" s="10"/>
      <c r="AS434" s="10"/>
    </row>
    <row r="435" spans="1:45" s="17" customFormat="1" ht="12.75" customHeight="1">
      <c r="A435" s="11"/>
      <c r="C435" s="11"/>
      <c r="D435" s="10"/>
      <c r="AR435" s="10"/>
      <c r="AS435" s="10"/>
    </row>
    <row r="436" spans="1:45" s="17" customFormat="1" ht="12.75" customHeight="1">
      <c r="A436" s="11"/>
      <c r="C436" s="11"/>
      <c r="D436" s="10"/>
      <c r="AR436" s="10"/>
      <c r="AS436" s="10"/>
    </row>
    <row r="437" spans="1:45" s="17" customFormat="1" ht="12.75" customHeight="1">
      <c r="A437" s="11"/>
      <c r="C437" s="11"/>
      <c r="D437" s="10"/>
      <c r="AR437" s="10"/>
      <c r="AS437" s="10"/>
    </row>
    <row r="438" spans="1:45" s="17" customFormat="1" ht="12.75" customHeight="1">
      <c r="A438" s="11"/>
      <c r="C438" s="11"/>
      <c r="D438" s="10"/>
      <c r="AR438" s="10"/>
      <c r="AS438" s="10"/>
    </row>
    <row r="439" spans="1:45" s="17" customFormat="1" ht="12.75" customHeight="1">
      <c r="A439" s="11"/>
      <c r="C439" s="11"/>
      <c r="D439" s="10"/>
      <c r="AR439" s="10"/>
      <c r="AS439" s="10"/>
    </row>
    <row r="440" spans="1:45" s="17" customFormat="1" ht="12.75" customHeight="1">
      <c r="A440" s="11"/>
      <c r="C440" s="11"/>
      <c r="D440" s="10"/>
      <c r="AR440" s="10"/>
      <c r="AS440" s="10"/>
    </row>
    <row r="441" spans="1:45" s="17" customFormat="1" ht="12.75" customHeight="1">
      <c r="A441" s="11"/>
      <c r="C441" s="11"/>
      <c r="D441" s="10"/>
      <c r="AR441" s="10"/>
      <c r="AS441" s="10"/>
    </row>
    <row r="442" spans="1:45" s="17" customFormat="1" ht="12.75" customHeight="1">
      <c r="A442" s="11"/>
      <c r="C442" s="11"/>
      <c r="D442" s="10"/>
      <c r="AR442" s="10"/>
      <c r="AS442" s="10"/>
    </row>
    <row r="443" spans="1:45" s="17" customFormat="1" ht="12.75" customHeight="1">
      <c r="A443" s="11"/>
      <c r="C443" s="11"/>
      <c r="D443" s="10"/>
      <c r="AR443" s="10"/>
      <c r="AS443" s="10"/>
    </row>
    <row r="444" spans="1:45" s="17" customFormat="1" ht="12.75" customHeight="1">
      <c r="A444" s="11"/>
      <c r="C444" s="11"/>
      <c r="D444" s="10"/>
      <c r="AR444" s="10"/>
      <c r="AS444" s="10"/>
    </row>
    <row r="445" spans="1:45" s="17" customFormat="1" ht="12.75" customHeight="1">
      <c r="A445" s="11"/>
      <c r="C445" s="11"/>
      <c r="D445" s="10"/>
      <c r="AR445" s="10"/>
      <c r="AS445" s="10"/>
    </row>
    <row r="446" spans="1:45" s="17" customFormat="1" ht="12.75" customHeight="1">
      <c r="A446" s="11"/>
      <c r="C446" s="11"/>
      <c r="D446" s="10"/>
      <c r="AR446" s="10"/>
      <c r="AS446" s="10"/>
    </row>
    <row r="447" spans="1:45" s="17" customFormat="1" ht="12.75" customHeight="1">
      <c r="A447" s="11"/>
      <c r="C447" s="11"/>
      <c r="D447" s="10"/>
      <c r="AR447" s="10"/>
      <c r="AS447" s="10"/>
    </row>
    <row r="448" spans="1:45" s="17" customFormat="1" ht="12.75" customHeight="1">
      <c r="A448" s="11"/>
      <c r="C448" s="11"/>
      <c r="D448" s="10"/>
      <c r="AR448" s="10"/>
      <c r="AS448" s="10"/>
    </row>
    <row r="449" spans="1:45" s="17" customFormat="1" ht="12.75" customHeight="1">
      <c r="A449" s="11"/>
      <c r="C449" s="11"/>
      <c r="D449" s="10"/>
      <c r="AR449" s="10"/>
      <c r="AS449" s="10"/>
    </row>
    <row r="450" spans="1:45" s="17" customFormat="1" ht="12.75" customHeight="1">
      <c r="A450" s="11"/>
      <c r="C450" s="11"/>
      <c r="D450" s="10"/>
      <c r="AR450" s="10"/>
      <c r="AS450" s="10"/>
    </row>
    <row r="451" spans="1:45" s="17" customFormat="1" ht="12.75" customHeight="1">
      <c r="A451" s="11"/>
      <c r="C451" s="11"/>
      <c r="D451" s="10"/>
      <c r="AR451" s="10"/>
      <c r="AS451" s="10"/>
    </row>
    <row r="452" spans="1:45" s="17" customFormat="1" ht="12.75" customHeight="1">
      <c r="A452" s="11"/>
      <c r="C452" s="11"/>
      <c r="D452" s="10"/>
      <c r="AR452" s="10"/>
      <c r="AS452" s="10"/>
    </row>
    <row r="453" spans="1:45" s="17" customFormat="1" ht="12.75" customHeight="1">
      <c r="A453" s="11"/>
      <c r="C453" s="11"/>
      <c r="D453" s="10"/>
      <c r="AR453" s="10"/>
      <c r="AS453" s="10"/>
    </row>
    <row r="454" spans="1:45" s="17" customFormat="1" ht="12.75" customHeight="1">
      <c r="A454" s="11"/>
      <c r="C454" s="11"/>
      <c r="D454" s="10"/>
      <c r="AR454" s="10"/>
      <c r="AS454" s="10"/>
    </row>
    <row r="455" spans="1:45" s="17" customFormat="1" ht="12.75" customHeight="1">
      <c r="A455" s="11"/>
      <c r="C455" s="11"/>
      <c r="D455" s="10"/>
      <c r="AR455" s="10"/>
      <c r="AS455" s="10"/>
    </row>
    <row r="456" spans="1:45" s="17" customFormat="1" ht="12.75" customHeight="1">
      <c r="A456" s="11"/>
      <c r="C456" s="11"/>
      <c r="D456" s="10"/>
      <c r="AR456" s="10"/>
      <c r="AS456" s="10"/>
    </row>
    <row r="457" spans="1:45" s="17" customFormat="1" ht="12.75" customHeight="1">
      <c r="A457" s="11"/>
      <c r="C457" s="11"/>
      <c r="D457" s="10"/>
      <c r="AR457" s="10"/>
      <c r="AS457" s="10"/>
    </row>
    <row r="458" spans="1:45" s="17" customFormat="1" ht="12.75" customHeight="1">
      <c r="A458" s="11"/>
      <c r="C458" s="11"/>
      <c r="D458" s="10"/>
      <c r="AR458" s="10"/>
      <c r="AS458" s="10"/>
    </row>
    <row r="459" spans="1:45" s="17" customFormat="1" ht="12.75" customHeight="1">
      <c r="A459" s="11"/>
      <c r="C459" s="11"/>
      <c r="D459" s="10"/>
      <c r="AR459" s="10"/>
      <c r="AS459" s="10"/>
    </row>
    <row r="460" spans="1:45" s="17" customFormat="1" ht="12.75" customHeight="1">
      <c r="A460" s="11"/>
      <c r="C460" s="11"/>
      <c r="D460" s="10"/>
      <c r="AR460" s="10"/>
      <c r="AS460" s="10"/>
    </row>
    <row r="461" spans="1:45" s="17" customFormat="1" ht="12.75" customHeight="1">
      <c r="A461" s="11"/>
      <c r="C461" s="11"/>
      <c r="D461" s="10"/>
      <c r="AR461" s="10"/>
      <c r="AS461" s="10"/>
    </row>
    <row r="462" spans="1:45" s="17" customFormat="1" ht="12.75" customHeight="1">
      <c r="A462" s="11"/>
      <c r="C462" s="11"/>
      <c r="D462" s="10"/>
      <c r="AR462" s="10"/>
      <c r="AS462" s="10"/>
    </row>
    <row r="463" spans="1:45" s="17" customFormat="1" ht="12.75" customHeight="1">
      <c r="A463" s="11"/>
      <c r="C463" s="11"/>
      <c r="D463" s="10"/>
      <c r="AR463" s="10"/>
      <c r="AS463" s="10"/>
    </row>
    <row r="464" spans="1:45" s="17" customFormat="1" ht="12.75" customHeight="1">
      <c r="A464" s="11"/>
      <c r="C464" s="11"/>
      <c r="D464" s="10"/>
      <c r="AR464" s="10"/>
      <c r="AS464" s="10"/>
    </row>
    <row r="465" spans="1:45" s="17" customFormat="1" ht="12.75" customHeight="1">
      <c r="A465" s="11"/>
      <c r="C465" s="11"/>
      <c r="D465" s="10"/>
      <c r="AR465" s="10"/>
      <c r="AS465" s="10"/>
    </row>
    <row r="466" spans="1:45" s="17" customFormat="1" ht="12.75" customHeight="1">
      <c r="A466" s="11"/>
      <c r="C466" s="11"/>
      <c r="D466" s="10"/>
      <c r="AR466" s="10"/>
      <c r="AS466" s="10"/>
    </row>
    <row r="467" spans="1:45" s="17" customFormat="1" ht="12.75" customHeight="1">
      <c r="A467" s="11"/>
      <c r="C467" s="11"/>
      <c r="D467" s="10"/>
      <c r="AR467" s="10"/>
      <c r="AS467" s="10"/>
    </row>
    <row r="468" spans="1:45" s="17" customFormat="1" ht="12.75" customHeight="1">
      <c r="A468" s="11"/>
      <c r="C468" s="11"/>
      <c r="D468" s="10"/>
      <c r="AR468" s="10"/>
      <c r="AS468" s="10"/>
    </row>
    <row r="469" spans="1:45" s="17" customFormat="1" ht="12.75" customHeight="1">
      <c r="A469" s="11"/>
      <c r="C469" s="11"/>
      <c r="D469" s="10"/>
      <c r="AR469" s="10"/>
      <c r="AS469" s="10"/>
    </row>
    <row r="470" spans="1:45" s="17" customFormat="1" ht="12.75" customHeight="1">
      <c r="A470" s="11"/>
      <c r="C470" s="11"/>
      <c r="D470" s="10"/>
      <c r="AR470" s="10"/>
      <c r="AS470" s="10"/>
    </row>
    <row r="471" spans="1:45" s="17" customFormat="1" ht="12.75" customHeight="1">
      <c r="A471" s="11"/>
      <c r="C471" s="11"/>
      <c r="D471" s="10"/>
      <c r="AR471" s="10"/>
      <c r="AS471" s="10"/>
    </row>
    <row r="472" spans="1:45" s="17" customFormat="1" ht="12.75" customHeight="1">
      <c r="A472" s="11"/>
      <c r="C472" s="11"/>
      <c r="D472" s="10"/>
      <c r="AR472" s="10"/>
      <c r="AS472" s="10"/>
    </row>
    <row r="473" spans="1:45" s="17" customFormat="1" ht="12.75" customHeight="1">
      <c r="A473" s="11"/>
      <c r="C473" s="11"/>
      <c r="D473" s="10"/>
      <c r="AR473" s="10"/>
      <c r="AS473" s="10"/>
    </row>
    <row r="474" spans="1:45" s="17" customFormat="1" ht="12.75" customHeight="1">
      <c r="A474" s="11"/>
      <c r="C474" s="11"/>
      <c r="D474" s="10"/>
      <c r="AR474" s="10"/>
      <c r="AS474" s="10"/>
    </row>
    <row r="475" spans="1:45" s="17" customFormat="1" ht="12.75" customHeight="1">
      <c r="A475" s="11"/>
      <c r="C475" s="11"/>
      <c r="D475" s="10"/>
      <c r="AR475" s="10"/>
      <c r="AS475" s="10"/>
    </row>
    <row r="476" spans="1:45" s="17" customFormat="1" ht="12.75" customHeight="1">
      <c r="A476" s="11"/>
      <c r="C476" s="11"/>
      <c r="D476" s="10"/>
      <c r="AR476" s="10"/>
      <c r="AS476" s="10"/>
    </row>
    <row r="477" spans="1:45" s="17" customFormat="1" ht="12.75" customHeight="1">
      <c r="A477" s="11"/>
      <c r="C477" s="11"/>
      <c r="D477" s="10"/>
      <c r="AR477" s="10"/>
      <c r="AS477" s="10"/>
    </row>
    <row r="478" spans="1:45" s="17" customFormat="1" ht="12.75" customHeight="1">
      <c r="A478" s="11"/>
      <c r="C478" s="11"/>
      <c r="D478" s="10"/>
      <c r="AR478" s="10"/>
      <c r="AS478" s="10"/>
    </row>
    <row r="479" spans="1:45" s="17" customFormat="1" ht="12.75" customHeight="1">
      <c r="A479" s="11"/>
      <c r="C479" s="11"/>
      <c r="D479" s="10"/>
      <c r="AR479" s="10"/>
      <c r="AS479" s="10"/>
    </row>
    <row r="480" spans="1:45" s="17" customFormat="1" ht="12.75" customHeight="1">
      <c r="A480" s="11"/>
      <c r="C480" s="11"/>
      <c r="D480" s="10"/>
      <c r="AR480" s="10"/>
      <c r="AS480" s="10"/>
    </row>
    <row r="481" spans="1:45" s="17" customFormat="1" ht="12.75" customHeight="1">
      <c r="A481" s="11"/>
      <c r="C481" s="11"/>
      <c r="D481" s="10"/>
      <c r="AR481" s="10"/>
      <c r="AS481" s="10"/>
    </row>
    <row r="482" spans="1:45" s="17" customFormat="1" ht="12.75" customHeight="1">
      <c r="A482" s="11"/>
      <c r="C482" s="11"/>
      <c r="D482" s="10"/>
      <c r="AR482" s="10"/>
      <c r="AS482" s="10"/>
    </row>
    <row r="483" spans="1:45" s="17" customFormat="1" ht="12.75" customHeight="1">
      <c r="A483" s="11"/>
      <c r="C483" s="11"/>
      <c r="D483" s="10"/>
      <c r="AR483" s="10"/>
      <c r="AS483" s="10"/>
    </row>
    <row r="484" spans="1:45" s="17" customFormat="1" ht="12.75" customHeight="1">
      <c r="A484" s="11"/>
      <c r="C484" s="11"/>
      <c r="D484" s="10"/>
      <c r="AR484" s="10"/>
      <c r="AS484" s="10"/>
    </row>
    <row r="485" spans="1:45" s="17" customFormat="1" ht="12.75" customHeight="1">
      <c r="A485" s="11"/>
      <c r="C485" s="11"/>
      <c r="D485" s="10"/>
      <c r="AR485" s="10"/>
      <c r="AS485" s="10"/>
    </row>
    <row r="486" spans="1:45" s="17" customFormat="1" ht="12.75" customHeight="1">
      <c r="A486" s="11"/>
      <c r="C486" s="11"/>
      <c r="D486" s="10"/>
      <c r="AR486" s="10"/>
      <c r="AS486" s="10"/>
    </row>
    <row r="487" spans="1:45" s="17" customFormat="1" ht="12.75" customHeight="1">
      <c r="A487" s="11"/>
      <c r="C487" s="11"/>
      <c r="D487" s="10"/>
      <c r="AR487" s="10"/>
      <c r="AS487" s="10"/>
    </row>
    <row r="488" spans="1:45" s="17" customFormat="1" ht="12.75" customHeight="1">
      <c r="A488" s="11"/>
      <c r="C488" s="11"/>
      <c r="D488" s="10"/>
      <c r="AR488" s="10"/>
      <c r="AS488" s="10"/>
    </row>
    <row r="489" spans="1:45" s="17" customFormat="1" ht="12.75" customHeight="1">
      <c r="A489" s="11"/>
      <c r="C489" s="11"/>
      <c r="D489" s="10"/>
      <c r="AR489" s="10"/>
      <c r="AS489" s="10"/>
    </row>
    <row r="490" spans="1:45" s="17" customFormat="1" ht="12.75" customHeight="1">
      <c r="A490" s="11"/>
      <c r="C490" s="11"/>
      <c r="D490" s="10"/>
      <c r="AR490" s="10"/>
      <c r="AS490" s="10"/>
    </row>
    <row r="491" spans="1:45" s="17" customFormat="1" ht="12.75" customHeight="1">
      <c r="A491" s="11"/>
      <c r="C491" s="11"/>
      <c r="D491" s="10"/>
      <c r="AR491" s="10"/>
      <c r="AS491" s="10"/>
    </row>
    <row r="492" spans="1:45" s="17" customFormat="1" ht="12.75" customHeight="1">
      <c r="A492" s="11"/>
      <c r="C492" s="11"/>
      <c r="D492" s="10"/>
      <c r="AR492" s="10"/>
      <c r="AS492" s="10"/>
    </row>
    <row r="493" spans="1:45" s="17" customFormat="1" ht="12.75" customHeight="1">
      <c r="A493" s="11"/>
      <c r="C493" s="11"/>
      <c r="D493" s="10"/>
      <c r="AR493" s="10"/>
      <c r="AS493" s="10"/>
    </row>
    <row r="494" spans="1:45" s="17" customFormat="1" ht="12.75" customHeight="1">
      <c r="A494" s="11"/>
      <c r="C494" s="11"/>
      <c r="D494" s="10"/>
      <c r="AR494" s="10"/>
      <c r="AS494" s="10"/>
    </row>
    <row r="495" spans="1:45" s="17" customFormat="1" ht="12.75" customHeight="1">
      <c r="A495" s="11"/>
      <c r="C495" s="11"/>
      <c r="D495" s="10"/>
      <c r="AR495" s="10"/>
      <c r="AS495" s="10"/>
    </row>
    <row r="496" spans="1:45" s="17" customFormat="1" ht="12.75" customHeight="1">
      <c r="A496" s="11"/>
      <c r="C496" s="11"/>
      <c r="D496" s="10"/>
      <c r="AR496" s="10"/>
      <c r="AS496" s="10"/>
    </row>
    <row r="497" spans="1:45" s="17" customFormat="1" ht="12.75" customHeight="1">
      <c r="A497" s="11"/>
      <c r="C497" s="11"/>
      <c r="D497" s="10"/>
      <c r="AR497" s="10"/>
      <c r="AS497" s="10"/>
    </row>
    <row r="498" spans="1:45" s="17" customFormat="1" ht="12.75" customHeight="1">
      <c r="A498" s="11"/>
      <c r="C498" s="11"/>
      <c r="D498" s="10"/>
      <c r="AR498" s="10"/>
      <c r="AS498" s="10"/>
    </row>
    <row r="499" spans="1:45" s="17" customFormat="1" ht="12.75" customHeight="1">
      <c r="A499" s="11"/>
      <c r="C499" s="11"/>
      <c r="D499" s="10"/>
      <c r="AR499" s="10"/>
      <c r="AS499" s="10"/>
    </row>
    <row r="500" spans="1:45" s="17" customFormat="1" ht="12.75" customHeight="1">
      <c r="A500" s="11"/>
      <c r="C500" s="11"/>
      <c r="D500" s="10"/>
      <c r="AR500" s="10"/>
      <c r="AS500" s="10"/>
    </row>
    <row r="501" spans="1:45" s="17" customFormat="1" ht="12.75" customHeight="1">
      <c r="A501" s="11"/>
      <c r="C501" s="11"/>
      <c r="D501" s="10"/>
      <c r="AR501" s="10"/>
      <c r="AS501" s="10"/>
    </row>
    <row r="502" spans="1:45" s="17" customFormat="1" ht="12.75" customHeight="1">
      <c r="A502" s="11"/>
      <c r="C502" s="11"/>
      <c r="D502" s="10"/>
      <c r="AR502" s="10"/>
      <c r="AS502" s="10"/>
    </row>
    <row r="503" spans="1:45" s="17" customFormat="1" ht="12.75" customHeight="1">
      <c r="A503" s="11"/>
      <c r="C503" s="11"/>
      <c r="D503" s="10"/>
      <c r="AR503" s="10"/>
      <c r="AS503" s="10"/>
    </row>
    <row r="504" spans="1:45" s="17" customFormat="1" ht="12.75" customHeight="1">
      <c r="A504" s="11"/>
      <c r="C504" s="11"/>
      <c r="D504" s="10"/>
      <c r="AR504" s="10"/>
      <c r="AS504" s="10"/>
    </row>
    <row r="505" spans="1:45" s="17" customFormat="1" ht="12.75" customHeight="1">
      <c r="A505" s="11"/>
      <c r="C505" s="11"/>
      <c r="D505" s="10"/>
      <c r="AR505" s="10"/>
      <c r="AS505" s="10"/>
    </row>
    <row r="506" spans="1:45" s="17" customFormat="1" ht="12.75" customHeight="1">
      <c r="A506" s="11"/>
      <c r="C506" s="11"/>
      <c r="D506" s="10"/>
      <c r="AR506" s="10"/>
      <c r="AS506" s="10"/>
    </row>
    <row r="507" spans="1:45" s="17" customFormat="1" ht="12.75" customHeight="1">
      <c r="A507" s="11"/>
      <c r="C507" s="11"/>
      <c r="D507" s="10"/>
      <c r="AR507" s="10"/>
      <c r="AS507" s="10"/>
    </row>
    <row r="508" spans="1:45" s="17" customFormat="1" ht="12.75" customHeight="1">
      <c r="A508" s="11"/>
      <c r="C508" s="11"/>
      <c r="D508" s="10"/>
      <c r="AR508" s="10"/>
      <c r="AS508" s="10"/>
    </row>
    <row r="509" spans="1:45" s="17" customFormat="1" ht="12.75" customHeight="1">
      <c r="A509" s="11"/>
      <c r="C509" s="11"/>
      <c r="D509" s="10"/>
      <c r="AR509" s="10"/>
      <c r="AS509" s="10"/>
    </row>
    <row r="510" spans="1:45" s="17" customFormat="1" ht="12.75" customHeight="1">
      <c r="A510" s="11"/>
      <c r="C510" s="11"/>
      <c r="D510" s="10"/>
      <c r="AR510" s="10"/>
      <c r="AS510" s="10"/>
    </row>
    <row r="511" spans="1:45" s="17" customFormat="1" ht="12.75" customHeight="1">
      <c r="A511" s="11"/>
      <c r="C511" s="11"/>
      <c r="D511" s="10"/>
      <c r="AR511" s="10"/>
      <c r="AS511" s="10"/>
    </row>
    <row r="512" spans="1:45" s="17" customFormat="1" ht="12.75" customHeight="1">
      <c r="A512" s="11"/>
      <c r="C512" s="11"/>
      <c r="D512" s="10"/>
      <c r="AR512" s="10"/>
      <c r="AS512" s="10"/>
    </row>
    <row r="513" spans="1:45" s="17" customFormat="1" ht="12.75" customHeight="1">
      <c r="A513" s="11"/>
      <c r="C513" s="11"/>
      <c r="D513" s="10"/>
      <c r="AR513" s="10"/>
      <c r="AS513" s="10"/>
    </row>
    <row r="514" spans="1:45" s="17" customFormat="1" ht="12.75" customHeight="1">
      <c r="A514" s="11"/>
      <c r="C514" s="11"/>
      <c r="D514" s="10"/>
      <c r="AR514" s="10"/>
      <c r="AS514" s="10"/>
    </row>
    <row r="515" spans="1:45" s="17" customFormat="1" ht="12.75" customHeight="1">
      <c r="A515" s="11"/>
      <c r="C515" s="11"/>
      <c r="D515" s="10"/>
      <c r="AR515" s="10"/>
      <c r="AS515" s="10"/>
    </row>
    <row r="516" spans="1:45" s="17" customFormat="1" ht="12.75" customHeight="1">
      <c r="A516" s="11"/>
      <c r="C516" s="11"/>
      <c r="D516" s="10"/>
      <c r="AR516" s="10"/>
      <c r="AS516" s="10"/>
    </row>
    <row r="517" spans="1:45" s="17" customFormat="1" ht="12.75" customHeight="1">
      <c r="A517" s="11"/>
      <c r="C517" s="11"/>
      <c r="D517" s="10"/>
      <c r="AR517" s="10"/>
      <c r="AS517" s="10"/>
    </row>
    <row r="518" spans="1:45" s="17" customFormat="1" ht="12.75" customHeight="1">
      <c r="A518" s="11"/>
      <c r="C518" s="11"/>
      <c r="D518" s="10"/>
      <c r="AR518" s="10"/>
      <c r="AS518" s="10"/>
    </row>
    <row r="519" spans="1:45" s="17" customFormat="1" ht="12.75" customHeight="1">
      <c r="A519" s="11"/>
      <c r="C519" s="11"/>
      <c r="D519" s="10"/>
      <c r="AR519" s="10"/>
      <c r="AS519" s="10"/>
    </row>
    <row r="520" spans="1:45" s="17" customFormat="1" ht="12.75" customHeight="1">
      <c r="A520" s="11"/>
      <c r="C520" s="11"/>
      <c r="D520" s="10"/>
      <c r="AR520" s="10"/>
      <c r="AS520" s="10"/>
    </row>
    <row r="521" spans="1:45" s="17" customFormat="1" ht="12.75" customHeight="1">
      <c r="A521" s="11"/>
      <c r="C521" s="11"/>
      <c r="D521" s="10"/>
      <c r="AR521" s="10"/>
      <c r="AS521" s="10"/>
    </row>
    <row r="522" spans="1:45" s="17" customFormat="1" ht="12.75" customHeight="1">
      <c r="A522" s="11"/>
      <c r="C522" s="11"/>
      <c r="D522" s="10"/>
      <c r="AR522" s="10"/>
      <c r="AS522" s="10"/>
    </row>
    <row r="523" spans="1:45" s="17" customFormat="1" ht="12.75" customHeight="1">
      <c r="A523" s="11"/>
      <c r="C523" s="11"/>
      <c r="D523" s="10"/>
      <c r="AR523" s="10"/>
      <c r="AS523" s="10"/>
    </row>
    <row r="524" spans="1:45" s="17" customFormat="1" ht="12.75" customHeight="1">
      <c r="A524" s="11"/>
      <c r="C524" s="11"/>
      <c r="D524" s="10"/>
      <c r="AR524" s="10"/>
      <c r="AS524" s="10"/>
    </row>
    <row r="525" spans="1:45" s="17" customFormat="1" ht="12.75" customHeight="1">
      <c r="A525" s="11"/>
      <c r="C525" s="11"/>
      <c r="D525" s="10"/>
      <c r="AR525" s="10"/>
      <c r="AS525" s="10"/>
    </row>
    <row r="526" spans="1:45" s="17" customFormat="1" ht="12.75" customHeight="1">
      <c r="A526" s="11"/>
      <c r="C526" s="11"/>
      <c r="D526" s="10"/>
      <c r="AR526" s="10"/>
      <c r="AS526" s="10"/>
    </row>
    <row r="527" spans="1:45" s="17" customFormat="1" ht="12.75" customHeight="1">
      <c r="A527" s="11"/>
      <c r="C527" s="11"/>
      <c r="D527" s="10"/>
      <c r="AR527" s="10"/>
      <c r="AS527" s="10"/>
    </row>
    <row r="528" spans="1:45" s="17" customFormat="1" ht="12.75" customHeight="1">
      <c r="A528" s="11"/>
      <c r="C528" s="11"/>
      <c r="D528" s="10"/>
      <c r="AR528" s="10"/>
      <c r="AS528" s="10"/>
    </row>
    <row r="529" spans="1:45" s="17" customFormat="1" ht="12.75" customHeight="1">
      <c r="A529" s="11"/>
      <c r="C529" s="11"/>
      <c r="D529" s="10"/>
      <c r="AR529" s="10"/>
      <c r="AS529" s="10"/>
    </row>
    <row r="530" spans="1:45" s="17" customFormat="1" ht="12.75" customHeight="1">
      <c r="A530" s="11"/>
      <c r="C530" s="11"/>
      <c r="D530" s="10"/>
      <c r="AR530" s="10"/>
      <c r="AS530" s="10"/>
    </row>
    <row r="531" spans="1:45" s="17" customFormat="1" ht="12.75" customHeight="1">
      <c r="A531" s="11"/>
      <c r="C531" s="11"/>
      <c r="D531" s="10"/>
      <c r="AR531" s="10"/>
      <c r="AS531" s="10"/>
    </row>
    <row r="532" spans="1:45" s="17" customFormat="1" ht="12.75" customHeight="1">
      <c r="A532" s="11"/>
      <c r="C532" s="11"/>
      <c r="D532" s="10"/>
      <c r="AR532" s="10"/>
      <c r="AS532" s="10"/>
    </row>
    <row r="533" spans="1:45" s="17" customFormat="1" ht="12.75" customHeight="1">
      <c r="A533" s="11"/>
      <c r="C533" s="11"/>
      <c r="D533" s="10"/>
      <c r="AR533" s="10"/>
      <c r="AS533" s="10"/>
    </row>
    <row r="534" spans="1:45" s="17" customFormat="1" ht="12.75" customHeight="1">
      <c r="A534" s="11"/>
      <c r="C534" s="11"/>
      <c r="D534" s="10"/>
      <c r="AR534" s="10"/>
      <c r="AS534" s="10"/>
    </row>
    <row r="535" spans="1:45" s="17" customFormat="1" ht="12.75" customHeight="1">
      <c r="A535" s="11"/>
      <c r="C535" s="11"/>
      <c r="D535" s="10"/>
      <c r="AR535" s="10"/>
      <c r="AS535" s="10"/>
    </row>
    <row r="536" spans="1:45" s="17" customFormat="1" ht="12.75" customHeight="1">
      <c r="A536" s="11"/>
      <c r="C536" s="11"/>
      <c r="D536" s="10"/>
      <c r="AR536" s="10"/>
      <c r="AS536" s="10"/>
    </row>
    <row r="537" spans="1:45" s="17" customFormat="1" ht="12.75" customHeight="1">
      <c r="A537" s="11"/>
      <c r="C537" s="11"/>
      <c r="D537" s="10"/>
      <c r="AR537" s="10"/>
      <c r="AS537" s="10"/>
    </row>
    <row r="538" spans="1:45" s="17" customFormat="1" ht="12.75" customHeight="1">
      <c r="A538" s="11"/>
      <c r="C538" s="11"/>
      <c r="D538" s="10"/>
      <c r="AR538" s="10"/>
      <c r="AS538" s="10"/>
    </row>
    <row r="539" spans="1:45" s="17" customFormat="1" ht="12.75" customHeight="1">
      <c r="A539" s="11"/>
      <c r="C539" s="11"/>
      <c r="D539" s="10"/>
      <c r="AR539" s="10"/>
      <c r="AS539" s="10"/>
    </row>
    <row r="540" spans="1:45" s="17" customFormat="1" ht="12.75" customHeight="1">
      <c r="A540" s="11"/>
      <c r="C540" s="11"/>
      <c r="D540" s="10"/>
      <c r="AR540" s="10"/>
      <c r="AS540" s="10"/>
    </row>
    <row r="541" spans="1:45" s="17" customFormat="1" ht="12.75" customHeight="1">
      <c r="A541" s="11"/>
      <c r="C541" s="11"/>
      <c r="D541" s="10"/>
      <c r="AR541" s="10"/>
      <c r="AS541" s="10"/>
    </row>
    <row r="542" spans="1:45" s="17" customFormat="1" ht="12.75" customHeight="1">
      <c r="A542" s="11"/>
      <c r="C542" s="11"/>
      <c r="D542" s="10"/>
      <c r="AR542" s="10"/>
      <c r="AS542" s="10"/>
    </row>
    <row r="543" spans="1:45" s="17" customFormat="1" ht="12.75" customHeight="1">
      <c r="A543" s="11"/>
      <c r="C543" s="11"/>
      <c r="D543" s="10"/>
      <c r="AR543" s="10"/>
      <c r="AS543" s="10"/>
    </row>
    <row r="544" spans="1:45" s="17" customFormat="1" ht="12.75" customHeight="1">
      <c r="A544" s="11"/>
      <c r="C544" s="11"/>
      <c r="D544" s="10"/>
      <c r="AR544" s="10"/>
      <c r="AS544" s="10"/>
    </row>
    <row r="545" spans="1:45" s="17" customFormat="1" ht="12.75" customHeight="1">
      <c r="A545" s="11"/>
      <c r="C545" s="11"/>
      <c r="D545" s="10"/>
      <c r="AR545" s="10"/>
      <c r="AS545" s="10"/>
    </row>
    <row r="546" spans="1:45" s="17" customFormat="1" ht="12.75" customHeight="1">
      <c r="A546" s="11"/>
      <c r="C546" s="11"/>
      <c r="D546" s="10"/>
      <c r="AR546" s="10"/>
      <c r="AS546" s="10"/>
    </row>
    <row r="547" spans="1:45" s="17" customFormat="1" ht="12.75" customHeight="1">
      <c r="A547" s="11"/>
      <c r="C547" s="11"/>
      <c r="D547" s="10"/>
      <c r="AR547" s="10"/>
      <c r="AS547" s="10"/>
    </row>
    <row r="548" spans="1:45" s="17" customFormat="1" ht="12.75" customHeight="1">
      <c r="A548" s="11"/>
      <c r="C548" s="11"/>
      <c r="D548" s="10"/>
      <c r="AR548" s="10"/>
      <c r="AS548" s="10"/>
    </row>
    <row r="549" spans="1:45" s="17" customFormat="1" ht="12.75" customHeight="1">
      <c r="A549" s="11"/>
      <c r="C549" s="11"/>
      <c r="D549" s="10"/>
      <c r="AR549" s="10"/>
      <c r="AS549" s="10"/>
    </row>
    <row r="550" spans="1:45" s="17" customFormat="1" ht="12.75" customHeight="1">
      <c r="A550" s="11"/>
      <c r="C550" s="11"/>
      <c r="D550" s="10"/>
      <c r="AR550" s="10"/>
      <c r="AS550" s="10"/>
    </row>
    <row r="551" spans="1:45" s="17" customFormat="1" ht="12.75" customHeight="1">
      <c r="A551" s="11"/>
      <c r="C551" s="11"/>
      <c r="D551" s="10"/>
      <c r="AR551" s="10"/>
      <c r="AS551" s="10"/>
    </row>
    <row r="552" spans="1:45" s="17" customFormat="1" ht="12.75" customHeight="1">
      <c r="A552" s="11"/>
      <c r="C552" s="11"/>
      <c r="D552" s="10"/>
      <c r="AR552" s="10"/>
      <c r="AS552" s="10"/>
    </row>
    <row r="553" spans="1:45" s="17" customFormat="1" ht="12.75" customHeight="1">
      <c r="A553" s="11"/>
      <c r="C553" s="11"/>
      <c r="D553" s="10"/>
      <c r="AR553" s="10"/>
      <c r="AS553" s="10"/>
    </row>
    <row r="554" spans="1:45" s="17" customFormat="1" ht="12.75" customHeight="1">
      <c r="A554" s="11"/>
      <c r="C554" s="11"/>
      <c r="D554" s="10"/>
      <c r="AR554" s="10"/>
      <c r="AS554" s="10"/>
    </row>
    <row r="555" spans="1:45" s="17" customFormat="1" ht="12.75" customHeight="1">
      <c r="A555" s="11"/>
      <c r="C555" s="11"/>
      <c r="D555" s="10"/>
      <c r="AR555" s="10"/>
      <c r="AS555" s="10"/>
    </row>
    <row r="556" spans="1:45" s="17" customFormat="1" ht="12.75" customHeight="1">
      <c r="A556" s="11"/>
      <c r="C556" s="11"/>
      <c r="D556" s="10"/>
      <c r="AR556" s="10"/>
      <c r="AS556" s="10"/>
    </row>
    <row r="557" spans="1:45" s="17" customFormat="1" ht="12.75" customHeight="1">
      <c r="A557" s="11"/>
      <c r="C557" s="11"/>
      <c r="D557" s="10"/>
      <c r="AR557" s="10"/>
      <c r="AS557" s="10"/>
    </row>
    <row r="558" spans="1:45" s="17" customFormat="1" ht="12.75" customHeight="1">
      <c r="A558" s="11"/>
      <c r="C558" s="11"/>
      <c r="D558" s="10"/>
      <c r="AR558" s="10"/>
      <c r="AS558" s="10"/>
    </row>
    <row r="559" spans="1:45" s="17" customFormat="1" ht="12.75" customHeight="1">
      <c r="A559" s="11"/>
      <c r="C559" s="11"/>
      <c r="D559" s="10"/>
      <c r="AR559" s="10"/>
      <c r="AS559" s="10"/>
    </row>
    <row r="560" spans="1:45" s="17" customFormat="1" ht="12.75" customHeight="1">
      <c r="A560" s="11"/>
      <c r="C560" s="11"/>
      <c r="D560" s="10"/>
      <c r="AR560" s="10"/>
      <c r="AS560" s="10"/>
    </row>
    <row r="561" spans="1:45" s="17" customFormat="1" ht="12.75" customHeight="1">
      <c r="A561" s="11"/>
      <c r="C561" s="11"/>
      <c r="D561" s="10"/>
      <c r="AR561" s="10"/>
      <c r="AS561" s="10"/>
    </row>
    <row r="562" spans="1:45" s="17" customFormat="1" ht="12.75" customHeight="1">
      <c r="A562" s="11"/>
      <c r="C562" s="11"/>
      <c r="D562" s="10"/>
      <c r="AR562" s="10"/>
      <c r="AS562" s="10"/>
    </row>
    <row r="563" spans="1:45" s="17" customFormat="1" ht="12.75" customHeight="1">
      <c r="A563" s="11"/>
      <c r="C563" s="11"/>
      <c r="D563" s="10"/>
      <c r="AR563" s="10"/>
      <c r="AS563" s="10"/>
    </row>
    <row r="564" spans="1:45" s="17" customFormat="1" ht="12.75" customHeight="1">
      <c r="A564" s="11"/>
      <c r="C564" s="11"/>
      <c r="D564" s="10"/>
      <c r="AR564" s="10"/>
      <c r="AS564" s="10"/>
    </row>
    <row r="565" spans="1:45" s="17" customFormat="1" ht="12.75" customHeight="1">
      <c r="A565" s="11"/>
      <c r="C565" s="11"/>
      <c r="D565" s="10"/>
      <c r="AR565" s="10"/>
      <c r="AS565" s="10"/>
    </row>
    <row r="566" spans="1:45" s="17" customFormat="1" ht="12.75" customHeight="1">
      <c r="A566" s="11"/>
      <c r="C566" s="11"/>
      <c r="D566" s="10"/>
      <c r="AR566" s="10"/>
      <c r="AS566" s="10"/>
    </row>
    <row r="567" spans="1:45" s="17" customFormat="1" ht="12.75" customHeight="1">
      <c r="A567" s="11"/>
      <c r="C567" s="11"/>
      <c r="D567" s="10"/>
      <c r="AR567" s="10"/>
      <c r="AS567" s="10"/>
    </row>
    <row r="568" spans="1:45" s="17" customFormat="1" ht="12.75" customHeight="1">
      <c r="A568" s="11"/>
      <c r="C568" s="11"/>
      <c r="D568" s="10"/>
      <c r="AR568" s="10"/>
      <c r="AS568" s="10"/>
    </row>
    <row r="569" spans="1:45" s="17" customFormat="1" ht="12.75" customHeight="1">
      <c r="A569" s="11"/>
      <c r="C569" s="11"/>
      <c r="D569" s="10"/>
      <c r="AR569" s="10"/>
      <c r="AS569" s="10"/>
    </row>
    <row r="570" spans="1:45" s="17" customFormat="1" ht="12.75" customHeight="1">
      <c r="A570" s="11"/>
      <c r="C570" s="11"/>
      <c r="D570" s="10"/>
      <c r="AR570" s="10"/>
      <c r="AS570" s="10"/>
    </row>
    <row r="571" spans="1:45" s="17" customFormat="1" ht="12.75" customHeight="1">
      <c r="A571" s="11"/>
      <c r="C571" s="11"/>
      <c r="D571" s="10"/>
      <c r="AR571" s="10"/>
      <c r="AS571" s="10"/>
    </row>
    <row r="572" spans="1:45" s="17" customFormat="1" ht="12.75" customHeight="1">
      <c r="A572" s="11"/>
      <c r="C572" s="11"/>
      <c r="D572" s="10"/>
      <c r="AR572" s="10"/>
      <c r="AS572" s="10"/>
    </row>
    <row r="573" spans="1:45" s="17" customFormat="1" ht="12.75" customHeight="1">
      <c r="A573" s="11"/>
      <c r="C573" s="11"/>
      <c r="D573" s="10"/>
      <c r="AR573" s="10"/>
      <c r="AS573" s="10"/>
    </row>
    <row r="574" spans="1:45" s="17" customFormat="1" ht="12.75" customHeight="1">
      <c r="A574" s="11"/>
      <c r="C574" s="11"/>
      <c r="D574" s="10"/>
      <c r="AR574" s="10"/>
      <c r="AS574" s="10"/>
    </row>
    <row r="575" spans="1:45" s="17" customFormat="1" ht="12.75" customHeight="1">
      <c r="A575" s="11"/>
      <c r="C575" s="11"/>
      <c r="D575" s="10"/>
      <c r="AR575" s="10"/>
      <c r="AS575" s="10"/>
    </row>
    <row r="576" spans="1:45" s="17" customFormat="1" ht="12.75" customHeight="1">
      <c r="A576" s="11"/>
      <c r="C576" s="11"/>
      <c r="D576" s="10"/>
      <c r="AR576" s="10"/>
      <c r="AS576" s="10"/>
    </row>
    <row r="577" spans="1:45" s="17" customFormat="1" ht="12.75" customHeight="1">
      <c r="A577" s="11"/>
      <c r="C577" s="11"/>
      <c r="D577" s="10"/>
      <c r="AR577" s="10"/>
      <c r="AS577" s="10"/>
    </row>
    <row r="578" spans="1:45" s="17" customFormat="1" ht="12.75" customHeight="1">
      <c r="A578" s="11"/>
      <c r="C578" s="11"/>
      <c r="D578" s="10"/>
      <c r="AR578" s="10"/>
      <c r="AS578" s="10"/>
    </row>
    <row r="579" spans="1:45" s="17" customFormat="1" ht="12.75" customHeight="1">
      <c r="A579" s="11"/>
      <c r="C579" s="11"/>
      <c r="D579" s="10"/>
      <c r="AR579" s="10"/>
      <c r="AS579" s="10"/>
    </row>
    <row r="580" spans="1:45" s="17" customFormat="1" ht="12.75" customHeight="1">
      <c r="A580" s="11"/>
      <c r="C580" s="11"/>
      <c r="D580" s="10"/>
      <c r="AR580" s="10"/>
      <c r="AS580" s="10"/>
    </row>
    <row r="581" spans="1:45" s="17" customFormat="1" ht="12.75" customHeight="1">
      <c r="A581" s="11"/>
      <c r="C581" s="11"/>
      <c r="D581" s="10"/>
      <c r="AR581" s="10"/>
      <c r="AS581" s="10"/>
    </row>
    <row r="582" spans="1:45" s="17" customFormat="1" ht="12.75" customHeight="1">
      <c r="A582" s="11"/>
      <c r="C582" s="11"/>
      <c r="D582" s="10"/>
      <c r="AR582" s="10"/>
      <c r="AS582" s="10"/>
    </row>
    <row r="583" spans="1:45" s="17" customFormat="1" ht="12.75" customHeight="1">
      <c r="A583" s="11"/>
      <c r="C583" s="11"/>
      <c r="D583" s="10"/>
      <c r="AR583" s="10"/>
      <c r="AS583" s="10"/>
    </row>
    <row r="584" spans="1:45" s="17" customFormat="1" ht="12.75" customHeight="1">
      <c r="A584" s="11"/>
      <c r="C584" s="11"/>
      <c r="D584" s="10"/>
      <c r="AR584" s="10"/>
      <c r="AS584" s="10"/>
    </row>
    <row r="585" spans="1:45" s="17" customFormat="1" ht="12.75" customHeight="1">
      <c r="A585" s="11"/>
      <c r="C585" s="11"/>
      <c r="D585" s="10"/>
      <c r="AR585" s="10"/>
      <c r="AS585" s="10"/>
    </row>
    <row r="586" spans="1:45" s="17" customFormat="1" ht="12.75" customHeight="1">
      <c r="A586" s="11"/>
      <c r="C586" s="11"/>
      <c r="D586" s="10"/>
      <c r="AR586" s="10"/>
      <c r="AS586" s="10"/>
    </row>
    <row r="587" spans="1:45" s="17" customFormat="1" ht="12.75" customHeight="1">
      <c r="A587" s="11"/>
      <c r="C587" s="11"/>
      <c r="D587" s="10"/>
      <c r="AR587" s="10"/>
      <c r="AS587" s="10"/>
    </row>
    <row r="588" spans="1:45" s="17" customFormat="1" ht="12.75" customHeight="1">
      <c r="A588" s="11"/>
      <c r="C588" s="11"/>
      <c r="D588" s="10"/>
      <c r="AR588" s="10"/>
      <c r="AS588" s="10"/>
    </row>
    <row r="589" spans="1:45" s="17" customFormat="1" ht="12.75" customHeight="1">
      <c r="A589" s="11"/>
      <c r="C589" s="11"/>
      <c r="D589" s="10"/>
      <c r="AR589" s="10"/>
      <c r="AS589" s="10"/>
    </row>
    <row r="590" spans="1:45" s="17" customFormat="1" ht="12.75" customHeight="1">
      <c r="A590" s="11"/>
      <c r="C590" s="11"/>
      <c r="D590" s="10"/>
      <c r="AR590" s="10"/>
      <c r="AS590" s="10"/>
    </row>
    <row r="591" spans="1:45" s="17" customFormat="1" ht="12.75" customHeight="1">
      <c r="A591" s="11"/>
      <c r="C591" s="11"/>
      <c r="D591" s="10"/>
      <c r="AR591" s="10"/>
      <c r="AS591" s="10"/>
    </row>
    <row r="592" spans="1:45" s="17" customFormat="1" ht="12.75" customHeight="1">
      <c r="A592" s="11"/>
      <c r="C592" s="11"/>
      <c r="D592" s="10"/>
      <c r="AR592" s="10"/>
      <c r="AS592" s="10"/>
    </row>
    <row r="593" spans="1:45" s="17" customFormat="1" ht="12.75" customHeight="1">
      <c r="A593" s="11"/>
      <c r="C593" s="11"/>
      <c r="D593" s="10"/>
      <c r="AR593" s="10"/>
      <c r="AS593" s="10"/>
    </row>
    <row r="594" spans="1:45" s="17" customFormat="1" ht="12.75" customHeight="1">
      <c r="A594" s="11"/>
      <c r="C594" s="11"/>
      <c r="D594" s="10"/>
      <c r="AR594" s="10"/>
      <c r="AS594" s="10"/>
    </row>
    <row r="595" spans="1:45" s="17" customFormat="1" ht="12.75" customHeight="1">
      <c r="A595" s="11"/>
      <c r="C595" s="11"/>
      <c r="D595" s="10"/>
      <c r="AR595" s="10"/>
      <c r="AS595" s="10"/>
    </row>
    <row r="596" spans="1:45" s="17" customFormat="1" ht="12.75" customHeight="1">
      <c r="A596" s="11"/>
      <c r="C596" s="11"/>
      <c r="D596" s="10"/>
      <c r="AR596" s="10"/>
      <c r="AS596" s="10"/>
    </row>
    <row r="597" spans="1:45" s="17" customFormat="1" ht="12.75" customHeight="1">
      <c r="A597" s="11"/>
      <c r="C597" s="11"/>
      <c r="D597" s="10"/>
      <c r="AR597" s="10"/>
      <c r="AS597" s="10"/>
    </row>
    <row r="598" spans="1:45" s="17" customFormat="1" ht="12.75" customHeight="1">
      <c r="A598" s="11"/>
      <c r="C598" s="11"/>
      <c r="D598" s="10"/>
      <c r="AR598" s="10"/>
      <c r="AS598" s="10"/>
    </row>
    <row r="599" spans="1:45" s="17" customFormat="1" ht="12.75" customHeight="1">
      <c r="A599" s="11"/>
      <c r="C599" s="11"/>
      <c r="D599" s="10"/>
      <c r="AR599" s="10"/>
      <c r="AS599" s="10"/>
    </row>
    <row r="600" spans="1:45" s="17" customFormat="1" ht="12.75" customHeight="1">
      <c r="A600" s="11"/>
      <c r="C600" s="11"/>
      <c r="D600" s="10"/>
      <c r="AR600" s="10"/>
      <c r="AS600" s="10"/>
    </row>
    <row r="601" spans="1:45" s="17" customFormat="1" ht="12.75" customHeight="1">
      <c r="A601" s="11"/>
      <c r="C601" s="11"/>
      <c r="D601" s="10"/>
      <c r="AR601" s="10"/>
      <c r="AS601" s="10"/>
    </row>
    <row r="602" spans="1:45" s="17" customFormat="1" ht="12.75" customHeight="1">
      <c r="A602" s="11"/>
      <c r="C602" s="11"/>
      <c r="D602" s="10"/>
      <c r="AR602" s="10"/>
      <c r="AS602" s="10"/>
    </row>
    <row r="603" spans="1:45" s="17" customFormat="1" ht="12.75" customHeight="1">
      <c r="A603" s="11"/>
      <c r="C603" s="11"/>
      <c r="D603" s="10"/>
      <c r="AR603" s="10"/>
      <c r="AS603" s="10"/>
    </row>
    <row r="604" spans="1:45" s="17" customFormat="1" ht="12.75" customHeight="1">
      <c r="A604" s="11"/>
      <c r="C604" s="11"/>
      <c r="D604" s="10"/>
      <c r="AR604" s="10"/>
      <c r="AS604" s="10"/>
    </row>
    <row r="605" spans="1:45" s="17" customFormat="1" ht="12.75" customHeight="1">
      <c r="A605" s="11"/>
      <c r="C605" s="11"/>
      <c r="D605" s="10"/>
      <c r="AR605" s="10"/>
      <c r="AS605" s="10"/>
    </row>
    <row r="606" spans="1:45" s="17" customFormat="1" ht="12.75" customHeight="1">
      <c r="A606" s="11"/>
      <c r="C606" s="11"/>
      <c r="D606" s="10"/>
      <c r="AR606" s="10"/>
      <c r="AS606" s="10"/>
    </row>
    <row r="607" spans="1:45" s="17" customFormat="1" ht="12.75" customHeight="1">
      <c r="A607" s="11"/>
      <c r="C607" s="11"/>
      <c r="D607" s="10"/>
      <c r="AR607" s="10"/>
      <c r="AS607" s="10"/>
    </row>
    <row r="608" spans="1:45" s="17" customFormat="1" ht="12.75" customHeight="1">
      <c r="A608" s="11"/>
      <c r="C608" s="11"/>
      <c r="D608" s="10"/>
      <c r="AR608" s="10"/>
      <c r="AS608" s="10"/>
    </row>
    <row r="609" spans="1:45" s="17" customFormat="1" ht="12.75" customHeight="1">
      <c r="A609" s="11"/>
      <c r="C609" s="11"/>
      <c r="D609" s="10"/>
      <c r="AR609" s="10"/>
      <c r="AS609" s="10"/>
    </row>
    <row r="610" spans="1:45" s="17" customFormat="1" ht="12.75" customHeight="1">
      <c r="A610" s="11"/>
      <c r="C610" s="11"/>
      <c r="D610" s="10"/>
      <c r="AR610" s="10"/>
      <c r="AS610" s="10"/>
    </row>
    <row r="611" spans="1:45" s="17" customFormat="1" ht="12.75" customHeight="1">
      <c r="A611" s="11"/>
      <c r="C611" s="11"/>
      <c r="D611" s="10"/>
      <c r="AR611" s="10"/>
      <c r="AS611" s="10"/>
    </row>
    <row r="612" spans="1:45" s="17" customFormat="1" ht="12.75" customHeight="1">
      <c r="A612" s="11"/>
      <c r="C612" s="11"/>
      <c r="D612" s="10"/>
      <c r="AR612" s="10"/>
      <c r="AS612" s="10"/>
    </row>
    <row r="613" spans="1:45" s="17" customFormat="1" ht="12.75" customHeight="1">
      <c r="A613" s="11"/>
      <c r="C613" s="11"/>
      <c r="D613" s="10"/>
      <c r="AR613" s="10"/>
      <c r="AS613" s="10"/>
    </row>
    <row r="614" spans="1:45" s="17" customFormat="1" ht="12.75" customHeight="1">
      <c r="A614" s="11"/>
      <c r="C614" s="11"/>
      <c r="D614" s="10"/>
      <c r="AR614" s="10"/>
      <c r="AS614" s="10"/>
    </row>
    <row r="615" spans="1:45" s="17" customFormat="1" ht="12.75" customHeight="1">
      <c r="A615" s="11"/>
      <c r="C615" s="11"/>
      <c r="D615" s="10"/>
      <c r="AR615" s="10"/>
      <c r="AS615" s="10"/>
    </row>
    <row r="616" spans="1:45" s="17" customFormat="1" ht="12.75" customHeight="1">
      <c r="A616" s="11"/>
      <c r="C616" s="11"/>
      <c r="D616" s="10"/>
      <c r="AR616" s="10"/>
      <c r="AS616" s="10"/>
    </row>
    <row r="617" spans="1:45" s="17" customFormat="1" ht="12.75" customHeight="1">
      <c r="A617" s="11"/>
      <c r="C617" s="11"/>
      <c r="D617" s="10"/>
      <c r="AR617" s="10"/>
      <c r="AS617" s="10"/>
    </row>
    <row r="618" spans="1:45" s="17" customFormat="1" ht="12.75" customHeight="1">
      <c r="A618" s="11"/>
      <c r="C618" s="11"/>
      <c r="D618" s="10"/>
      <c r="AR618" s="10"/>
      <c r="AS618" s="10"/>
    </row>
    <row r="619" spans="1:45" s="17" customFormat="1" ht="12.75" customHeight="1">
      <c r="A619" s="11"/>
      <c r="C619" s="11"/>
      <c r="D619" s="10"/>
      <c r="AR619" s="10"/>
      <c r="AS619" s="10"/>
    </row>
    <row r="620" spans="1:45" s="17" customFormat="1" ht="12.75" customHeight="1">
      <c r="A620" s="11"/>
      <c r="C620" s="11"/>
      <c r="D620" s="10"/>
      <c r="AR620" s="10"/>
      <c r="AS620" s="10"/>
    </row>
    <row r="621" spans="1:45" s="17" customFormat="1" ht="12.75" customHeight="1">
      <c r="A621" s="11"/>
      <c r="C621" s="11"/>
      <c r="D621" s="10"/>
      <c r="AR621" s="10"/>
      <c r="AS621" s="10"/>
    </row>
    <row r="622" spans="1:45" s="17" customFormat="1" ht="12.75" customHeight="1">
      <c r="A622" s="11"/>
      <c r="C622" s="11"/>
      <c r="D622" s="10"/>
      <c r="AR622" s="10"/>
      <c r="AS622" s="10"/>
    </row>
    <row r="623" spans="1:45" s="17" customFormat="1" ht="12.75" customHeight="1">
      <c r="A623" s="11"/>
      <c r="C623" s="11"/>
      <c r="D623" s="10"/>
      <c r="AR623" s="10"/>
      <c r="AS623" s="10"/>
    </row>
    <row r="624" spans="1:45" s="17" customFormat="1" ht="12.75" customHeight="1">
      <c r="A624" s="11"/>
      <c r="C624" s="11"/>
      <c r="D624" s="10"/>
      <c r="AR624" s="10"/>
      <c r="AS624" s="10"/>
    </row>
    <row r="625" spans="1:45" s="17" customFormat="1" ht="12.75" customHeight="1">
      <c r="A625" s="11"/>
      <c r="C625" s="11"/>
      <c r="D625" s="10"/>
      <c r="AR625" s="10"/>
      <c r="AS625" s="10"/>
    </row>
    <row r="626" spans="1:45" s="17" customFormat="1" ht="12.75" customHeight="1">
      <c r="A626" s="11"/>
      <c r="C626" s="11"/>
      <c r="D626" s="10"/>
      <c r="AR626" s="10"/>
      <c r="AS626" s="10"/>
    </row>
    <row r="627" spans="1:45" s="17" customFormat="1" ht="12.75" customHeight="1">
      <c r="A627" s="11"/>
      <c r="C627" s="11"/>
      <c r="D627" s="10"/>
      <c r="AR627" s="10"/>
      <c r="AS627" s="10"/>
    </row>
    <row r="628" spans="1:45" s="17" customFormat="1" ht="12.75" customHeight="1">
      <c r="A628" s="11"/>
      <c r="C628" s="11"/>
      <c r="D628" s="10"/>
      <c r="AR628" s="10"/>
      <c r="AS628" s="10"/>
    </row>
    <row r="629" spans="1:45" s="17" customFormat="1" ht="12.75" customHeight="1">
      <c r="A629" s="11"/>
      <c r="C629" s="11"/>
      <c r="D629" s="10"/>
      <c r="AR629" s="10"/>
      <c r="AS629" s="10"/>
    </row>
    <row r="630" spans="1:45" s="17" customFormat="1" ht="12.75" customHeight="1">
      <c r="A630" s="11"/>
      <c r="C630" s="11"/>
      <c r="D630" s="10"/>
      <c r="AR630" s="10"/>
      <c r="AS630" s="10"/>
    </row>
    <row r="631" spans="1:45" s="17" customFormat="1" ht="12.75" customHeight="1">
      <c r="A631" s="11"/>
      <c r="C631" s="11"/>
      <c r="D631" s="10"/>
      <c r="AR631" s="10"/>
      <c r="AS631" s="10"/>
    </row>
    <row r="632" spans="1:45" s="17" customFormat="1" ht="12.75" customHeight="1">
      <c r="A632" s="11"/>
      <c r="C632" s="11"/>
      <c r="D632" s="10"/>
      <c r="AR632" s="10"/>
      <c r="AS632" s="10"/>
    </row>
    <row r="633" spans="1:45" s="17" customFormat="1" ht="12.75" customHeight="1">
      <c r="A633" s="11"/>
      <c r="C633" s="11"/>
      <c r="D633" s="10"/>
      <c r="AR633" s="10"/>
      <c r="AS633" s="10"/>
    </row>
    <row r="634" spans="1:45" s="17" customFormat="1" ht="12.75" customHeight="1">
      <c r="A634" s="11"/>
      <c r="C634" s="11"/>
      <c r="D634" s="10"/>
      <c r="AR634" s="10"/>
      <c r="AS634" s="10"/>
    </row>
    <row r="635" spans="1:45" s="17" customFormat="1" ht="12.75" customHeight="1">
      <c r="A635" s="11"/>
      <c r="C635" s="11"/>
      <c r="D635" s="10"/>
      <c r="AR635" s="10"/>
      <c r="AS635" s="10"/>
    </row>
    <row r="636" spans="1:45" s="17" customFormat="1" ht="12.75" customHeight="1">
      <c r="A636" s="11"/>
      <c r="C636" s="11"/>
      <c r="D636" s="10"/>
      <c r="AR636" s="10"/>
      <c r="AS636" s="10"/>
    </row>
    <row r="637" spans="1:45" s="17" customFormat="1" ht="12.75" customHeight="1">
      <c r="A637" s="11"/>
      <c r="C637" s="11"/>
      <c r="D637" s="10"/>
      <c r="AR637" s="10"/>
      <c r="AS637" s="10"/>
    </row>
    <row r="638" spans="1:45" s="17" customFormat="1" ht="12.75" customHeight="1">
      <c r="A638" s="11"/>
      <c r="C638" s="11"/>
      <c r="D638" s="10"/>
      <c r="AR638" s="10"/>
      <c r="AS638" s="10"/>
    </row>
    <row r="639" spans="1:45" s="17" customFormat="1" ht="12.75" customHeight="1">
      <c r="A639" s="11"/>
      <c r="C639" s="11"/>
      <c r="D639" s="10"/>
      <c r="AR639" s="10"/>
      <c r="AS639" s="10"/>
    </row>
    <row r="640" spans="1:45" s="17" customFormat="1" ht="12.75" customHeight="1">
      <c r="A640" s="11"/>
      <c r="C640" s="11"/>
      <c r="D640" s="10"/>
      <c r="AR640" s="10"/>
      <c r="AS640" s="10"/>
    </row>
    <row r="641" spans="1:45" s="17" customFormat="1" ht="12.75" customHeight="1">
      <c r="A641" s="11"/>
      <c r="C641" s="11"/>
      <c r="D641" s="10"/>
      <c r="AR641" s="10"/>
      <c r="AS641" s="10"/>
    </row>
    <row r="642" spans="1:45" s="17" customFormat="1" ht="12.75" customHeight="1">
      <c r="A642" s="11"/>
      <c r="C642" s="11"/>
      <c r="D642" s="10"/>
      <c r="AR642" s="10"/>
      <c r="AS642" s="10"/>
    </row>
    <row r="643" spans="1:45" s="17" customFormat="1" ht="12.75" customHeight="1">
      <c r="A643" s="11"/>
      <c r="C643" s="11"/>
      <c r="D643" s="10"/>
      <c r="AR643" s="10"/>
      <c r="AS643" s="10"/>
    </row>
    <row r="644" spans="1:45" s="17" customFormat="1" ht="12.75" customHeight="1">
      <c r="A644" s="11"/>
      <c r="C644" s="11"/>
      <c r="D644" s="10"/>
      <c r="AR644" s="10"/>
      <c r="AS644" s="10"/>
    </row>
    <row r="645" spans="1:45" s="17" customFormat="1" ht="12.75" customHeight="1">
      <c r="A645" s="11"/>
      <c r="C645" s="11"/>
      <c r="D645" s="10"/>
      <c r="AR645" s="10"/>
      <c r="AS645" s="10"/>
    </row>
    <row r="646" spans="1:45" s="17" customFormat="1" ht="12.75" customHeight="1">
      <c r="A646" s="11"/>
      <c r="C646" s="11"/>
      <c r="D646" s="10"/>
      <c r="AR646" s="10"/>
      <c r="AS646" s="10"/>
    </row>
    <row r="647" spans="1:45" s="17" customFormat="1" ht="12.75" customHeight="1">
      <c r="A647" s="11"/>
      <c r="C647" s="11"/>
      <c r="D647" s="10"/>
      <c r="AR647" s="10"/>
      <c r="AS647" s="10"/>
    </row>
    <row r="648" spans="1:45" s="17" customFormat="1" ht="12.75" customHeight="1">
      <c r="A648" s="11"/>
      <c r="C648" s="11"/>
      <c r="D648" s="10"/>
      <c r="AR648" s="10"/>
      <c r="AS648" s="10"/>
    </row>
    <row r="649" spans="1:45" s="17" customFormat="1" ht="12.75" customHeight="1">
      <c r="A649" s="11"/>
      <c r="C649" s="11"/>
      <c r="D649" s="10"/>
      <c r="AR649" s="10"/>
      <c r="AS649" s="10"/>
    </row>
    <row r="650" spans="1:45" s="17" customFormat="1" ht="12.75" customHeight="1">
      <c r="A650" s="11"/>
      <c r="C650" s="11"/>
      <c r="D650" s="10"/>
      <c r="AR650" s="10"/>
      <c r="AS650" s="10"/>
    </row>
    <row r="651" spans="1:45" s="17" customFormat="1" ht="12.75" customHeight="1">
      <c r="A651" s="11"/>
      <c r="C651" s="11"/>
      <c r="D651" s="10"/>
      <c r="AR651" s="10"/>
      <c r="AS651" s="10"/>
    </row>
    <row r="652" spans="1:45" s="17" customFormat="1" ht="12.75" customHeight="1">
      <c r="A652" s="11"/>
      <c r="C652" s="11"/>
      <c r="D652" s="10"/>
      <c r="AR652" s="10"/>
      <c r="AS652" s="10"/>
    </row>
    <row r="653" spans="1:45" s="17" customFormat="1" ht="12.75" customHeight="1">
      <c r="A653" s="11"/>
      <c r="C653" s="11"/>
      <c r="D653" s="10"/>
      <c r="AR653" s="10"/>
      <c r="AS653" s="10"/>
    </row>
    <row r="654" spans="1:45" s="17" customFormat="1" ht="12.75" customHeight="1">
      <c r="A654" s="11"/>
      <c r="C654" s="11"/>
      <c r="D654" s="10"/>
      <c r="AR654" s="10"/>
      <c r="AS654" s="10"/>
    </row>
    <row r="655" spans="1:45" s="17" customFormat="1" ht="12.75" customHeight="1">
      <c r="A655" s="11"/>
      <c r="C655" s="11"/>
      <c r="D655" s="10"/>
      <c r="AR655" s="10"/>
      <c r="AS655" s="10"/>
    </row>
    <row r="656" spans="1:45" ht="12.75" customHeight="1">
      <c r="B656" s="10"/>
    </row>
    <row r="657" spans="2:2" ht="12.75" customHeight="1">
      <c r="B657" s="10"/>
    </row>
  </sheetData>
  <phoneticPr fontId="4" type="noConversion"/>
  <pageMargins left="0.75" right="0.75" top="0.5" bottom="0.5" header="0" footer="0.25"/>
  <pageSetup scale="90" firstPageNumber="62" pageOrder="overThenDown" orientation="portrait" useFirstPageNumber="1" r:id="rId1"/>
  <headerFooter alignWithMargins="0">
    <oddFooter>&amp;C&amp;"Times New Roman,Regular"&amp;12&amp;P</oddFooter>
  </headerFooter>
  <colBreaks count="1" manualBreakCount="1">
    <brk id="16" min="9" max="2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X337"/>
  <sheetViews>
    <sheetView view="pageBreakPreview" zoomScale="75" zoomScaleNormal="100" zoomScaleSheetLayoutView="75" workbookViewId="0">
      <pane xSplit="3" ySplit="8" topLeftCell="D31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ColWidth="9.140625" defaultRowHeight="12.75" customHeight="1"/>
  <cols>
    <col min="1" max="1" width="16.28515625" style="110" customWidth="1"/>
    <col min="2" max="2" width="2.85546875" style="111" customWidth="1"/>
    <col min="3" max="3" width="14.42578125" style="110" customWidth="1"/>
    <col min="4" max="4" width="2.140625" style="111" customWidth="1"/>
    <col min="5" max="5" width="12.7109375" style="110" customWidth="1"/>
    <col min="6" max="6" width="2.140625" style="110" customWidth="1"/>
    <col min="7" max="7" width="12.28515625" style="110" customWidth="1"/>
    <col min="8" max="8" width="2.140625" style="110" customWidth="1"/>
    <col min="9" max="9" width="12.140625" style="110" customWidth="1"/>
    <col min="10" max="10" width="2.7109375" style="110" customWidth="1"/>
    <col min="11" max="11" width="12.28515625" style="110" customWidth="1"/>
    <col min="12" max="12" width="1.7109375" style="110" customWidth="1"/>
    <col min="13" max="13" width="13.7109375" style="110" customWidth="1"/>
    <col min="14" max="14" width="2.42578125" style="110" customWidth="1"/>
    <col min="15" max="15" width="13" style="110" customWidth="1"/>
    <col min="16" max="16" width="2.42578125" style="110" customWidth="1"/>
    <col min="17" max="17" width="13.28515625" style="110" customWidth="1"/>
    <col min="18" max="18" width="2.7109375" style="110" customWidth="1"/>
    <col min="19" max="19" width="14" style="112" customWidth="1"/>
    <col min="20" max="20" width="2.7109375" style="110" customWidth="1"/>
    <col min="21" max="21" width="12.85546875" style="113" customWidth="1"/>
    <col min="22" max="22" width="2.7109375" style="111" customWidth="1"/>
    <col min="23" max="23" width="12.7109375" style="2" customWidth="1"/>
    <col min="24" max="24" width="11.7109375" style="111" bestFit="1" customWidth="1"/>
    <col min="25" max="16384" width="9.140625" style="111"/>
  </cols>
  <sheetData>
    <row r="1" spans="1:23" s="109" customFormat="1" ht="12.75" customHeight="1">
      <c r="A1" s="23" t="s">
        <v>493</v>
      </c>
      <c r="C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"/>
      <c r="T1" s="24"/>
      <c r="U1" s="73"/>
      <c r="V1" s="27"/>
      <c r="W1" s="1"/>
    </row>
    <row r="2" spans="1:23" s="109" customFormat="1" ht="12.75" customHeight="1">
      <c r="A2" s="23" t="s">
        <v>500</v>
      </c>
      <c r="C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2"/>
      <c r="T2" s="24"/>
      <c r="U2" s="73"/>
      <c r="V2" s="27"/>
      <c r="W2" s="1"/>
    </row>
    <row r="3" spans="1:23" s="109" customFormat="1" ht="12.75" customHeight="1">
      <c r="A3" s="24" t="s">
        <v>289</v>
      </c>
      <c r="C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2"/>
      <c r="T3" s="24"/>
      <c r="U3" s="73"/>
      <c r="V3" s="27"/>
      <c r="W3" s="1"/>
    </row>
    <row r="4" spans="1:23" ht="12.75" customHeight="1">
      <c r="A4" s="146"/>
    </row>
    <row r="6" spans="1:23" s="114" customFormat="1" ht="12.75" customHeight="1">
      <c r="A6" s="23"/>
      <c r="C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15"/>
      <c r="W6" s="3" t="s">
        <v>294</v>
      </c>
    </row>
    <row r="7" spans="1:23" s="114" customFormat="1" ht="12.75" customHeight="1">
      <c r="A7" s="25"/>
      <c r="C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15"/>
      <c r="W7" s="3" t="s">
        <v>434</v>
      </c>
    </row>
    <row r="8" spans="1:23" s="115" customFormat="1" ht="12.75" customHeight="1">
      <c r="A8" s="99" t="s">
        <v>8</v>
      </c>
      <c r="C8" s="99" t="s">
        <v>9</v>
      </c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18"/>
      <c r="W8" s="7" t="s">
        <v>435</v>
      </c>
    </row>
    <row r="9" spans="1:23" s="115" customFormat="1" ht="12.75" customHeight="1">
      <c r="A9" s="26"/>
      <c r="C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18"/>
      <c r="W9" s="81"/>
    </row>
    <row r="10" spans="1:23" s="117" customFormat="1" ht="12.75" hidden="1" customHeight="1">
      <c r="A10" s="44" t="s">
        <v>12</v>
      </c>
      <c r="B10" s="116"/>
      <c r="C10" s="44" t="s">
        <v>13</v>
      </c>
      <c r="D10" s="35"/>
      <c r="E10" s="94">
        <v>0</v>
      </c>
      <c r="F10" s="94"/>
      <c r="G10" s="94">
        <v>0</v>
      </c>
      <c r="H10" s="94"/>
      <c r="I10" s="94">
        <v>0</v>
      </c>
      <c r="J10" s="94"/>
      <c r="K10" s="94">
        <v>0</v>
      </c>
      <c r="L10" s="94"/>
      <c r="M10" s="94">
        <v>0</v>
      </c>
      <c r="N10" s="94"/>
      <c r="O10" s="94">
        <v>0</v>
      </c>
      <c r="P10" s="94"/>
      <c r="Q10" s="94">
        <v>0</v>
      </c>
      <c r="R10" s="94"/>
      <c r="S10" s="46">
        <f t="shared" ref="S10:S11" si="0">+U10-SUM(E10:Q10)</f>
        <v>0</v>
      </c>
      <c r="T10" s="94"/>
      <c r="U10" s="79">
        <v>0</v>
      </c>
      <c r="V10" s="46"/>
      <c r="W10" s="46">
        <v>0</v>
      </c>
    </row>
    <row r="11" spans="1:23" s="118" customFormat="1" ht="12.75" customHeight="1">
      <c r="A11" s="44" t="s">
        <v>14</v>
      </c>
      <c r="C11" s="44" t="s">
        <v>15</v>
      </c>
      <c r="D11" s="35"/>
      <c r="E11" s="94">
        <v>969712</v>
      </c>
      <c r="F11" s="94"/>
      <c r="G11" s="94">
        <v>8718059</v>
      </c>
      <c r="H11" s="94"/>
      <c r="I11" s="94">
        <v>0</v>
      </c>
      <c r="J11" s="94"/>
      <c r="K11" s="94">
        <v>224081</v>
      </c>
      <c r="L11" s="94"/>
      <c r="M11" s="94">
        <v>6833514</v>
      </c>
      <c r="N11" s="94"/>
      <c r="O11" s="94">
        <v>68563</v>
      </c>
      <c r="P11" s="94"/>
      <c r="Q11" s="94">
        <f>336829+512398</f>
        <v>849227</v>
      </c>
      <c r="R11" s="94"/>
      <c r="S11" s="46">
        <f t="shared" si="0"/>
        <v>868099</v>
      </c>
      <c r="T11" s="94"/>
      <c r="U11" s="94">
        <v>18531255</v>
      </c>
      <c r="V11" s="46"/>
      <c r="W11" s="94">
        <v>1066718</v>
      </c>
    </row>
    <row r="12" spans="1:23" s="116" customFormat="1" ht="12.75" customHeight="1">
      <c r="A12" s="44" t="s">
        <v>16</v>
      </c>
      <c r="C12" s="44" t="s">
        <v>17</v>
      </c>
      <c r="D12" s="35"/>
      <c r="E12" s="45">
        <v>1395354</v>
      </c>
      <c r="F12" s="45"/>
      <c r="G12" s="45">
        <v>4032726</v>
      </c>
      <c r="H12" s="45"/>
      <c r="I12" s="45">
        <v>0</v>
      </c>
      <c r="J12" s="45"/>
      <c r="K12" s="45">
        <v>306221</v>
      </c>
      <c r="L12" s="45"/>
      <c r="M12" s="45">
        <v>1490940</v>
      </c>
      <c r="N12" s="45"/>
      <c r="O12" s="45">
        <v>0</v>
      </c>
      <c r="P12" s="45"/>
      <c r="Q12" s="45">
        <f>156399+73536</f>
        <v>229935</v>
      </c>
      <c r="R12" s="45"/>
      <c r="S12" s="44">
        <f t="shared" ref="S12:S69" si="1">+U12-SUM(E12:Q12)</f>
        <v>290140</v>
      </c>
      <c r="T12" s="45"/>
      <c r="U12" s="45">
        <v>7745316</v>
      </c>
      <c r="V12" s="44"/>
      <c r="W12" s="45">
        <v>773461</v>
      </c>
    </row>
    <row r="13" spans="1:23" s="116" customFormat="1" ht="12.75" customHeight="1">
      <c r="A13" s="44" t="s">
        <v>18</v>
      </c>
      <c r="C13" s="44" t="s">
        <v>18</v>
      </c>
      <c r="D13" s="35"/>
      <c r="E13" s="45">
        <v>1052925</v>
      </c>
      <c r="F13" s="45"/>
      <c r="G13" s="45">
        <v>7927130</v>
      </c>
      <c r="H13" s="45"/>
      <c r="I13" s="45">
        <v>0</v>
      </c>
      <c r="J13" s="45"/>
      <c r="K13" s="45">
        <v>2440271</v>
      </c>
      <c r="L13" s="45"/>
      <c r="M13" s="45">
        <v>3966281</v>
      </c>
      <c r="N13" s="45"/>
      <c r="O13" s="45">
        <v>23527</v>
      </c>
      <c r="P13" s="45"/>
      <c r="Q13" s="45">
        <f>27785+1067750</f>
        <v>1095535</v>
      </c>
      <c r="R13" s="45"/>
      <c r="S13" s="44">
        <f t="shared" si="1"/>
        <v>512406</v>
      </c>
      <c r="T13" s="45"/>
      <c r="U13" s="45">
        <v>17018075</v>
      </c>
      <c r="V13" s="44"/>
      <c r="W13" s="45">
        <f>542449+835000+48486+30629</f>
        <v>1456564</v>
      </c>
    </row>
    <row r="14" spans="1:23" s="116" customFormat="1" ht="12.75" customHeight="1">
      <c r="A14" s="44" t="s">
        <v>19</v>
      </c>
      <c r="C14" s="44" t="s">
        <v>19</v>
      </c>
      <c r="D14" s="35"/>
      <c r="E14" s="45">
        <v>2078909</v>
      </c>
      <c r="F14" s="45"/>
      <c r="G14" s="45">
        <v>5640581</v>
      </c>
      <c r="H14" s="45"/>
      <c r="I14" s="45">
        <v>0</v>
      </c>
      <c r="J14" s="45"/>
      <c r="K14" s="45">
        <v>2153776</v>
      </c>
      <c r="L14" s="45"/>
      <c r="M14" s="45">
        <v>3859482</v>
      </c>
      <c r="N14" s="45"/>
      <c r="O14" s="45">
        <v>10334</v>
      </c>
      <c r="P14" s="45"/>
      <c r="Q14" s="45">
        <f>316038+765130</f>
        <v>1081168</v>
      </c>
      <c r="R14" s="45"/>
      <c r="S14" s="44">
        <f t="shared" si="1"/>
        <v>418988</v>
      </c>
      <c r="T14" s="45"/>
      <c r="U14" s="45">
        <v>15243238</v>
      </c>
      <c r="V14" s="44"/>
      <c r="W14" s="45">
        <f>325000+15415+680800</f>
        <v>1021215</v>
      </c>
    </row>
    <row r="15" spans="1:23" s="116" customFormat="1" ht="12.75" customHeight="1">
      <c r="A15" s="44" t="s">
        <v>20</v>
      </c>
      <c r="C15" s="44" t="s">
        <v>20</v>
      </c>
      <c r="D15" s="35"/>
      <c r="E15" s="45">
        <v>840947</v>
      </c>
      <c r="F15" s="45"/>
      <c r="G15" s="45">
        <v>10410061</v>
      </c>
      <c r="H15" s="45"/>
      <c r="I15" s="45">
        <f>576384+453522</f>
        <v>1029906</v>
      </c>
      <c r="J15" s="45"/>
      <c r="K15" s="45">
        <v>1861144</v>
      </c>
      <c r="L15" s="45"/>
      <c r="M15" s="45">
        <v>7002706</v>
      </c>
      <c r="N15" s="45"/>
      <c r="O15" s="45">
        <v>3586</v>
      </c>
      <c r="P15" s="45"/>
      <c r="Q15" s="45">
        <f>710934+1450806</f>
        <v>2161740</v>
      </c>
      <c r="R15" s="45"/>
      <c r="S15" s="44">
        <f t="shared" ref="S15" si="2">U15-E15-G15-K15-M15-O15-Q15-I15</f>
        <v>529511</v>
      </c>
      <c r="T15" s="45"/>
      <c r="U15" s="45">
        <v>23839601</v>
      </c>
      <c r="V15" s="35"/>
      <c r="W15" s="45">
        <f>2730000+65845+555615</f>
        <v>3351460</v>
      </c>
    </row>
    <row r="16" spans="1:23" s="116" customFormat="1" ht="12.75" customHeight="1">
      <c r="A16" s="44" t="s">
        <v>21</v>
      </c>
      <c r="C16" s="44" t="s">
        <v>22</v>
      </c>
      <c r="D16" s="35"/>
      <c r="E16" s="45">
        <v>3433607</v>
      </c>
      <c r="F16" s="45"/>
      <c r="G16" s="45">
        <v>9851187</v>
      </c>
      <c r="H16" s="45"/>
      <c r="I16" s="45">
        <v>1141430</v>
      </c>
      <c r="J16" s="45"/>
      <c r="K16" s="45">
        <v>533059</v>
      </c>
      <c r="L16" s="45"/>
      <c r="M16" s="45">
        <v>2488139</v>
      </c>
      <c r="N16" s="45"/>
      <c r="O16" s="45">
        <v>0</v>
      </c>
      <c r="P16" s="45"/>
      <c r="Q16" s="45">
        <f>158739+28901</f>
        <v>187640</v>
      </c>
      <c r="R16" s="45"/>
      <c r="S16" s="44">
        <f t="shared" si="1"/>
        <v>222982</v>
      </c>
      <c r="T16" s="45"/>
      <c r="U16" s="45">
        <v>17858044</v>
      </c>
      <c r="V16" s="44"/>
      <c r="W16" s="45">
        <f>123550+2215509+246514</f>
        <v>2585573</v>
      </c>
    </row>
    <row r="17" spans="1:23" s="116" customFormat="1" ht="12.75" customHeight="1">
      <c r="A17" s="44" t="s">
        <v>23</v>
      </c>
      <c r="C17" s="44" t="s">
        <v>17</v>
      </c>
      <c r="D17" s="35"/>
      <c r="E17" s="45">
        <v>4248951</v>
      </c>
      <c r="F17" s="45"/>
      <c r="G17" s="45">
        <v>9710548</v>
      </c>
      <c r="H17" s="45"/>
      <c r="I17" s="45">
        <v>1319031</v>
      </c>
      <c r="J17" s="45"/>
      <c r="K17" s="45">
        <v>617297</v>
      </c>
      <c r="L17" s="45"/>
      <c r="M17" s="45">
        <v>3296064</v>
      </c>
      <c r="N17" s="45"/>
      <c r="O17" s="45">
        <v>249816</v>
      </c>
      <c r="P17" s="45"/>
      <c r="Q17" s="45">
        <f>1090059+147987</f>
        <v>1238046</v>
      </c>
      <c r="R17" s="45"/>
      <c r="S17" s="44">
        <f t="shared" si="1"/>
        <v>905696</v>
      </c>
      <c r="T17" s="45"/>
      <c r="U17" s="45">
        <v>21585449</v>
      </c>
      <c r="V17" s="44"/>
      <c r="W17" s="45">
        <f>5675000+51870+11341838</f>
        <v>17068708</v>
      </c>
    </row>
    <row r="18" spans="1:23" s="116" customFormat="1" ht="12.75" hidden="1" customHeight="1">
      <c r="A18" s="44" t="s">
        <v>24</v>
      </c>
      <c r="C18" s="44" t="s">
        <v>17</v>
      </c>
      <c r="D18" s="35"/>
      <c r="E18" s="45">
        <v>0</v>
      </c>
      <c r="F18" s="45"/>
      <c r="G18" s="45">
        <v>0</v>
      </c>
      <c r="H18" s="45"/>
      <c r="I18" s="45">
        <v>0</v>
      </c>
      <c r="J18" s="45"/>
      <c r="K18" s="45">
        <v>0</v>
      </c>
      <c r="L18" s="45"/>
      <c r="M18" s="45">
        <v>0</v>
      </c>
      <c r="N18" s="45"/>
      <c r="O18" s="45">
        <v>0</v>
      </c>
      <c r="P18" s="45"/>
      <c r="Q18" s="45">
        <v>0</v>
      </c>
      <c r="R18" s="45"/>
      <c r="S18" s="44">
        <f t="shared" si="1"/>
        <v>0</v>
      </c>
      <c r="T18" s="45"/>
      <c r="U18" s="45">
        <v>0</v>
      </c>
      <c r="V18" s="44"/>
      <c r="W18" s="45">
        <v>0</v>
      </c>
    </row>
    <row r="19" spans="1:23" s="116" customFormat="1" ht="12.75" customHeight="1">
      <c r="A19" s="44" t="s">
        <v>25</v>
      </c>
      <c r="C19" s="44" t="s">
        <v>13</v>
      </c>
      <c r="D19" s="35"/>
      <c r="E19" s="45">
        <v>1672043</v>
      </c>
      <c r="F19" s="45"/>
      <c r="G19" s="45">
        <v>11310138</v>
      </c>
      <c r="H19" s="45"/>
      <c r="I19" s="45">
        <v>0</v>
      </c>
      <c r="J19" s="45"/>
      <c r="K19" s="45">
        <v>2206082</v>
      </c>
      <c r="L19" s="45"/>
      <c r="M19" s="45">
        <v>6712451</v>
      </c>
      <c r="N19" s="45"/>
      <c r="O19" s="45">
        <v>157474</v>
      </c>
      <c r="P19" s="45"/>
      <c r="Q19" s="45">
        <f>252107+418311</f>
        <v>670418</v>
      </c>
      <c r="R19" s="45"/>
      <c r="S19" s="44">
        <f t="shared" si="1"/>
        <v>1369786</v>
      </c>
      <c r="T19" s="45"/>
      <c r="U19" s="45">
        <v>24098392</v>
      </c>
      <c r="V19" s="44"/>
      <c r="W19" s="45">
        <f>109838+112089+1779079</f>
        <v>2001006</v>
      </c>
    </row>
    <row r="20" spans="1:23" s="116" customFormat="1" ht="12.75" customHeight="1">
      <c r="A20" s="44" t="s">
        <v>26</v>
      </c>
      <c r="C20" s="44" t="s">
        <v>27</v>
      </c>
      <c r="D20" s="35"/>
      <c r="E20" s="45">
        <v>6430017</v>
      </c>
      <c r="F20" s="45"/>
      <c r="G20" s="45">
        <v>4970705</v>
      </c>
      <c r="H20" s="45"/>
      <c r="I20" s="45">
        <v>0</v>
      </c>
      <c r="J20" s="45"/>
      <c r="K20" s="45">
        <v>425209</v>
      </c>
      <c r="L20" s="45"/>
      <c r="M20" s="45">
        <v>2921645</v>
      </c>
      <c r="N20" s="45"/>
      <c r="O20" s="45">
        <v>52889</v>
      </c>
      <c r="P20" s="45"/>
      <c r="Q20" s="45">
        <f>425209+717593</f>
        <v>1142802</v>
      </c>
      <c r="R20" s="45"/>
      <c r="S20" s="44">
        <f t="shared" si="1"/>
        <v>405865</v>
      </c>
      <c r="T20" s="45"/>
      <c r="U20" s="45">
        <v>16349132</v>
      </c>
      <c r="V20" s="44"/>
      <c r="W20" s="45">
        <f>34298+1123250</f>
        <v>1157548</v>
      </c>
    </row>
    <row r="21" spans="1:23" s="116" customFormat="1" ht="12.75" customHeight="1">
      <c r="A21" s="44" t="s">
        <v>28</v>
      </c>
      <c r="C21" s="44" t="s">
        <v>27</v>
      </c>
      <c r="D21" s="35"/>
      <c r="E21" s="45">
        <v>2763319</v>
      </c>
      <c r="F21" s="45"/>
      <c r="G21" s="45">
        <v>17821568</v>
      </c>
      <c r="H21" s="45"/>
      <c r="I21" s="45">
        <f>1969753+342934+677536+111900</f>
        <v>3102123</v>
      </c>
      <c r="J21" s="45"/>
      <c r="K21" s="45">
        <v>2051510</v>
      </c>
      <c r="L21" s="45"/>
      <c r="M21" s="45">
        <v>1269519</v>
      </c>
      <c r="N21" s="45"/>
      <c r="O21" s="45">
        <v>0</v>
      </c>
      <c r="P21" s="45"/>
      <c r="Q21" s="45">
        <v>1027705</v>
      </c>
      <c r="R21" s="45"/>
      <c r="S21" s="44">
        <f t="shared" si="1"/>
        <v>1967029</v>
      </c>
      <c r="T21" s="45"/>
      <c r="U21" s="45">
        <v>30002773</v>
      </c>
      <c r="V21" s="44"/>
      <c r="W21" s="45">
        <f>12810000+226112+1037923</f>
        <v>14074035</v>
      </c>
    </row>
    <row r="22" spans="1:23" s="116" customFormat="1" ht="12.75" customHeight="1">
      <c r="A22" s="44" t="s">
        <v>29</v>
      </c>
      <c r="C22" s="44" t="s">
        <v>30</v>
      </c>
      <c r="D22" s="35"/>
      <c r="E22" s="45">
        <v>11673280</v>
      </c>
      <c r="F22" s="45"/>
      <c r="G22" s="45">
        <v>0</v>
      </c>
      <c r="H22" s="45"/>
      <c r="I22" s="45">
        <v>0</v>
      </c>
      <c r="J22" s="45"/>
      <c r="K22" s="45">
        <v>485700</v>
      </c>
      <c r="L22" s="45"/>
      <c r="M22" s="45">
        <v>10467571</v>
      </c>
      <c r="N22" s="45"/>
      <c r="O22" s="45">
        <v>840766</v>
      </c>
      <c r="P22" s="45"/>
      <c r="Q22" s="45">
        <v>1316991</v>
      </c>
      <c r="R22" s="45"/>
      <c r="S22" s="44">
        <f t="shared" si="1"/>
        <v>228495</v>
      </c>
      <c r="T22" s="45"/>
      <c r="U22" s="45">
        <v>25012803</v>
      </c>
      <c r="V22" s="44"/>
      <c r="W22" s="45">
        <f>33544+163316</f>
        <v>196860</v>
      </c>
    </row>
    <row r="23" spans="1:23" s="116" customFormat="1" ht="12.75" customHeight="1">
      <c r="A23" s="44" t="s">
        <v>31</v>
      </c>
      <c r="C23" s="44" t="s">
        <v>27</v>
      </c>
      <c r="D23" s="35"/>
      <c r="E23" s="45">
        <v>5174321</v>
      </c>
      <c r="F23" s="45"/>
      <c r="G23" s="45">
        <v>8819439</v>
      </c>
      <c r="H23" s="45"/>
      <c r="I23" s="45">
        <v>0</v>
      </c>
      <c r="J23" s="45"/>
      <c r="K23" s="45">
        <v>748132</v>
      </c>
      <c r="L23" s="45"/>
      <c r="M23" s="45">
        <v>4455400</v>
      </c>
      <c r="N23" s="45"/>
      <c r="O23" s="45">
        <v>416092</v>
      </c>
      <c r="P23" s="45"/>
      <c r="Q23" s="45">
        <f>211116+1695770</f>
        <v>1906886</v>
      </c>
      <c r="R23" s="45"/>
      <c r="S23" s="44">
        <f t="shared" si="1"/>
        <v>286957</v>
      </c>
      <c r="T23" s="45"/>
      <c r="U23" s="45">
        <v>21807227</v>
      </c>
      <c r="V23" s="44"/>
      <c r="W23" s="45">
        <f>4387+570+2145000+23710+3575+3858052</f>
        <v>6035294</v>
      </c>
    </row>
    <row r="24" spans="1:23" s="116" customFormat="1" ht="12.75" customHeight="1">
      <c r="A24" s="44" t="s">
        <v>32</v>
      </c>
      <c r="C24" s="44" t="s">
        <v>27</v>
      </c>
      <c r="D24" s="35"/>
      <c r="E24" s="45">
        <v>3262135</v>
      </c>
      <c r="F24" s="45"/>
      <c r="G24" s="45">
        <v>7453724</v>
      </c>
      <c r="H24" s="45"/>
      <c r="I24" s="45">
        <v>0</v>
      </c>
      <c r="J24" s="45"/>
      <c r="K24" s="45">
        <v>2872194</v>
      </c>
      <c r="L24" s="45"/>
      <c r="M24" s="45">
        <v>2453500</v>
      </c>
      <c r="N24" s="45"/>
      <c r="O24" s="45">
        <v>31000</v>
      </c>
      <c r="P24" s="45"/>
      <c r="Q24" s="45">
        <f>177409+449522</f>
        <v>626931</v>
      </c>
      <c r="R24" s="45"/>
      <c r="S24" s="44">
        <f t="shared" si="1"/>
        <v>449230</v>
      </c>
      <c r="T24" s="45"/>
      <c r="U24" s="45">
        <v>17148714</v>
      </c>
      <c r="V24" s="44"/>
      <c r="W24" s="45">
        <v>2796000</v>
      </c>
    </row>
    <row r="25" spans="1:23" s="116" customFormat="1" ht="12.75" customHeight="1">
      <c r="A25" s="46" t="s">
        <v>34</v>
      </c>
      <c r="B25" s="46"/>
      <c r="C25" s="46" t="s">
        <v>30</v>
      </c>
      <c r="D25" s="35"/>
      <c r="E25" s="45">
        <v>2545782</v>
      </c>
      <c r="F25" s="45"/>
      <c r="G25" s="45">
        <v>0</v>
      </c>
      <c r="H25" s="45"/>
      <c r="I25" s="45">
        <v>0</v>
      </c>
      <c r="J25" s="45"/>
      <c r="K25" s="45">
        <v>144965</v>
      </c>
      <c r="L25" s="45"/>
      <c r="M25" s="45">
        <v>1387230</v>
      </c>
      <c r="N25" s="45"/>
      <c r="O25" s="45">
        <v>525</v>
      </c>
      <c r="P25" s="45"/>
      <c r="Q25" s="45">
        <v>145839</v>
      </c>
      <c r="R25" s="45"/>
      <c r="S25" s="44">
        <f t="shared" si="1"/>
        <v>81851</v>
      </c>
      <c r="T25" s="45"/>
      <c r="U25" s="45">
        <v>4306192</v>
      </c>
      <c r="V25" s="44"/>
      <c r="W25" s="45">
        <v>650000</v>
      </c>
    </row>
    <row r="26" spans="1:23" s="116" customFormat="1" ht="12.75" customHeight="1">
      <c r="A26" s="44" t="s">
        <v>35</v>
      </c>
      <c r="C26" s="44" t="s">
        <v>36</v>
      </c>
      <c r="D26" s="35"/>
      <c r="E26" s="45">
        <v>693928</v>
      </c>
      <c r="F26" s="45"/>
      <c r="G26" s="45">
        <v>4991092</v>
      </c>
      <c r="H26" s="45"/>
      <c r="I26" s="45">
        <v>43905</v>
      </c>
      <c r="J26" s="45"/>
      <c r="K26" s="45">
        <v>195689</v>
      </c>
      <c r="L26" s="45"/>
      <c r="M26" s="45">
        <v>3304189</v>
      </c>
      <c r="N26" s="45"/>
      <c r="O26" s="45">
        <v>11793</v>
      </c>
      <c r="P26" s="45"/>
      <c r="Q26" s="45">
        <f>84533+585201</f>
        <v>669734</v>
      </c>
      <c r="R26" s="45"/>
      <c r="S26" s="44">
        <f t="shared" si="1"/>
        <v>153919</v>
      </c>
      <c r="T26" s="45"/>
      <c r="U26" s="45">
        <v>10064249</v>
      </c>
      <c r="V26" s="44"/>
      <c r="W26" s="45">
        <f>610623+6727+595624</f>
        <v>1212974</v>
      </c>
    </row>
    <row r="27" spans="1:23" s="116" customFormat="1" ht="12.75" customHeight="1">
      <c r="A27" s="44" t="s">
        <v>37</v>
      </c>
      <c r="C27" s="44" t="s">
        <v>38</v>
      </c>
      <c r="D27" s="35"/>
      <c r="E27" s="45">
        <v>1593752</v>
      </c>
      <c r="F27" s="45"/>
      <c r="G27" s="45">
        <v>3254559</v>
      </c>
      <c r="H27" s="45"/>
      <c r="I27" s="45">
        <v>0</v>
      </c>
      <c r="J27" s="45"/>
      <c r="K27" s="45">
        <v>279529</v>
      </c>
      <c r="L27" s="45"/>
      <c r="M27" s="45">
        <v>707980</v>
      </c>
      <c r="N27" s="45"/>
      <c r="O27" s="45">
        <v>0</v>
      </c>
      <c r="P27" s="45"/>
      <c r="Q27" s="45">
        <f>116228+120848</f>
        <v>237076</v>
      </c>
      <c r="R27" s="45"/>
      <c r="S27" s="44">
        <f t="shared" si="1"/>
        <v>204016</v>
      </c>
      <c r="T27" s="45"/>
      <c r="U27" s="45">
        <v>6276912</v>
      </c>
      <c r="V27" s="44"/>
      <c r="W27" s="45">
        <v>591958</v>
      </c>
    </row>
    <row r="28" spans="1:23" s="116" customFormat="1" ht="12.75" customHeight="1">
      <c r="A28" s="44" t="s">
        <v>39</v>
      </c>
      <c r="C28" s="44" t="s">
        <v>40</v>
      </c>
      <c r="D28" s="35"/>
      <c r="E28" s="45">
        <v>238503</v>
      </c>
      <c r="F28" s="45"/>
      <c r="G28" s="45">
        <v>1020429</v>
      </c>
      <c r="H28" s="45"/>
      <c r="I28" s="45">
        <v>53162</v>
      </c>
      <c r="J28" s="45"/>
      <c r="K28" s="45">
        <v>403358</v>
      </c>
      <c r="L28" s="45"/>
      <c r="M28" s="45">
        <v>927136</v>
      </c>
      <c r="N28" s="45"/>
      <c r="O28" s="45">
        <v>0</v>
      </c>
      <c r="P28" s="45"/>
      <c r="Q28" s="45">
        <v>293459</v>
      </c>
      <c r="R28" s="45"/>
      <c r="S28" s="44">
        <f t="shared" si="1"/>
        <v>58193</v>
      </c>
      <c r="T28" s="45"/>
      <c r="U28" s="45">
        <v>2994240</v>
      </c>
      <c r="V28" s="44"/>
      <c r="W28" s="45">
        <f>4906+190000</f>
        <v>194906</v>
      </c>
    </row>
    <row r="29" spans="1:23" s="116" customFormat="1" ht="12.75" customHeight="1">
      <c r="A29" s="44" t="s">
        <v>41</v>
      </c>
      <c r="C29" s="44" t="s">
        <v>27</v>
      </c>
      <c r="D29" s="35"/>
      <c r="E29" s="45">
        <v>3884749</v>
      </c>
      <c r="F29" s="45"/>
      <c r="G29" s="45">
        <v>10922715</v>
      </c>
      <c r="H29" s="45"/>
      <c r="I29" s="45">
        <v>283047</v>
      </c>
      <c r="J29" s="45"/>
      <c r="K29" s="45">
        <v>1113097</v>
      </c>
      <c r="L29" s="45"/>
      <c r="M29" s="45">
        <v>3274546</v>
      </c>
      <c r="N29" s="45"/>
      <c r="O29" s="45">
        <v>700167</v>
      </c>
      <c r="P29" s="45"/>
      <c r="Q29" s="45">
        <f>480979+2364651</f>
        <v>2845630</v>
      </c>
      <c r="R29" s="45"/>
      <c r="S29" s="44">
        <f t="shared" si="1"/>
        <v>560497</v>
      </c>
      <c r="T29" s="45"/>
      <c r="U29" s="45">
        <v>23584448</v>
      </c>
      <c r="V29" s="44"/>
      <c r="W29" s="45">
        <f>2725000+136953+3850000+14728+1817+817961+2615670</f>
        <v>10162129</v>
      </c>
    </row>
    <row r="30" spans="1:23" s="116" customFormat="1" ht="12.75" customHeight="1">
      <c r="A30" s="44" t="s">
        <v>42</v>
      </c>
      <c r="C30" s="44" t="s">
        <v>43</v>
      </c>
      <c r="D30" s="35"/>
      <c r="E30" s="45">
        <v>1789069</v>
      </c>
      <c r="F30" s="45"/>
      <c r="G30" s="45">
        <v>5771846</v>
      </c>
      <c r="H30" s="45"/>
      <c r="I30" s="45">
        <v>172768</v>
      </c>
      <c r="J30" s="45"/>
      <c r="K30" s="45">
        <v>796868</v>
      </c>
      <c r="L30" s="45"/>
      <c r="M30" s="45">
        <v>4597577</v>
      </c>
      <c r="N30" s="45"/>
      <c r="O30" s="45">
        <v>0</v>
      </c>
      <c r="P30" s="45"/>
      <c r="Q30" s="45">
        <f>247057+86583</f>
        <v>333640</v>
      </c>
      <c r="R30" s="45"/>
      <c r="S30" s="44">
        <f t="shared" si="1"/>
        <v>397376</v>
      </c>
      <c r="T30" s="45"/>
      <c r="U30" s="45">
        <v>13859144</v>
      </c>
      <c r="V30" s="44"/>
      <c r="W30" s="45">
        <f>5706250+5701+464422+43668+20605+9119385</f>
        <v>15360031</v>
      </c>
    </row>
    <row r="31" spans="1:23" s="116" customFormat="1" ht="12.75" customHeight="1">
      <c r="A31" s="44" t="s">
        <v>44</v>
      </c>
      <c r="C31" s="44" t="s">
        <v>45</v>
      </c>
      <c r="D31" s="35"/>
      <c r="E31" s="45">
        <v>3210343</v>
      </c>
      <c r="F31" s="45"/>
      <c r="G31" s="45">
        <v>27411890</v>
      </c>
      <c r="H31" s="45"/>
      <c r="I31" s="45">
        <v>875608</v>
      </c>
      <c r="J31" s="45"/>
      <c r="K31" s="45">
        <v>1568165</v>
      </c>
      <c r="L31" s="45"/>
      <c r="M31" s="45">
        <v>4296177</v>
      </c>
      <c r="N31" s="45"/>
      <c r="O31" s="45">
        <v>0</v>
      </c>
      <c r="P31" s="45"/>
      <c r="Q31" s="45">
        <f>367608+114812</f>
        <v>482420</v>
      </c>
      <c r="R31" s="45"/>
      <c r="S31" s="44">
        <f t="shared" si="1"/>
        <v>448003</v>
      </c>
      <c r="T31" s="45"/>
      <c r="U31" s="45">
        <v>38292606</v>
      </c>
      <c r="V31" s="44"/>
      <c r="W31" s="45">
        <f>13134+9775000+488232+160307+11997678</f>
        <v>22434351</v>
      </c>
    </row>
    <row r="32" spans="1:23" s="116" customFormat="1" ht="12.75" customHeight="1">
      <c r="A32" s="44" t="s">
        <v>46</v>
      </c>
      <c r="C32" s="44" t="s">
        <v>47</v>
      </c>
      <c r="D32" s="35"/>
      <c r="E32" s="45">
        <v>2192863</v>
      </c>
      <c r="F32" s="45"/>
      <c r="G32" s="45">
        <v>14700360</v>
      </c>
      <c r="H32" s="45"/>
      <c r="I32" s="45">
        <v>2398102</v>
      </c>
      <c r="J32" s="45"/>
      <c r="K32" s="45">
        <v>2635367</v>
      </c>
      <c r="L32" s="45"/>
      <c r="M32" s="45">
        <v>8490661</v>
      </c>
      <c r="N32" s="45"/>
      <c r="O32" s="45">
        <v>51125</v>
      </c>
      <c r="P32" s="45"/>
      <c r="Q32" s="45">
        <f>33687+1122246</f>
        <v>1155933</v>
      </c>
      <c r="R32" s="45"/>
      <c r="S32" s="44">
        <f t="shared" si="1"/>
        <v>921271</v>
      </c>
      <c r="T32" s="45"/>
      <c r="U32" s="45">
        <v>32545682</v>
      </c>
      <c r="V32" s="44"/>
      <c r="W32" s="45">
        <f>2200000+4551125+1063628</f>
        <v>7814753</v>
      </c>
    </row>
    <row r="33" spans="1:23" s="116" customFormat="1" ht="12.75" customHeight="1">
      <c r="A33" s="44" t="s">
        <v>48</v>
      </c>
      <c r="C33" s="44" t="s">
        <v>27</v>
      </c>
      <c r="D33" s="35"/>
      <c r="E33" s="45">
        <v>4304542</v>
      </c>
      <c r="F33" s="45"/>
      <c r="G33" s="45">
        <v>14425759</v>
      </c>
      <c r="H33" s="45"/>
      <c r="I33" s="45">
        <v>0</v>
      </c>
      <c r="J33" s="45"/>
      <c r="K33" s="45">
        <v>1177776</v>
      </c>
      <c r="L33" s="45"/>
      <c r="M33" s="45">
        <v>3179603</v>
      </c>
      <c r="N33" s="45"/>
      <c r="O33" s="45">
        <v>324741</v>
      </c>
      <c r="P33" s="45"/>
      <c r="Q33" s="45">
        <f>525806+308416</f>
        <v>834222</v>
      </c>
      <c r="R33" s="45"/>
      <c r="S33" s="44">
        <f t="shared" si="1"/>
        <v>845603</v>
      </c>
      <c r="T33" s="45"/>
      <c r="U33" s="45">
        <v>25092246</v>
      </c>
      <c r="V33" s="44"/>
      <c r="W33" s="45">
        <f>13733+2447956</f>
        <v>2461689</v>
      </c>
    </row>
    <row r="34" spans="1:23" s="116" customFormat="1" ht="12.75" customHeight="1">
      <c r="A34" s="44" t="s">
        <v>49</v>
      </c>
      <c r="C34" s="44" t="s">
        <v>27</v>
      </c>
      <c r="D34" s="35"/>
      <c r="E34" s="45">
        <v>12702636</v>
      </c>
      <c r="F34" s="45"/>
      <c r="G34" s="45">
        <v>0</v>
      </c>
      <c r="H34" s="45"/>
      <c r="I34" s="45">
        <v>0</v>
      </c>
      <c r="J34" s="45"/>
      <c r="K34" s="45">
        <v>1294540</v>
      </c>
      <c r="L34" s="45"/>
      <c r="M34" s="45">
        <v>3149584</v>
      </c>
      <c r="N34" s="45"/>
      <c r="O34" s="45">
        <v>644235</v>
      </c>
      <c r="P34" s="45"/>
      <c r="Q34" s="45">
        <f>1500654+353596</f>
        <v>1854250</v>
      </c>
      <c r="R34" s="45"/>
      <c r="S34" s="44">
        <f t="shared" si="1"/>
        <v>1201549</v>
      </c>
      <c r="T34" s="45"/>
      <c r="U34" s="45">
        <v>20846794</v>
      </c>
      <c r="V34" s="44"/>
      <c r="W34" s="45">
        <f>63750+1080+1344823</f>
        <v>1409653</v>
      </c>
    </row>
    <row r="35" spans="1:23" s="116" customFormat="1" ht="12.75" customHeight="1">
      <c r="A35" s="44" t="s">
        <v>50</v>
      </c>
      <c r="C35" s="44" t="s">
        <v>27</v>
      </c>
      <c r="D35" s="35"/>
      <c r="E35" s="45">
        <v>2031983</v>
      </c>
      <c r="F35" s="45"/>
      <c r="G35" s="45">
        <v>16959103</v>
      </c>
      <c r="H35" s="45"/>
      <c r="I35" s="45">
        <v>271452</v>
      </c>
      <c r="J35" s="45"/>
      <c r="K35" s="45">
        <v>2360691</v>
      </c>
      <c r="L35" s="45"/>
      <c r="M35" s="45">
        <v>6508356</v>
      </c>
      <c r="N35" s="45"/>
      <c r="O35" s="45">
        <v>82933</v>
      </c>
      <c r="P35" s="45"/>
      <c r="Q35" s="45">
        <f>547492+531713</f>
        <v>1079205</v>
      </c>
      <c r="R35" s="45"/>
      <c r="S35" s="44">
        <f t="shared" si="1"/>
        <v>578974</v>
      </c>
      <c r="T35" s="45"/>
      <c r="U35" s="45">
        <v>29872697</v>
      </c>
      <c r="V35" s="44"/>
      <c r="W35" s="45">
        <f>8660+92896+3423113</f>
        <v>3524669</v>
      </c>
    </row>
    <row r="36" spans="1:23" s="116" customFormat="1" ht="12.75" customHeight="1">
      <c r="A36" s="44" t="s">
        <v>51</v>
      </c>
      <c r="C36" s="44" t="s">
        <v>27</v>
      </c>
      <c r="D36" s="35"/>
      <c r="E36" s="45">
        <v>1786658</v>
      </c>
      <c r="F36" s="45"/>
      <c r="G36" s="45">
        <v>15378165</v>
      </c>
      <c r="H36" s="45"/>
      <c r="I36" s="45">
        <v>269488</v>
      </c>
      <c r="J36" s="45"/>
      <c r="K36" s="45">
        <v>957232</v>
      </c>
      <c r="L36" s="45"/>
      <c r="M36" s="45">
        <v>2940363</v>
      </c>
      <c r="N36" s="45"/>
      <c r="O36" s="45">
        <v>0</v>
      </c>
      <c r="P36" s="45"/>
      <c r="Q36" s="45">
        <v>824573</v>
      </c>
      <c r="R36" s="45"/>
      <c r="S36" s="44">
        <f t="shared" si="1"/>
        <v>304424</v>
      </c>
      <c r="T36" s="45"/>
      <c r="U36" s="45">
        <v>22460903</v>
      </c>
      <c r="V36" s="44"/>
      <c r="W36" s="45">
        <f>1676000+24343+1136440</f>
        <v>2836783</v>
      </c>
    </row>
    <row r="37" spans="1:23" s="116" customFormat="1" ht="12.75" customHeight="1">
      <c r="A37" s="44" t="s">
        <v>462</v>
      </c>
      <c r="C37" s="44" t="s">
        <v>66</v>
      </c>
      <c r="D37" s="35"/>
      <c r="E37" s="45">
        <v>138560</v>
      </c>
      <c r="F37" s="45"/>
      <c r="G37" s="45">
        <v>2483510</v>
      </c>
      <c r="H37" s="45"/>
      <c r="I37" s="45">
        <v>0</v>
      </c>
      <c r="J37" s="45"/>
      <c r="K37" s="45">
        <v>955110</v>
      </c>
      <c r="L37" s="45"/>
      <c r="M37" s="45">
        <v>740290</v>
      </c>
      <c r="N37" s="45"/>
      <c r="O37" s="45">
        <v>10297</v>
      </c>
      <c r="P37" s="45"/>
      <c r="Q37" s="45">
        <v>110689</v>
      </c>
      <c r="R37" s="45"/>
      <c r="S37" s="44">
        <f t="shared" si="1"/>
        <v>120281</v>
      </c>
      <c r="T37" s="45"/>
      <c r="U37" s="45">
        <v>4558737</v>
      </c>
      <c r="V37" s="44"/>
      <c r="W37" s="45">
        <f>28363+750000+17227+854801+11108</f>
        <v>1661499</v>
      </c>
    </row>
    <row r="38" spans="1:23" s="116" customFormat="1" ht="12.75" customHeight="1">
      <c r="A38" s="44" t="s">
        <v>52</v>
      </c>
      <c r="C38" s="44" t="s">
        <v>53</v>
      </c>
      <c r="D38" s="35"/>
      <c r="E38" s="45">
        <v>1811530</v>
      </c>
      <c r="F38" s="45"/>
      <c r="G38" s="45">
        <v>11099563</v>
      </c>
      <c r="H38" s="45"/>
      <c r="I38" s="45">
        <v>0</v>
      </c>
      <c r="J38" s="45"/>
      <c r="K38" s="45">
        <v>1736217</v>
      </c>
      <c r="L38" s="45"/>
      <c r="M38" s="45">
        <v>5028981</v>
      </c>
      <c r="N38" s="45"/>
      <c r="O38" s="45">
        <v>257066</v>
      </c>
      <c r="P38" s="45"/>
      <c r="Q38" s="45">
        <f>1333144+610549</f>
        <v>1943693</v>
      </c>
      <c r="R38" s="45"/>
      <c r="S38" s="44">
        <f t="shared" si="1"/>
        <v>69115</v>
      </c>
      <c r="T38" s="45"/>
      <c r="U38" s="45">
        <v>21946165</v>
      </c>
      <c r="V38" s="44"/>
      <c r="W38" s="45">
        <f>19353+22827</f>
        <v>42180</v>
      </c>
    </row>
    <row r="39" spans="1:23" s="116" customFormat="1" ht="12.75" customHeight="1">
      <c r="A39" s="44" t="s">
        <v>54</v>
      </c>
      <c r="C39" s="44" t="s">
        <v>55</v>
      </c>
      <c r="D39" s="35"/>
      <c r="E39" s="45">
        <v>7622771</v>
      </c>
      <c r="F39" s="45"/>
      <c r="G39" s="45">
        <v>0</v>
      </c>
      <c r="H39" s="45"/>
      <c r="I39" s="45">
        <v>0</v>
      </c>
      <c r="J39" s="45"/>
      <c r="K39" s="45">
        <v>207180</v>
      </c>
      <c r="L39" s="45"/>
      <c r="M39" s="45">
        <v>2510526</v>
      </c>
      <c r="N39" s="45"/>
      <c r="O39" s="45">
        <v>80133</v>
      </c>
      <c r="P39" s="45"/>
      <c r="Q39" s="45">
        <f>5735+777472</f>
        <v>783207</v>
      </c>
      <c r="R39" s="45"/>
      <c r="S39" s="44">
        <f t="shared" si="1"/>
        <v>860917</v>
      </c>
      <c r="T39" s="45"/>
      <c r="U39" s="45">
        <v>12064734</v>
      </c>
      <c r="V39" s="44"/>
      <c r="W39" s="45">
        <f>1570+1800000+2520460</f>
        <v>4322030</v>
      </c>
    </row>
    <row r="40" spans="1:23" s="116" customFormat="1" ht="12.75" customHeight="1">
      <c r="A40" s="44" t="s">
        <v>56</v>
      </c>
      <c r="C40" s="44" t="s">
        <v>57</v>
      </c>
      <c r="D40" s="35"/>
      <c r="E40" s="45">
        <v>594872</v>
      </c>
      <c r="F40" s="45"/>
      <c r="G40" s="45">
        <v>3921985</v>
      </c>
      <c r="H40" s="45"/>
      <c r="I40" s="45">
        <v>95829</v>
      </c>
      <c r="J40" s="45"/>
      <c r="K40" s="45">
        <v>381091</v>
      </c>
      <c r="L40" s="45"/>
      <c r="M40" s="45">
        <v>5390493</v>
      </c>
      <c r="N40" s="45"/>
      <c r="O40" s="45">
        <v>14075</v>
      </c>
      <c r="P40" s="45"/>
      <c r="Q40" s="45">
        <f>204930+22653</f>
        <v>227583</v>
      </c>
      <c r="R40" s="45"/>
      <c r="S40" s="44">
        <f t="shared" si="1"/>
        <v>259391</v>
      </c>
      <c r="T40" s="45"/>
      <c r="U40" s="45">
        <v>10885319</v>
      </c>
      <c r="V40" s="44"/>
      <c r="W40" s="45">
        <f>750+294916</f>
        <v>295666</v>
      </c>
    </row>
    <row r="41" spans="1:23" s="116" customFormat="1" ht="12.75" customHeight="1">
      <c r="A41" s="44" t="s">
        <v>58</v>
      </c>
      <c r="C41" s="44" t="s">
        <v>59</v>
      </c>
      <c r="D41" s="35"/>
      <c r="E41" s="45">
        <v>1424155</v>
      </c>
      <c r="F41" s="45"/>
      <c r="G41" s="45">
        <v>5639602</v>
      </c>
      <c r="H41" s="45"/>
      <c r="I41" s="45">
        <v>0</v>
      </c>
      <c r="J41" s="45"/>
      <c r="K41" s="45">
        <v>557305</v>
      </c>
      <c r="L41" s="45"/>
      <c r="M41" s="45">
        <v>2644213</v>
      </c>
      <c r="N41" s="45"/>
      <c r="O41" s="45">
        <v>7325</v>
      </c>
      <c r="P41" s="45"/>
      <c r="Q41" s="45">
        <f>962868+140449</f>
        <v>1103317</v>
      </c>
      <c r="R41" s="45"/>
      <c r="S41" s="44">
        <f t="shared" si="1"/>
        <v>329860</v>
      </c>
      <c r="T41" s="45"/>
      <c r="U41" s="45">
        <v>11705777</v>
      </c>
      <c r="V41" s="44"/>
      <c r="W41" s="45">
        <v>943688</v>
      </c>
    </row>
    <row r="42" spans="1:23" s="116" customFormat="1" ht="12.75" customHeight="1">
      <c r="A42" s="44" t="s">
        <v>476</v>
      </c>
      <c r="C42" s="44" t="s">
        <v>15</v>
      </c>
      <c r="D42" s="35"/>
      <c r="E42" s="45">
        <v>308099</v>
      </c>
      <c r="F42" s="45"/>
      <c r="G42" s="45">
        <v>1913171</v>
      </c>
      <c r="H42" s="45"/>
      <c r="I42" s="45">
        <v>0</v>
      </c>
      <c r="J42" s="45"/>
      <c r="K42" s="45">
        <v>148915</v>
      </c>
      <c r="L42" s="45"/>
      <c r="M42" s="45">
        <v>1037209</v>
      </c>
      <c r="N42" s="45"/>
      <c r="O42" s="45">
        <v>0</v>
      </c>
      <c r="P42" s="45"/>
      <c r="Q42" s="45">
        <v>56108</v>
      </c>
      <c r="R42" s="45"/>
      <c r="S42" s="44">
        <f t="shared" si="1"/>
        <v>27136</v>
      </c>
      <c r="T42" s="45"/>
      <c r="U42" s="45">
        <v>3490638</v>
      </c>
      <c r="V42" s="44"/>
      <c r="W42" s="45">
        <v>1436536</v>
      </c>
    </row>
    <row r="43" spans="1:23" s="116" customFormat="1" ht="12.75" customHeight="1">
      <c r="A43" s="44" t="s">
        <v>60</v>
      </c>
      <c r="C43" s="44" t="s">
        <v>61</v>
      </c>
      <c r="D43" s="35"/>
      <c r="E43" s="45">
        <v>560343</v>
      </c>
      <c r="F43" s="45"/>
      <c r="G43" s="45">
        <v>2308433</v>
      </c>
      <c r="H43" s="45"/>
      <c r="I43" s="45">
        <v>61639</v>
      </c>
      <c r="J43" s="45"/>
      <c r="K43" s="45">
        <v>275250</v>
      </c>
      <c r="L43" s="45"/>
      <c r="M43" s="45">
        <v>1249220</v>
      </c>
      <c r="N43" s="45"/>
      <c r="O43" s="45">
        <v>34356</v>
      </c>
      <c r="P43" s="45"/>
      <c r="Q43" s="45">
        <f>61917+65644</f>
        <v>127561</v>
      </c>
      <c r="R43" s="45"/>
      <c r="S43" s="44">
        <f t="shared" si="1"/>
        <v>94131</v>
      </c>
      <c r="T43" s="45"/>
      <c r="U43" s="45">
        <v>4710933</v>
      </c>
      <c r="V43" s="44"/>
      <c r="W43" s="45">
        <f>1+125875</f>
        <v>125876</v>
      </c>
    </row>
    <row r="44" spans="1:23" s="116" customFormat="1" ht="12.75" customHeight="1">
      <c r="A44" s="44" t="s">
        <v>62</v>
      </c>
      <c r="C44" s="44" t="s">
        <v>15</v>
      </c>
      <c r="D44" s="35"/>
      <c r="E44" s="45">
        <v>3692536</v>
      </c>
      <c r="F44" s="45"/>
      <c r="G44" s="45">
        <v>39995514</v>
      </c>
      <c r="H44" s="45"/>
      <c r="I44" s="45">
        <v>0</v>
      </c>
      <c r="J44" s="45"/>
      <c r="K44" s="45">
        <v>12277821</v>
      </c>
      <c r="L44" s="45"/>
      <c r="M44" s="45">
        <v>9246604</v>
      </c>
      <c r="N44" s="45"/>
      <c r="O44" s="45">
        <v>0</v>
      </c>
      <c r="P44" s="45"/>
      <c r="Q44" s="45">
        <f>1540878+548171</f>
        <v>2089049</v>
      </c>
      <c r="R44" s="45"/>
      <c r="S44" s="44">
        <f t="shared" si="1"/>
        <v>21125339</v>
      </c>
      <c r="T44" s="45"/>
      <c r="U44" s="45">
        <v>88426863</v>
      </c>
      <c r="V44" s="44"/>
      <c r="W44" s="45">
        <f>40101+1854641+40000</f>
        <v>1934742</v>
      </c>
    </row>
    <row r="45" spans="1:23" s="116" customFormat="1" ht="12.75" customHeight="1">
      <c r="A45" s="44" t="s">
        <v>485</v>
      </c>
      <c r="C45" s="44" t="s">
        <v>111</v>
      </c>
      <c r="D45" s="35"/>
      <c r="E45" s="45">
        <v>185754</v>
      </c>
      <c r="F45" s="45"/>
      <c r="G45" s="45">
        <v>886394</v>
      </c>
      <c r="H45" s="45"/>
      <c r="I45" s="45">
        <v>0</v>
      </c>
      <c r="J45" s="45"/>
      <c r="K45" s="45">
        <v>0</v>
      </c>
      <c r="L45" s="45"/>
      <c r="M45" s="45">
        <v>467076</v>
      </c>
      <c r="N45" s="45"/>
      <c r="O45" s="45">
        <v>36109</v>
      </c>
      <c r="P45" s="45"/>
      <c r="Q45" s="45">
        <f>40384+65453</f>
        <v>105837</v>
      </c>
      <c r="R45" s="45"/>
      <c r="S45" s="44">
        <f t="shared" si="1"/>
        <v>446622</v>
      </c>
      <c r="T45" s="45"/>
      <c r="U45" s="45">
        <v>2127792</v>
      </c>
      <c r="V45" s="44"/>
      <c r="W45" s="45">
        <f>1474000+174500</f>
        <v>1648500</v>
      </c>
    </row>
    <row r="46" spans="1:23" s="116" customFormat="1" ht="12.75" customHeight="1">
      <c r="A46" s="44" t="s">
        <v>63</v>
      </c>
      <c r="C46" s="44" t="s">
        <v>64</v>
      </c>
      <c r="D46" s="35"/>
      <c r="E46" s="45">
        <v>374092</v>
      </c>
      <c r="F46" s="45"/>
      <c r="G46" s="45">
        <v>2704711</v>
      </c>
      <c r="H46" s="45"/>
      <c r="I46" s="45">
        <v>546811</v>
      </c>
      <c r="J46" s="45"/>
      <c r="K46" s="45">
        <v>401743</v>
      </c>
      <c r="L46" s="45"/>
      <c r="M46" s="45">
        <v>2279130</v>
      </c>
      <c r="N46" s="45"/>
      <c r="O46" s="45">
        <v>8108</v>
      </c>
      <c r="P46" s="45"/>
      <c r="Q46" s="45">
        <f>103737+377305</f>
        <v>481042</v>
      </c>
      <c r="R46" s="45"/>
      <c r="S46" s="44">
        <f t="shared" si="1"/>
        <v>1869281</v>
      </c>
      <c r="T46" s="45"/>
      <c r="U46" s="45">
        <v>8664918</v>
      </c>
      <c r="V46" s="44"/>
      <c r="W46" s="45">
        <f>2450000+2830000+298000+143281+1041657</f>
        <v>6762938</v>
      </c>
    </row>
    <row r="47" spans="1:23" s="116" customFormat="1" ht="12.75" customHeight="1">
      <c r="A47" s="44" t="s">
        <v>65</v>
      </c>
      <c r="C47" s="44" t="s">
        <v>66</v>
      </c>
      <c r="D47" s="35"/>
      <c r="E47" s="45">
        <v>12415470</v>
      </c>
      <c r="F47" s="45"/>
      <c r="G47" s="45">
        <v>0</v>
      </c>
      <c r="H47" s="45"/>
      <c r="I47" s="45">
        <v>0</v>
      </c>
      <c r="J47" s="45"/>
      <c r="K47" s="45">
        <v>286024</v>
      </c>
      <c r="L47" s="45"/>
      <c r="M47" s="45">
        <v>5691747</v>
      </c>
      <c r="N47" s="45"/>
      <c r="O47" s="45">
        <v>653430</v>
      </c>
      <c r="P47" s="45"/>
      <c r="Q47" s="45">
        <v>239551</v>
      </c>
      <c r="R47" s="45"/>
      <c r="S47" s="44">
        <f t="shared" si="1"/>
        <v>663820</v>
      </c>
      <c r="T47" s="45"/>
      <c r="U47" s="45">
        <v>19950042</v>
      </c>
      <c r="V47" s="44"/>
      <c r="W47" s="45">
        <f>1755+2465000</f>
        <v>2466755</v>
      </c>
    </row>
    <row r="48" spans="1:23" s="116" customFormat="1" ht="12.75" customHeight="1">
      <c r="A48" s="44" t="s">
        <v>67</v>
      </c>
      <c r="C48" s="44" t="s">
        <v>375</v>
      </c>
      <c r="D48" s="35"/>
      <c r="E48" s="45">
        <v>1115354</v>
      </c>
      <c r="F48" s="45"/>
      <c r="G48" s="45">
        <v>4893513</v>
      </c>
      <c r="H48" s="45"/>
      <c r="I48" s="45">
        <v>0</v>
      </c>
      <c r="J48" s="45"/>
      <c r="K48" s="45">
        <v>432588</v>
      </c>
      <c r="L48" s="45"/>
      <c r="M48" s="45">
        <v>1002977</v>
      </c>
      <c r="N48" s="45"/>
      <c r="O48" s="45">
        <v>161974</v>
      </c>
      <c r="P48" s="45"/>
      <c r="Q48" s="45">
        <f>108534+1331667</f>
        <v>1440201</v>
      </c>
      <c r="R48" s="45"/>
      <c r="S48" s="44">
        <f t="shared" si="1"/>
        <v>414952</v>
      </c>
      <c r="T48" s="45"/>
      <c r="U48" s="45">
        <v>9461559</v>
      </c>
      <c r="V48" s="44"/>
      <c r="W48" s="45">
        <v>697121</v>
      </c>
    </row>
    <row r="49" spans="1:23" s="116" customFormat="1" ht="12.75" customHeight="1">
      <c r="A49" s="44" t="s">
        <v>68</v>
      </c>
      <c r="C49" s="44" t="s">
        <v>45</v>
      </c>
      <c r="D49" s="35"/>
      <c r="E49" s="45">
        <v>1831290</v>
      </c>
      <c r="F49" s="45"/>
      <c r="G49" s="45">
        <v>1682172</v>
      </c>
      <c r="H49" s="45"/>
      <c r="I49" s="45">
        <v>74765</v>
      </c>
      <c r="J49" s="45"/>
      <c r="K49" s="45">
        <v>201406</v>
      </c>
      <c r="L49" s="45"/>
      <c r="M49" s="45">
        <v>1034195</v>
      </c>
      <c r="N49" s="45"/>
      <c r="O49" s="45">
        <v>562</v>
      </c>
      <c r="P49" s="45"/>
      <c r="Q49" s="45">
        <f>24893+106271</f>
        <v>131164</v>
      </c>
      <c r="R49" s="45"/>
      <c r="S49" s="44">
        <f t="shared" si="1"/>
        <v>103063</v>
      </c>
      <c r="T49" s="45"/>
      <c r="U49" s="45">
        <v>5058617</v>
      </c>
      <c r="V49" s="44"/>
      <c r="W49" s="45">
        <v>63055</v>
      </c>
    </row>
    <row r="50" spans="1:23" s="116" customFormat="1" ht="12.75" customHeight="1">
      <c r="A50" s="44" t="s">
        <v>69</v>
      </c>
      <c r="C50" s="44" t="s">
        <v>70</v>
      </c>
      <c r="D50" s="35"/>
      <c r="E50" s="45">
        <v>1162849</v>
      </c>
      <c r="F50" s="45"/>
      <c r="G50" s="45">
        <v>10599088</v>
      </c>
      <c r="H50" s="45"/>
      <c r="I50" s="45">
        <v>230591</v>
      </c>
      <c r="J50" s="45"/>
      <c r="K50" s="45">
        <v>3343831</v>
      </c>
      <c r="L50" s="45"/>
      <c r="M50" s="45">
        <v>7040076</v>
      </c>
      <c r="N50" s="45"/>
      <c r="O50" s="45">
        <v>50186</v>
      </c>
      <c r="P50" s="45"/>
      <c r="Q50" s="45">
        <v>1597242</v>
      </c>
      <c r="R50" s="45"/>
      <c r="S50" s="44">
        <f t="shared" si="1"/>
        <v>541363</v>
      </c>
      <c r="T50" s="45"/>
      <c r="U50" s="45">
        <v>24565226</v>
      </c>
      <c r="V50" s="44"/>
      <c r="W50" s="45">
        <f>23339+42285+2884584</f>
        <v>2950208</v>
      </c>
    </row>
    <row r="51" spans="1:23" s="116" customFormat="1" ht="12.75" customHeight="1">
      <c r="A51" s="44" t="s">
        <v>71</v>
      </c>
      <c r="C51" s="44" t="s">
        <v>45</v>
      </c>
      <c r="D51" s="35"/>
      <c r="E51" s="45">
        <v>359559000</v>
      </c>
      <c r="F51" s="45"/>
      <c r="G51" s="45">
        <v>0</v>
      </c>
      <c r="H51" s="45"/>
      <c r="I51" s="45">
        <v>0</v>
      </c>
      <c r="J51" s="45"/>
      <c r="K51" s="45">
        <v>35015000</v>
      </c>
      <c r="L51" s="45"/>
      <c r="M51" s="45">
        <v>75139000</v>
      </c>
      <c r="N51" s="45"/>
      <c r="O51" s="45">
        <v>5416000</v>
      </c>
      <c r="P51" s="45"/>
      <c r="Q51" s="45">
        <v>11218000</v>
      </c>
      <c r="R51" s="45"/>
      <c r="S51" s="44">
        <f t="shared" si="1"/>
        <v>155176000</v>
      </c>
      <c r="T51" s="45"/>
      <c r="U51" s="45">
        <v>641523000</v>
      </c>
      <c r="V51" s="44"/>
      <c r="W51" s="45">
        <f>47027000+10305000+1661000+81621000</f>
        <v>140614000</v>
      </c>
    </row>
    <row r="52" spans="1:23" s="116" customFormat="1" ht="12.75" customHeight="1">
      <c r="A52" s="44" t="s">
        <v>463</v>
      </c>
      <c r="C52" s="44" t="s">
        <v>464</v>
      </c>
      <c r="D52" s="35"/>
      <c r="E52" s="45">
        <v>889105</v>
      </c>
      <c r="F52" s="45"/>
      <c r="G52" s="45">
        <v>4549373</v>
      </c>
      <c r="H52" s="45"/>
      <c r="I52" s="45">
        <v>230791</v>
      </c>
      <c r="J52" s="45"/>
      <c r="K52" s="45">
        <v>603784</v>
      </c>
      <c r="L52" s="45"/>
      <c r="M52" s="45">
        <v>3609656</v>
      </c>
      <c r="N52" s="45"/>
      <c r="O52" s="45">
        <v>7157</v>
      </c>
      <c r="P52" s="45"/>
      <c r="Q52" s="45">
        <f>14448+890911</f>
        <v>905359</v>
      </c>
      <c r="R52" s="45"/>
      <c r="S52" s="44">
        <f t="shared" si="1"/>
        <v>393793</v>
      </c>
      <c r="T52" s="45"/>
      <c r="U52" s="45">
        <v>11189018</v>
      </c>
      <c r="V52" s="44"/>
      <c r="W52" s="45">
        <v>45932</v>
      </c>
    </row>
    <row r="53" spans="1:23" s="116" customFormat="1" ht="12.75" customHeight="1">
      <c r="A53" s="44" t="s">
        <v>72</v>
      </c>
      <c r="C53" s="44" t="s">
        <v>66</v>
      </c>
      <c r="D53" s="64"/>
      <c r="E53" s="45">
        <v>2547791</v>
      </c>
      <c r="F53" s="45"/>
      <c r="G53" s="45">
        <v>2105083</v>
      </c>
      <c r="H53" s="45"/>
      <c r="I53" s="45">
        <v>220051</v>
      </c>
      <c r="J53" s="45"/>
      <c r="K53" s="45">
        <v>1001862</v>
      </c>
      <c r="L53" s="45"/>
      <c r="M53" s="45">
        <v>4023219</v>
      </c>
      <c r="N53" s="45"/>
      <c r="O53" s="45">
        <v>38026</v>
      </c>
      <c r="P53" s="45"/>
      <c r="Q53" s="45">
        <f>6816+2512</f>
        <v>9328</v>
      </c>
      <c r="R53" s="45"/>
      <c r="S53" s="44">
        <f t="shared" si="1"/>
        <v>309212</v>
      </c>
      <c r="T53" s="45"/>
      <c r="U53" s="45">
        <v>10254572</v>
      </c>
      <c r="V53" s="44"/>
      <c r="W53" s="45">
        <f>1515000+61506+496215</f>
        <v>2072721</v>
      </c>
    </row>
    <row r="54" spans="1:23" s="116" customFormat="1" ht="12.75" customHeight="1">
      <c r="A54" s="44" t="s">
        <v>73</v>
      </c>
      <c r="C54" s="44" t="s">
        <v>27</v>
      </c>
      <c r="D54" s="35"/>
      <c r="E54" s="45">
        <v>58660000</v>
      </c>
      <c r="F54" s="45"/>
      <c r="G54" s="45">
        <v>300427000</v>
      </c>
      <c r="H54" s="45"/>
      <c r="I54" s="45">
        <v>0</v>
      </c>
      <c r="J54" s="45"/>
      <c r="K54" s="45">
        <v>33779000</v>
      </c>
      <c r="L54" s="45"/>
      <c r="M54" s="45">
        <f>47972000+79620000</f>
        <v>127592000</v>
      </c>
      <c r="N54" s="45"/>
      <c r="O54" s="45">
        <v>0</v>
      </c>
      <c r="P54" s="45"/>
      <c r="Q54" s="45">
        <v>28643000</v>
      </c>
      <c r="R54" s="45"/>
      <c r="S54" s="44">
        <f t="shared" si="1"/>
        <v>147632000</v>
      </c>
      <c r="T54" s="45"/>
      <c r="U54" s="45">
        <v>696733000</v>
      </c>
      <c r="V54" s="44"/>
      <c r="W54" s="45">
        <f>106617000+173347000+43000+1127000+6690000</f>
        <v>287824000</v>
      </c>
    </row>
    <row r="55" spans="1:23" s="116" customFormat="1" ht="12.75" customHeight="1">
      <c r="A55" s="44" t="s">
        <v>74</v>
      </c>
      <c r="C55" s="44" t="s">
        <v>27</v>
      </c>
      <c r="D55" s="35"/>
      <c r="E55" s="45">
        <v>10576318</v>
      </c>
      <c r="F55" s="45"/>
      <c r="G55" s="45">
        <v>20623037</v>
      </c>
      <c r="H55" s="45"/>
      <c r="I55" s="45">
        <v>0</v>
      </c>
      <c r="J55" s="45"/>
      <c r="K55" s="45">
        <v>3571694</v>
      </c>
      <c r="L55" s="45"/>
      <c r="M55" s="45">
        <v>12879753</v>
      </c>
      <c r="N55" s="45"/>
      <c r="O55" s="45">
        <v>1451905</v>
      </c>
      <c r="P55" s="45"/>
      <c r="Q55" s="45">
        <f>1865516+2956629</f>
        <v>4822145</v>
      </c>
      <c r="R55" s="45"/>
      <c r="S55" s="44">
        <f t="shared" si="1"/>
        <v>2699645</v>
      </c>
      <c r="T55" s="45"/>
      <c r="U55" s="45">
        <v>56624497</v>
      </c>
      <c r="V55" s="44"/>
      <c r="W55" s="45">
        <f>191460+24273+450000+3351610</f>
        <v>4017343</v>
      </c>
    </row>
    <row r="56" spans="1:23" s="116" customFormat="1" ht="12.75" customHeight="1">
      <c r="A56" s="44" t="s">
        <v>75</v>
      </c>
      <c r="C56" s="44" t="s">
        <v>76</v>
      </c>
      <c r="D56" s="35"/>
      <c r="E56" s="45">
        <v>647721</v>
      </c>
      <c r="F56" s="45"/>
      <c r="G56" s="45">
        <v>4128471</v>
      </c>
      <c r="H56" s="45"/>
      <c r="I56" s="45">
        <v>0</v>
      </c>
      <c r="J56" s="45"/>
      <c r="K56" s="45">
        <v>283971</v>
      </c>
      <c r="L56" s="45"/>
      <c r="M56" s="45">
        <v>920378</v>
      </c>
      <c r="N56" s="45"/>
      <c r="O56" s="45">
        <v>46281</v>
      </c>
      <c r="P56" s="45"/>
      <c r="Q56" s="45">
        <f>45050+21296</f>
        <v>66346</v>
      </c>
      <c r="R56" s="45"/>
      <c r="S56" s="44">
        <f t="shared" si="1"/>
        <v>249828</v>
      </c>
      <c r="T56" s="45"/>
      <c r="U56" s="45">
        <v>6342996</v>
      </c>
      <c r="V56" s="44"/>
      <c r="W56" s="45">
        <f>1700000+72817+659765</f>
        <v>2432582</v>
      </c>
    </row>
    <row r="57" spans="1:23" s="116" customFormat="1" ht="12.75" customHeight="1">
      <c r="A57" s="44" t="s">
        <v>77</v>
      </c>
      <c r="C57" s="44" t="s">
        <v>43</v>
      </c>
      <c r="D57" s="35"/>
      <c r="E57" s="45">
        <v>52567000</v>
      </c>
      <c r="F57" s="45"/>
      <c r="G57" s="45">
        <v>649694000</v>
      </c>
      <c r="H57" s="45"/>
      <c r="I57" s="45">
        <v>0</v>
      </c>
      <c r="J57" s="45"/>
      <c r="K57" s="45">
        <v>85068000</v>
      </c>
      <c r="L57" s="45"/>
      <c r="M57" s="45">
        <v>88778000</v>
      </c>
      <c r="N57" s="45"/>
      <c r="O57" s="45">
        <v>0</v>
      </c>
      <c r="P57" s="45"/>
      <c r="Q57" s="45">
        <f>28504000+25438000</f>
        <v>53942000</v>
      </c>
      <c r="R57" s="45"/>
      <c r="S57" s="44">
        <f t="shared" si="1"/>
        <v>225012000</v>
      </c>
      <c r="T57" s="45"/>
      <c r="U57" s="45">
        <v>1155061000</v>
      </c>
      <c r="V57" s="44"/>
      <c r="W57" s="45">
        <f>72254000+159342000+45950000+13906000</f>
        <v>291452000</v>
      </c>
    </row>
    <row r="58" spans="1:23" s="116" customFormat="1" ht="12.75" customHeight="1">
      <c r="A58" s="44" t="s">
        <v>94</v>
      </c>
      <c r="C58" s="44" t="s">
        <v>94</v>
      </c>
      <c r="D58" s="35"/>
      <c r="E58" s="45">
        <v>2155148</v>
      </c>
      <c r="F58" s="45"/>
      <c r="G58" s="45">
        <v>0</v>
      </c>
      <c r="H58" s="45"/>
      <c r="I58" s="45">
        <v>41530</v>
      </c>
      <c r="J58" s="45"/>
      <c r="K58" s="45">
        <v>275935</v>
      </c>
      <c r="L58" s="45"/>
      <c r="M58" s="45">
        <v>872001</v>
      </c>
      <c r="N58" s="45"/>
      <c r="O58" s="45">
        <v>0</v>
      </c>
      <c r="P58" s="45"/>
      <c r="Q58" s="45">
        <f>113562+32231</f>
        <v>145793</v>
      </c>
      <c r="R58" s="45"/>
      <c r="S58" s="44">
        <f t="shared" si="1"/>
        <v>379940</v>
      </c>
      <c r="T58" s="45"/>
      <c r="U58" s="45">
        <v>3870347</v>
      </c>
      <c r="V58" s="44"/>
      <c r="W58" s="45">
        <v>1778400</v>
      </c>
    </row>
    <row r="59" spans="1:23" s="116" customFormat="1" ht="12.75" customHeight="1">
      <c r="A59" s="44" t="s">
        <v>78</v>
      </c>
      <c r="C59" s="44" t="s">
        <v>19</v>
      </c>
      <c r="D59" s="35"/>
      <c r="E59" s="45">
        <v>1285434</v>
      </c>
      <c r="F59" s="45"/>
      <c r="G59" s="45">
        <v>2392978</v>
      </c>
      <c r="H59" s="45"/>
      <c r="I59" s="45">
        <f>15925+125799</f>
        <v>141724</v>
      </c>
      <c r="J59" s="45"/>
      <c r="K59" s="45">
        <v>31000</v>
      </c>
      <c r="L59" s="45"/>
      <c r="M59" s="45">
        <v>1960327</v>
      </c>
      <c r="N59" s="45"/>
      <c r="O59" s="45">
        <v>117447</v>
      </c>
      <c r="P59" s="45"/>
      <c r="Q59" s="45">
        <f>698995+256964</f>
        <v>955959</v>
      </c>
      <c r="R59" s="45"/>
      <c r="S59" s="44">
        <f t="shared" si="1"/>
        <v>145028</v>
      </c>
      <c r="T59" s="45"/>
      <c r="U59" s="45">
        <v>7029897</v>
      </c>
      <c r="V59" s="44"/>
      <c r="W59" s="45">
        <f>574435+125000+60750</f>
        <v>760185</v>
      </c>
    </row>
    <row r="60" spans="1:23" s="116" customFormat="1" ht="12.75" customHeight="1">
      <c r="A60" s="44" t="s">
        <v>79</v>
      </c>
      <c r="C60" s="44" t="s">
        <v>80</v>
      </c>
      <c r="D60" s="35"/>
      <c r="E60" s="45">
        <v>2170352</v>
      </c>
      <c r="F60" s="45"/>
      <c r="G60" s="45">
        <v>0</v>
      </c>
      <c r="H60" s="45"/>
      <c r="I60" s="45">
        <v>0</v>
      </c>
      <c r="J60" s="45"/>
      <c r="K60" s="45">
        <v>269925</v>
      </c>
      <c r="L60" s="45"/>
      <c r="M60" s="45">
        <v>1149856</v>
      </c>
      <c r="N60" s="45"/>
      <c r="O60" s="45">
        <v>0</v>
      </c>
      <c r="P60" s="45"/>
      <c r="Q60" s="45">
        <f>136080+4465</f>
        <v>140545</v>
      </c>
      <c r="R60" s="45"/>
      <c r="S60" s="44">
        <f t="shared" si="1"/>
        <v>46868</v>
      </c>
      <c r="T60" s="45"/>
      <c r="U60" s="45">
        <v>3777546</v>
      </c>
      <c r="V60" s="44"/>
      <c r="W60" s="45">
        <v>136000</v>
      </c>
    </row>
    <row r="61" spans="1:23" s="118" customFormat="1" ht="12.75" customHeight="1">
      <c r="A61" s="44" t="s">
        <v>471</v>
      </c>
      <c r="B61" s="117"/>
      <c r="C61" s="46"/>
      <c r="D61" s="64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4"/>
      <c r="T61" s="45"/>
      <c r="U61" s="45"/>
      <c r="V61" s="44"/>
      <c r="W61" s="48" t="s">
        <v>484</v>
      </c>
    </row>
    <row r="62" spans="1:23" s="116" customFormat="1" ht="12.75" customHeight="1">
      <c r="A62" s="44" t="s">
        <v>81</v>
      </c>
      <c r="C62" s="44" t="s">
        <v>81</v>
      </c>
      <c r="D62" s="35"/>
      <c r="E62" s="94">
        <v>513552</v>
      </c>
      <c r="F62" s="94"/>
      <c r="G62" s="94">
        <v>3935775</v>
      </c>
      <c r="H62" s="94"/>
      <c r="I62" s="94">
        <v>45326</v>
      </c>
      <c r="J62" s="94"/>
      <c r="K62" s="94">
        <v>1146115</v>
      </c>
      <c r="L62" s="94"/>
      <c r="M62" s="94">
        <v>2983919</v>
      </c>
      <c r="N62" s="94"/>
      <c r="O62" s="94">
        <v>1881</v>
      </c>
      <c r="P62" s="94"/>
      <c r="Q62" s="94">
        <f>40800+129097</f>
        <v>169897</v>
      </c>
      <c r="R62" s="94"/>
      <c r="S62" s="46">
        <f t="shared" si="1"/>
        <v>536393</v>
      </c>
      <c r="T62" s="94"/>
      <c r="U62" s="94">
        <v>9332858</v>
      </c>
      <c r="V62" s="46"/>
      <c r="W62" s="94">
        <v>244319</v>
      </c>
    </row>
    <row r="63" spans="1:23" s="134" customFormat="1" ht="12.75" hidden="1" customHeight="1">
      <c r="A63" s="122" t="s">
        <v>465</v>
      </c>
      <c r="B63" s="122"/>
      <c r="C63" s="122" t="s">
        <v>57</v>
      </c>
      <c r="D63" s="126"/>
      <c r="E63" s="127">
        <v>0</v>
      </c>
      <c r="F63" s="127"/>
      <c r="G63" s="127">
        <v>0</v>
      </c>
      <c r="H63" s="127"/>
      <c r="I63" s="127">
        <v>0</v>
      </c>
      <c r="J63" s="127"/>
      <c r="K63" s="127">
        <v>0</v>
      </c>
      <c r="L63" s="127"/>
      <c r="M63" s="127">
        <v>0</v>
      </c>
      <c r="N63" s="127"/>
      <c r="O63" s="127">
        <v>0</v>
      </c>
      <c r="P63" s="127"/>
      <c r="Q63" s="127">
        <v>0</v>
      </c>
      <c r="R63" s="127"/>
      <c r="S63" s="121">
        <f t="shared" si="1"/>
        <v>0</v>
      </c>
      <c r="T63" s="127"/>
      <c r="U63" s="127">
        <v>0</v>
      </c>
      <c r="V63" s="121"/>
      <c r="W63" s="127">
        <v>0</v>
      </c>
    </row>
    <row r="64" spans="1:23" s="116" customFormat="1" ht="12.75" customHeight="1">
      <c r="A64" s="44" t="s">
        <v>82</v>
      </c>
      <c r="C64" s="44" t="s">
        <v>13</v>
      </c>
      <c r="D64" s="35"/>
      <c r="E64" s="45">
        <v>10686762</v>
      </c>
      <c r="F64" s="45"/>
      <c r="G64" s="45">
        <v>19370713</v>
      </c>
      <c r="H64" s="45"/>
      <c r="I64" s="45">
        <v>480317</v>
      </c>
      <c r="J64" s="45"/>
      <c r="K64" s="45">
        <v>4945171</v>
      </c>
      <c r="L64" s="45"/>
      <c r="M64" s="45">
        <v>5035728</v>
      </c>
      <c r="N64" s="45"/>
      <c r="O64" s="45">
        <v>255811</v>
      </c>
      <c r="P64" s="45"/>
      <c r="Q64" s="45">
        <f>1022270+325243</f>
        <v>1347513</v>
      </c>
      <c r="R64" s="45"/>
      <c r="S64" s="44">
        <f t="shared" si="1"/>
        <v>8025976</v>
      </c>
      <c r="T64" s="45"/>
      <c r="U64" s="45">
        <v>50147991</v>
      </c>
      <c r="V64" s="44"/>
      <c r="W64" s="45">
        <v>23240546</v>
      </c>
    </row>
    <row r="65" spans="1:23" s="117" customFormat="1" ht="12.75" customHeight="1">
      <c r="A65" s="46" t="s">
        <v>83</v>
      </c>
      <c r="C65" s="46" t="s">
        <v>66</v>
      </c>
      <c r="D65" s="35"/>
      <c r="E65" s="45">
        <v>17873688</v>
      </c>
      <c r="F65" s="45"/>
      <c r="G65" s="45">
        <v>98824027</v>
      </c>
      <c r="H65" s="45"/>
      <c r="I65" s="45">
        <v>20056119</v>
      </c>
      <c r="J65" s="45"/>
      <c r="K65" s="45">
        <v>26265870</v>
      </c>
      <c r="L65" s="45"/>
      <c r="M65" s="45">
        <v>50825645</v>
      </c>
      <c r="N65" s="45"/>
      <c r="O65" s="45">
        <v>380767</v>
      </c>
      <c r="P65" s="45"/>
      <c r="Q65" s="45">
        <f>1314956+2276856</f>
        <v>3591812</v>
      </c>
      <c r="R65" s="45"/>
      <c r="S65" s="44">
        <f t="shared" si="1"/>
        <v>12522590</v>
      </c>
      <c r="T65" s="45"/>
      <c r="U65" s="45">
        <v>230340518</v>
      </c>
      <c r="V65" s="44"/>
      <c r="W65" s="45">
        <f>5180000+12481039+13884+2860000</f>
        <v>20534923</v>
      </c>
    </row>
    <row r="66" spans="1:23" s="116" customFormat="1" ht="12.75" customHeight="1">
      <c r="A66" s="44" t="s">
        <v>84</v>
      </c>
      <c r="C66" s="44" t="s">
        <v>45</v>
      </c>
      <c r="D66" s="35"/>
      <c r="E66" s="45">
        <v>2256840</v>
      </c>
      <c r="F66" s="45"/>
      <c r="G66" s="45">
        <v>0</v>
      </c>
      <c r="H66" s="45"/>
      <c r="I66" s="45">
        <v>0</v>
      </c>
      <c r="J66" s="45"/>
      <c r="K66" s="45">
        <v>78595</v>
      </c>
      <c r="L66" s="45"/>
      <c r="M66" s="45">
        <v>1258909</v>
      </c>
      <c r="N66" s="45"/>
      <c r="O66" s="45">
        <v>0</v>
      </c>
      <c r="P66" s="45"/>
      <c r="Q66" s="45">
        <v>93299</v>
      </c>
      <c r="R66" s="45"/>
      <c r="S66" s="44">
        <f t="shared" si="1"/>
        <v>57600</v>
      </c>
      <c r="T66" s="45"/>
      <c r="U66" s="45">
        <v>3745243</v>
      </c>
      <c r="V66" s="44"/>
      <c r="W66" s="45">
        <f>1600+213188</f>
        <v>214788</v>
      </c>
    </row>
    <row r="67" spans="1:23" s="116" customFormat="1" ht="12.75" customHeight="1">
      <c r="A67" s="44" t="s">
        <v>85</v>
      </c>
      <c r="C67" s="44" t="s">
        <v>85</v>
      </c>
      <c r="D67" s="35"/>
      <c r="E67" s="45">
        <v>882023</v>
      </c>
      <c r="F67" s="45"/>
      <c r="G67" s="45">
        <v>6709254</v>
      </c>
      <c r="H67" s="45"/>
      <c r="I67" s="45">
        <v>0</v>
      </c>
      <c r="J67" s="45"/>
      <c r="K67" s="45">
        <v>695129</v>
      </c>
      <c r="L67" s="45"/>
      <c r="M67" s="45">
        <v>2969152</v>
      </c>
      <c r="N67" s="45"/>
      <c r="O67" s="45">
        <v>88403</v>
      </c>
      <c r="P67" s="45"/>
      <c r="Q67" s="45">
        <f>307950+838380</f>
        <v>1146330</v>
      </c>
      <c r="R67" s="45"/>
      <c r="S67" s="44">
        <f t="shared" si="1"/>
        <v>709091</v>
      </c>
      <c r="T67" s="45"/>
      <c r="U67" s="45">
        <v>13199382</v>
      </c>
      <c r="V67" s="44"/>
      <c r="W67" s="45">
        <v>671356</v>
      </c>
    </row>
    <row r="68" spans="1:23" s="117" customFormat="1" ht="12.75" customHeight="1">
      <c r="A68" s="44" t="s">
        <v>86</v>
      </c>
      <c r="B68" s="116"/>
      <c r="C68" s="44" t="s">
        <v>86</v>
      </c>
      <c r="D68" s="35"/>
      <c r="E68" s="45">
        <v>1752804</v>
      </c>
      <c r="F68" s="45"/>
      <c r="G68" s="45">
        <v>15552763</v>
      </c>
      <c r="H68" s="45"/>
      <c r="I68" s="45">
        <v>54465</v>
      </c>
      <c r="J68" s="45"/>
      <c r="K68" s="45">
        <v>2373599</v>
      </c>
      <c r="L68" s="45"/>
      <c r="M68" s="45">
        <v>8915679</v>
      </c>
      <c r="N68" s="45"/>
      <c r="O68" s="45">
        <v>20713</v>
      </c>
      <c r="P68" s="45"/>
      <c r="Q68" s="45">
        <f>717855+2718732</f>
        <v>3436587</v>
      </c>
      <c r="R68" s="45"/>
      <c r="S68" s="44">
        <f t="shared" si="1"/>
        <v>1714793</v>
      </c>
      <c r="T68" s="45"/>
      <c r="U68" s="45">
        <v>33821403</v>
      </c>
      <c r="V68" s="44"/>
      <c r="W68" s="45">
        <f>11964+20120000+140775+6121095</f>
        <v>26393834</v>
      </c>
    </row>
    <row r="69" spans="1:23" s="118" customFormat="1" ht="12.75" customHeight="1">
      <c r="A69" s="46" t="s">
        <v>87</v>
      </c>
      <c r="B69" s="117"/>
      <c r="C69" s="46" t="s">
        <v>88</v>
      </c>
      <c r="D69" s="64"/>
      <c r="E69" s="45">
        <v>378785</v>
      </c>
      <c r="F69" s="45"/>
      <c r="G69" s="45">
        <v>2318940</v>
      </c>
      <c r="H69" s="45"/>
      <c r="I69" s="45">
        <v>0</v>
      </c>
      <c r="J69" s="45"/>
      <c r="K69" s="45">
        <v>483515</v>
      </c>
      <c r="L69" s="45"/>
      <c r="M69" s="45">
        <v>1036376</v>
      </c>
      <c r="N69" s="45"/>
      <c r="O69" s="45">
        <v>7497</v>
      </c>
      <c r="P69" s="45"/>
      <c r="Q69" s="45">
        <f>88846+1860</f>
        <v>90706</v>
      </c>
      <c r="R69" s="45"/>
      <c r="S69" s="44">
        <f t="shared" si="1"/>
        <v>142507</v>
      </c>
      <c r="T69" s="45"/>
      <c r="U69" s="45">
        <v>4458326</v>
      </c>
      <c r="V69" s="44"/>
      <c r="W69" s="45">
        <v>185000</v>
      </c>
    </row>
    <row r="70" spans="1:23" s="116" customFormat="1" ht="12.75" customHeight="1">
      <c r="A70" s="46" t="s">
        <v>394</v>
      </c>
      <c r="B70" s="117"/>
      <c r="C70" s="46" t="s">
        <v>89</v>
      </c>
      <c r="D70" s="35"/>
      <c r="E70" s="45">
        <v>944163</v>
      </c>
      <c r="F70" s="45"/>
      <c r="G70" s="45">
        <v>5641156</v>
      </c>
      <c r="H70" s="45"/>
      <c r="I70" s="45">
        <v>0</v>
      </c>
      <c r="J70" s="45"/>
      <c r="K70" s="45">
        <v>1188938</v>
      </c>
      <c r="L70" s="45"/>
      <c r="M70" s="45">
        <v>2575542</v>
      </c>
      <c r="N70" s="45"/>
      <c r="O70" s="45">
        <v>0</v>
      </c>
      <c r="P70" s="45"/>
      <c r="Q70" s="45">
        <v>53292</v>
      </c>
      <c r="R70" s="45"/>
      <c r="S70" s="44">
        <f t="shared" ref="S70" si="3">+U70-SUM(E70:Q70)</f>
        <v>227619</v>
      </c>
      <c r="T70" s="45"/>
      <c r="U70" s="53">
        <v>10630710</v>
      </c>
      <c r="V70" s="44"/>
      <c r="W70" s="44">
        <f>2640000+530860</f>
        <v>3170860</v>
      </c>
    </row>
    <row r="71" spans="1:23" s="116" customFormat="1" ht="12.75" customHeight="1">
      <c r="A71" s="44" t="s">
        <v>90</v>
      </c>
      <c r="C71" s="44" t="s">
        <v>43</v>
      </c>
      <c r="D71" s="35"/>
      <c r="E71" s="45">
        <v>3539554</v>
      </c>
      <c r="F71" s="45"/>
      <c r="G71" s="45">
        <v>67316927</v>
      </c>
      <c r="H71" s="45"/>
      <c r="I71" s="45">
        <v>1540070</v>
      </c>
      <c r="J71" s="45"/>
      <c r="K71" s="45">
        <v>7099314</v>
      </c>
      <c r="L71" s="45"/>
      <c r="M71" s="45">
        <v>10896194</v>
      </c>
      <c r="N71" s="45"/>
      <c r="O71" s="45">
        <v>256851</v>
      </c>
      <c r="P71" s="45"/>
      <c r="Q71" s="45">
        <v>1953739</v>
      </c>
      <c r="R71" s="45"/>
      <c r="S71" s="44">
        <f t="shared" ref="S71:S130" si="4">+U71-SUM(E71:Q71)</f>
        <v>11137683</v>
      </c>
      <c r="T71" s="45"/>
      <c r="U71" s="45">
        <v>103740332</v>
      </c>
      <c r="V71" s="44"/>
      <c r="W71" s="45">
        <v>25115131</v>
      </c>
    </row>
    <row r="72" spans="1:23" s="134" customFormat="1" ht="12.75" hidden="1" customHeight="1">
      <c r="A72" s="122" t="s">
        <v>488</v>
      </c>
      <c r="B72" s="122"/>
      <c r="C72" s="122" t="s">
        <v>27</v>
      </c>
      <c r="D72" s="126"/>
      <c r="E72" s="127">
        <v>0</v>
      </c>
      <c r="F72" s="127"/>
      <c r="G72" s="127">
        <v>0</v>
      </c>
      <c r="H72" s="127"/>
      <c r="I72" s="127">
        <v>0</v>
      </c>
      <c r="J72" s="127"/>
      <c r="K72" s="127">
        <v>0</v>
      </c>
      <c r="L72" s="127"/>
      <c r="M72" s="127">
        <v>0</v>
      </c>
      <c r="N72" s="127"/>
      <c r="O72" s="127">
        <v>0</v>
      </c>
      <c r="P72" s="127"/>
      <c r="Q72" s="127">
        <v>0</v>
      </c>
      <c r="R72" s="127"/>
      <c r="S72" s="121">
        <f t="shared" si="4"/>
        <v>0</v>
      </c>
      <c r="T72" s="127"/>
      <c r="U72" s="127">
        <v>0</v>
      </c>
      <c r="V72" s="121"/>
      <c r="W72" s="127">
        <v>0</v>
      </c>
    </row>
    <row r="73" spans="1:23" s="116" customFormat="1" ht="12.75" customHeight="1">
      <c r="A73" s="44" t="s">
        <v>93</v>
      </c>
      <c r="B73" s="47"/>
      <c r="C73" s="44" t="s">
        <v>94</v>
      </c>
      <c r="D73" s="35"/>
      <c r="E73" s="45">
        <v>884297</v>
      </c>
      <c r="F73" s="45"/>
      <c r="G73" s="45">
        <v>2741328</v>
      </c>
      <c r="H73" s="45"/>
      <c r="I73" s="45">
        <v>0</v>
      </c>
      <c r="J73" s="45"/>
      <c r="K73" s="45">
        <v>44475</v>
      </c>
      <c r="L73" s="45"/>
      <c r="M73" s="45">
        <v>1778148</v>
      </c>
      <c r="N73" s="45"/>
      <c r="O73" s="45">
        <v>12688</v>
      </c>
      <c r="P73" s="45"/>
      <c r="Q73" s="45">
        <f>551294+225903</f>
        <v>777197</v>
      </c>
      <c r="R73" s="45"/>
      <c r="S73" s="44">
        <f t="shared" si="4"/>
        <v>129900</v>
      </c>
      <c r="T73" s="45"/>
      <c r="U73" s="45">
        <v>6368033</v>
      </c>
      <c r="V73" s="44"/>
      <c r="W73" s="45">
        <v>2317694</v>
      </c>
    </row>
    <row r="74" spans="1:23" s="117" customFormat="1" ht="12.75" customHeight="1">
      <c r="A74" s="46" t="s">
        <v>95</v>
      </c>
      <c r="C74" s="46" t="s">
        <v>94</v>
      </c>
      <c r="D74" s="64"/>
      <c r="E74" s="45">
        <v>1274562</v>
      </c>
      <c r="F74" s="45"/>
      <c r="G74" s="45">
        <v>0</v>
      </c>
      <c r="H74" s="45"/>
      <c r="I74" s="45">
        <v>0</v>
      </c>
      <c r="J74" s="45"/>
      <c r="K74" s="45">
        <v>389722</v>
      </c>
      <c r="L74" s="45"/>
      <c r="M74" s="45">
        <v>695347</v>
      </c>
      <c r="N74" s="45"/>
      <c r="O74" s="45">
        <v>0</v>
      </c>
      <c r="P74" s="45"/>
      <c r="Q74" s="45">
        <f>81505+8276</f>
        <v>89781</v>
      </c>
      <c r="R74" s="45"/>
      <c r="S74" s="44">
        <f t="shared" si="4"/>
        <v>244439</v>
      </c>
      <c r="T74" s="45"/>
      <c r="U74" s="45">
        <v>2693851</v>
      </c>
      <c r="V74" s="44"/>
      <c r="W74" s="45">
        <f>7367+125858+60000+94341</f>
        <v>287566</v>
      </c>
    </row>
    <row r="75" spans="1:23" s="116" customFormat="1" ht="12.75" hidden="1" customHeight="1">
      <c r="A75" s="44" t="s">
        <v>91</v>
      </c>
      <c r="C75" s="44" t="s">
        <v>92</v>
      </c>
      <c r="D75" s="35"/>
      <c r="E75" s="45">
        <v>0</v>
      </c>
      <c r="F75" s="45"/>
      <c r="G75" s="45">
        <v>0</v>
      </c>
      <c r="H75" s="45"/>
      <c r="I75" s="45">
        <v>0</v>
      </c>
      <c r="J75" s="45"/>
      <c r="K75" s="45">
        <v>0</v>
      </c>
      <c r="L75" s="45"/>
      <c r="M75" s="45">
        <v>0</v>
      </c>
      <c r="N75" s="45"/>
      <c r="O75" s="45">
        <v>0</v>
      </c>
      <c r="P75" s="45"/>
      <c r="Q75" s="45">
        <v>0</v>
      </c>
      <c r="R75" s="45"/>
      <c r="S75" s="44">
        <f t="shared" si="4"/>
        <v>0</v>
      </c>
      <c r="T75" s="45"/>
      <c r="U75" s="45">
        <v>0</v>
      </c>
      <c r="V75" s="44"/>
      <c r="W75" s="45">
        <v>0</v>
      </c>
    </row>
    <row r="76" spans="1:23" s="116" customFormat="1" ht="12.75" customHeight="1">
      <c r="A76" s="44" t="s">
        <v>96</v>
      </c>
      <c r="C76" s="44" t="s">
        <v>97</v>
      </c>
      <c r="D76" s="35"/>
      <c r="E76" s="45">
        <v>724035</v>
      </c>
      <c r="F76" s="45"/>
      <c r="G76" s="45">
        <v>3327213</v>
      </c>
      <c r="H76" s="45"/>
      <c r="I76" s="45">
        <v>0</v>
      </c>
      <c r="J76" s="45"/>
      <c r="K76" s="45">
        <v>614527</v>
      </c>
      <c r="L76" s="45"/>
      <c r="M76" s="45">
        <v>1912894</v>
      </c>
      <c r="N76" s="45"/>
      <c r="O76" s="45">
        <v>34985</v>
      </c>
      <c r="P76" s="45"/>
      <c r="Q76" s="45">
        <f>95848+784576</f>
        <v>880424</v>
      </c>
      <c r="R76" s="45"/>
      <c r="S76" s="44">
        <f t="shared" si="4"/>
        <v>313974</v>
      </c>
      <c r="T76" s="45"/>
      <c r="U76" s="45">
        <v>7808052</v>
      </c>
      <c r="V76" s="44"/>
      <c r="W76" s="45">
        <f>3615+923803</f>
        <v>927418</v>
      </c>
    </row>
    <row r="77" spans="1:23" s="116" customFormat="1" ht="12.75" customHeight="1">
      <c r="A77" s="44" t="s">
        <v>98</v>
      </c>
      <c r="C77" s="44" t="s">
        <v>17</v>
      </c>
      <c r="D77" s="35"/>
      <c r="E77" s="45">
        <v>3883089</v>
      </c>
      <c r="F77" s="45"/>
      <c r="G77" s="45">
        <v>20514419</v>
      </c>
      <c r="H77" s="45"/>
      <c r="I77" s="45">
        <v>1563454</v>
      </c>
      <c r="J77" s="45"/>
      <c r="K77" s="45">
        <v>1835603</v>
      </c>
      <c r="L77" s="45"/>
      <c r="M77" s="45">
        <v>12346417</v>
      </c>
      <c r="N77" s="45"/>
      <c r="O77" s="45">
        <v>224111</v>
      </c>
      <c r="P77" s="45"/>
      <c r="Q77" s="45">
        <f>479702+1408481</f>
        <v>1888183</v>
      </c>
      <c r="R77" s="45"/>
      <c r="S77" s="44">
        <f t="shared" si="4"/>
        <v>659855</v>
      </c>
      <c r="T77" s="45"/>
      <c r="U77" s="45">
        <v>42915131</v>
      </c>
      <c r="V77" s="44"/>
      <c r="W77" s="45">
        <f>472901+4012</f>
        <v>476913</v>
      </c>
    </row>
    <row r="78" spans="1:23" s="116" customFormat="1" ht="12.75" customHeight="1">
      <c r="A78" s="44" t="s">
        <v>99</v>
      </c>
      <c r="C78" s="44" t="s">
        <v>66</v>
      </c>
      <c r="D78" s="35"/>
      <c r="E78" s="45">
        <v>1547831</v>
      </c>
      <c r="F78" s="45"/>
      <c r="G78" s="45">
        <v>5908774</v>
      </c>
      <c r="H78" s="45"/>
      <c r="I78" s="45">
        <v>0</v>
      </c>
      <c r="J78" s="45"/>
      <c r="K78" s="45">
        <v>1219222</v>
      </c>
      <c r="L78" s="45"/>
      <c r="M78" s="45">
        <v>2337872</v>
      </c>
      <c r="N78" s="45"/>
      <c r="O78" s="45">
        <v>166573</v>
      </c>
      <c r="P78" s="45"/>
      <c r="Q78" s="45">
        <f>83637+89358</f>
        <v>172995</v>
      </c>
      <c r="R78" s="45"/>
      <c r="S78" s="44">
        <f t="shared" si="4"/>
        <v>620235</v>
      </c>
      <c r="T78" s="45"/>
      <c r="U78" s="45">
        <v>11973502</v>
      </c>
      <c r="V78" s="44"/>
      <c r="W78" s="45">
        <f>24854+5177971+183562</f>
        <v>5386387</v>
      </c>
    </row>
    <row r="79" spans="1:23" s="116" customFormat="1" ht="12.75" customHeight="1">
      <c r="A79" s="44" t="s">
        <v>100</v>
      </c>
      <c r="C79" s="44" t="s">
        <v>27</v>
      </c>
      <c r="D79" s="35"/>
      <c r="E79" s="45">
        <v>4908989</v>
      </c>
      <c r="F79" s="45"/>
      <c r="G79" s="45">
        <v>22165312</v>
      </c>
      <c r="H79" s="45"/>
      <c r="I79" s="45">
        <v>0</v>
      </c>
      <c r="J79" s="45"/>
      <c r="K79" s="45">
        <v>6120126</v>
      </c>
      <c r="L79" s="45"/>
      <c r="M79" s="45">
        <v>12711780</v>
      </c>
      <c r="N79" s="45"/>
      <c r="O79" s="45">
        <v>335115</v>
      </c>
      <c r="P79" s="45"/>
      <c r="Q79" s="45">
        <f>148341+1778448</f>
        <v>1926789</v>
      </c>
      <c r="R79" s="45"/>
      <c r="S79" s="44">
        <f t="shared" si="4"/>
        <v>1173879</v>
      </c>
      <c r="T79" s="45"/>
      <c r="U79" s="45">
        <v>49341990</v>
      </c>
      <c r="V79" s="44"/>
      <c r="W79" s="45">
        <f>553800+4290000+21278+547309</f>
        <v>5412387</v>
      </c>
    </row>
    <row r="80" spans="1:23" s="116" customFormat="1" ht="12.75" customHeight="1">
      <c r="A80" s="44" t="s">
        <v>101</v>
      </c>
      <c r="C80" s="44" t="s">
        <v>30</v>
      </c>
      <c r="D80" s="35"/>
      <c r="E80" s="45">
        <v>2458646</v>
      </c>
      <c r="F80" s="45"/>
      <c r="G80" s="45">
        <v>11442949</v>
      </c>
      <c r="H80" s="45"/>
      <c r="I80" s="45">
        <v>712099</v>
      </c>
      <c r="J80" s="45"/>
      <c r="K80" s="45">
        <v>4868341</v>
      </c>
      <c r="L80" s="45"/>
      <c r="M80" s="45">
        <v>5914059</v>
      </c>
      <c r="N80" s="45"/>
      <c r="O80" s="45">
        <v>414979</v>
      </c>
      <c r="P80" s="45"/>
      <c r="Q80" s="45">
        <v>1817598</v>
      </c>
      <c r="R80" s="45"/>
      <c r="S80" s="44">
        <f t="shared" si="4"/>
        <v>902667</v>
      </c>
      <c r="T80" s="45"/>
      <c r="U80" s="45">
        <v>28531338</v>
      </c>
      <c r="V80" s="44"/>
      <c r="W80" s="45">
        <f>45000+710000+10226724+583</f>
        <v>10982307</v>
      </c>
    </row>
    <row r="81" spans="1:23" s="116" customFormat="1" ht="12.75" customHeight="1">
      <c r="A81" s="44" t="s">
        <v>102</v>
      </c>
      <c r="C81" s="44" t="s">
        <v>103</v>
      </c>
      <c r="D81" s="35"/>
      <c r="E81" s="45">
        <v>28266333</v>
      </c>
      <c r="F81" s="45"/>
      <c r="G81" s="45">
        <v>0</v>
      </c>
      <c r="H81" s="45"/>
      <c r="I81" s="45">
        <v>0</v>
      </c>
      <c r="J81" s="45"/>
      <c r="K81" s="45">
        <v>1790882</v>
      </c>
      <c r="L81" s="45"/>
      <c r="M81" s="45">
        <v>6189211</v>
      </c>
      <c r="N81" s="45"/>
      <c r="O81" s="45">
        <v>28213</v>
      </c>
      <c r="P81" s="45"/>
      <c r="Q81" s="45">
        <v>2261968</v>
      </c>
      <c r="R81" s="45"/>
      <c r="S81" s="44">
        <f t="shared" si="4"/>
        <v>753657</v>
      </c>
      <c r="T81" s="45"/>
      <c r="U81" s="45">
        <v>39290264</v>
      </c>
      <c r="V81" s="44"/>
      <c r="W81" s="45">
        <f>18115+9125000+37037+3374427</f>
        <v>12554579</v>
      </c>
    </row>
    <row r="82" spans="1:23" s="116" customFormat="1" ht="12.75" customHeight="1">
      <c r="A82" s="44" t="s">
        <v>104</v>
      </c>
      <c r="C82" s="44" t="s">
        <v>13</v>
      </c>
      <c r="D82" s="64"/>
      <c r="E82" s="45">
        <v>990476</v>
      </c>
      <c r="F82" s="45"/>
      <c r="G82" s="45">
        <v>8415292</v>
      </c>
      <c r="H82" s="45"/>
      <c r="I82" s="45">
        <v>0</v>
      </c>
      <c r="J82" s="45"/>
      <c r="K82" s="45">
        <v>501551</v>
      </c>
      <c r="L82" s="45"/>
      <c r="M82" s="45">
        <v>1926464</v>
      </c>
      <c r="N82" s="45"/>
      <c r="O82" s="45">
        <v>317628</v>
      </c>
      <c r="P82" s="45"/>
      <c r="Q82" s="45">
        <f>210198+182818</f>
        <v>393016</v>
      </c>
      <c r="R82" s="45"/>
      <c r="S82" s="44">
        <f t="shared" si="4"/>
        <v>3126301</v>
      </c>
      <c r="T82" s="45"/>
      <c r="U82" s="45">
        <v>15670728</v>
      </c>
      <c r="V82" s="44"/>
      <c r="W82" s="45">
        <v>384473</v>
      </c>
    </row>
    <row r="83" spans="1:23" s="116" customFormat="1" ht="12.75" customHeight="1">
      <c r="A83" s="44" t="s">
        <v>105</v>
      </c>
      <c r="C83" s="44" t="s">
        <v>27</v>
      </c>
      <c r="D83" s="35"/>
      <c r="E83" s="45">
        <v>3702107</v>
      </c>
      <c r="F83" s="45"/>
      <c r="G83" s="45">
        <v>7444610</v>
      </c>
      <c r="H83" s="45"/>
      <c r="I83" s="45">
        <v>211439</v>
      </c>
      <c r="J83" s="45"/>
      <c r="K83" s="45">
        <v>2035758</v>
      </c>
      <c r="L83" s="45"/>
      <c r="M83" s="45">
        <v>3056856</v>
      </c>
      <c r="N83" s="45"/>
      <c r="O83" s="45">
        <v>237141</v>
      </c>
      <c r="P83" s="45"/>
      <c r="Q83" s="45">
        <v>0</v>
      </c>
      <c r="R83" s="45"/>
      <c r="S83" s="44">
        <f t="shared" si="4"/>
        <v>696113</v>
      </c>
      <c r="T83" s="45"/>
      <c r="U83" s="45">
        <v>17384024</v>
      </c>
      <c r="V83" s="44"/>
      <c r="W83" s="45">
        <f>5400+1034654</f>
        <v>1040054</v>
      </c>
    </row>
    <row r="84" spans="1:23" s="116" customFormat="1" ht="12.75" customHeight="1">
      <c r="A84" s="44" t="s">
        <v>106</v>
      </c>
      <c r="C84" s="44" t="s">
        <v>107</v>
      </c>
      <c r="D84" s="35"/>
      <c r="E84" s="45">
        <v>3239792</v>
      </c>
      <c r="F84" s="45"/>
      <c r="G84" s="45">
        <v>18562751</v>
      </c>
      <c r="H84" s="45"/>
      <c r="I84" s="45">
        <v>0</v>
      </c>
      <c r="J84" s="45"/>
      <c r="K84" s="45">
        <v>2374123</v>
      </c>
      <c r="L84" s="45"/>
      <c r="M84" s="45">
        <v>7954403</v>
      </c>
      <c r="N84" s="45"/>
      <c r="O84" s="45">
        <v>24223</v>
      </c>
      <c r="P84" s="45"/>
      <c r="Q84" s="45">
        <f>321919+1369185</f>
        <v>1691104</v>
      </c>
      <c r="R84" s="45"/>
      <c r="S84" s="44">
        <f t="shared" si="4"/>
        <v>1035256</v>
      </c>
      <c r="T84" s="45"/>
      <c r="U84" s="45">
        <v>34881652</v>
      </c>
      <c r="V84" s="44"/>
      <c r="W84" s="45">
        <f>11787+20478411</f>
        <v>20490198</v>
      </c>
    </row>
    <row r="85" spans="1:23" s="116" customFormat="1" ht="12.75" customHeight="1">
      <c r="A85" s="44" t="s">
        <v>108</v>
      </c>
      <c r="C85" s="44" t="s">
        <v>45</v>
      </c>
      <c r="D85" s="35"/>
      <c r="E85" s="45">
        <v>12720437</v>
      </c>
      <c r="F85" s="45"/>
      <c r="G85" s="45">
        <v>0</v>
      </c>
      <c r="H85" s="45"/>
      <c r="I85" s="45">
        <v>0</v>
      </c>
      <c r="J85" s="45"/>
      <c r="K85" s="45">
        <v>2373965</v>
      </c>
      <c r="L85" s="45"/>
      <c r="M85" s="45">
        <v>1906126</v>
      </c>
      <c r="N85" s="45"/>
      <c r="O85" s="45">
        <v>10659</v>
      </c>
      <c r="P85" s="45"/>
      <c r="Q85" s="45">
        <v>294174</v>
      </c>
      <c r="R85" s="45"/>
      <c r="S85" s="44">
        <f t="shared" si="4"/>
        <v>1324097</v>
      </c>
      <c r="T85" s="45"/>
      <c r="U85" s="45">
        <v>18629458</v>
      </c>
      <c r="V85" s="44"/>
      <c r="W85" s="45">
        <v>1471505</v>
      </c>
    </row>
    <row r="86" spans="1:23" s="118" customFormat="1" ht="12.75" customHeight="1">
      <c r="A86" s="44" t="s">
        <v>109</v>
      </c>
      <c r="C86" s="44" t="s">
        <v>110</v>
      </c>
      <c r="D86" s="35"/>
      <c r="E86" s="45">
        <v>743024</v>
      </c>
      <c r="F86" s="45"/>
      <c r="G86" s="45">
        <v>4599590</v>
      </c>
      <c r="H86" s="45"/>
      <c r="I86" s="45">
        <v>0</v>
      </c>
      <c r="J86" s="45"/>
      <c r="K86" s="45">
        <v>555532</v>
      </c>
      <c r="L86" s="45"/>
      <c r="M86" s="45">
        <v>2161848</v>
      </c>
      <c r="N86" s="45"/>
      <c r="O86" s="45">
        <v>44034</v>
      </c>
      <c r="P86" s="45"/>
      <c r="Q86" s="45">
        <f>22435+27276</f>
        <v>49711</v>
      </c>
      <c r="R86" s="45"/>
      <c r="S86" s="44">
        <f t="shared" si="4"/>
        <v>677726</v>
      </c>
      <c r="T86" s="45"/>
      <c r="U86" s="45">
        <v>8831465</v>
      </c>
      <c r="V86" s="44"/>
      <c r="W86" s="45">
        <f>14614+920016+96946</f>
        <v>1031576</v>
      </c>
    </row>
    <row r="87" spans="1:23" s="116" customFormat="1" ht="12.75" customHeight="1">
      <c r="A87" s="44" t="s">
        <v>43</v>
      </c>
      <c r="B87" s="118"/>
      <c r="C87" s="44" t="s">
        <v>111</v>
      </c>
      <c r="D87" s="35"/>
      <c r="E87" s="45">
        <v>1011884</v>
      </c>
      <c r="F87" s="45"/>
      <c r="G87" s="45">
        <v>5844404</v>
      </c>
      <c r="H87" s="45"/>
      <c r="I87" s="45">
        <v>172307</v>
      </c>
      <c r="J87" s="45"/>
      <c r="K87" s="45">
        <v>387196</v>
      </c>
      <c r="L87" s="45"/>
      <c r="M87" s="45">
        <v>2979788</v>
      </c>
      <c r="N87" s="45"/>
      <c r="O87" s="45">
        <v>431696</v>
      </c>
      <c r="P87" s="45"/>
      <c r="Q87" s="45">
        <v>676215</v>
      </c>
      <c r="R87" s="45"/>
      <c r="S87" s="44">
        <f t="shared" si="4"/>
        <v>672401</v>
      </c>
      <c r="T87" s="45"/>
      <c r="U87" s="45">
        <v>12175891</v>
      </c>
      <c r="V87" s="44"/>
      <c r="W87" s="45">
        <v>1582445</v>
      </c>
    </row>
    <row r="88" spans="1:23" s="116" customFormat="1" ht="12.75" customHeight="1">
      <c r="A88" s="44" t="s">
        <v>112</v>
      </c>
      <c r="C88" s="44" t="s">
        <v>76</v>
      </c>
      <c r="D88" s="35"/>
      <c r="E88" s="45">
        <v>1021873</v>
      </c>
      <c r="F88" s="45"/>
      <c r="G88" s="45">
        <v>7759220</v>
      </c>
      <c r="H88" s="45"/>
      <c r="I88" s="45">
        <v>0</v>
      </c>
      <c r="J88" s="45"/>
      <c r="K88" s="45">
        <v>458860</v>
      </c>
      <c r="L88" s="45"/>
      <c r="M88" s="45">
        <v>2634340</v>
      </c>
      <c r="N88" s="45"/>
      <c r="O88" s="45">
        <v>80451</v>
      </c>
      <c r="P88" s="45"/>
      <c r="Q88" s="45">
        <f>8152+380585</f>
        <v>388737</v>
      </c>
      <c r="R88" s="45"/>
      <c r="S88" s="44">
        <f t="shared" si="4"/>
        <v>292807</v>
      </c>
      <c r="T88" s="45"/>
      <c r="U88" s="45">
        <v>12636288</v>
      </c>
      <c r="V88" s="44"/>
      <c r="W88" s="45">
        <v>7652000</v>
      </c>
    </row>
    <row r="89" spans="1:23" s="116" customFormat="1" ht="12.75" customHeight="1">
      <c r="A89" s="44" t="s">
        <v>113</v>
      </c>
      <c r="C89" s="44" t="s">
        <v>43</v>
      </c>
      <c r="D89" s="35"/>
      <c r="E89" s="45">
        <v>2140235</v>
      </c>
      <c r="F89" s="45"/>
      <c r="G89" s="45">
        <v>13838380</v>
      </c>
      <c r="H89" s="45"/>
      <c r="I89" s="45">
        <v>901175</v>
      </c>
      <c r="J89" s="45"/>
      <c r="K89" s="45">
        <v>3542692</v>
      </c>
      <c r="L89" s="45"/>
      <c r="M89" s="45">
        <v>6782304</v>
      </c>
      <c r="N89" s="45"/>
      <c r="O89" s="45">
        <v>0</v>
      </c>
      <c r="P89" s="45"/>
      <c r="Q89" s="45">
        <f>343701+535885</f>
        <v>879586</v>
      </c>
      <c r="R89" s="45"/>
      <c r="S89" s="44">
        <f t="shared" si="4"/>
        <v>3878207</v>
      </c>
      <c r="T89" s="45"/>
      <c r="U89" s="45">
        <v>31962579</v>
      </c>
      <c r="V89" s="44"/>
      <c r="W89" s="45">
        <f>2012348+558148+43977</f>
        <v>2614473</v>
      </c>
    </row>
    <row r="90" spans="1:23" s="116" customFormat="1" ht="12.75" customHeight="1">
      <c r="A90" s="44" t="s">
        <v>489</v>
      </c>
      <c r="C90" s="44" t="s">
        <v>57</v>
      </c>
      <c r="D90" s="35"/>
      <c r="E90" s="45">
        <v>452662</v>
      </c>
      <c r="F90" s="45"/>
      <c r="G90" s="45">
        <v>3877740</v>
      </c>
      <c r="H90" s="45"/>
      <c r="I90" s="45">
        <v>646680</v>
      </c>
      <c r="J90" s="45"/>
      <c r="K90" s="45">
        <v>1145558</v>
      </c>
      <c r="L90" s="45"/>
      <c r="M90" s="45">
        <v>1769160</v>
      </c>
      <c r="N90" s="45"/>
      <c r="O90" s="45">
        <v>0</v>
      </c>
      <c r="P90" s="45"/>
      <c r="Q90" s="45">
        <f>165934+30447</f>
        <v>196381</v>
      </c>
      <c r="R90" s="45"/>
      <c r="S90" s="44">
        <f t="shared" si="4"/>
        <v>838915</v>
      </c>
      <c r="T90" s="45"/>
      <c r="U90" s="45">
        <v>8927096</v>
      </c>
      <c r="V90" s="44"/>
      <c r="W90" s="45">
        <v>1315799</v>
      </c>
    </row>
    <row r="91" spans="1:23" s="116" customFormat="1" ht="12.75" customHeight="1">
      <c r="A91" s="44" t="s">
        <v>114</v>
      </c>
      <c r="C91" s="44" t="s">
        <v>27</v>
      </c>
      <c r="D91" s="35"/>
      <c r="E91" s="45">
        <v>12379221</v>
      </c>
      <c r="F91" s="45"/>
      <c r="G91" s="45">
        <v>10077880</v>
      </c>
      <c r="H91" s="45"/>
      <c r="I91" s="45">
        <v>0</v>
      </c>
      <c r="J91" s="45"/>
      <c r="K91" s="45">
        <v>3223875</v>
      </c>
      <c r="L91" s="45"/>
      <c r="M91" s="45">
        <v>5100194</v>
      </c>
      <c r="N91" s="45"/>
      <c r="O91" s="45">
        <v>231595</v>
      </c>
      <c r="P91" s="45"/>
      <c r="Q91" s="45">
        <f>409670+1879488</f>
        <v>2289158</v>
      </c>
      <c r="R91" s="45"/>
      <c r="S91" s="44">
        <f t="shared" si="4"/>
        <v>2329715</v>
      </c>
      <c r="T91" s="45"/>
      <c r="U91" s="45">
        <v>35631638</v>
      </c>
      <c r="V91" s="44"/>
      <c r="W91" s="45">
        <f>11016000+10625000+182596+3559927</f>
        <v>25383523</v>
      </c>
    </row>
    <row r="92" spans="1:23" s="116" customFormat="1" ht="12.75" customHeight="1">
      <c r="A92" s="44" t="s">
        <v>115</v>
      </c>
      <c r="C92" s="44" t="s">
        <v>19</v>
      </c>
      <c r="D92" s="35"/>
      <c r="E92" s="45">
        <v>554916</v>
      </c>
      <c r="F92" s="45"/>
      <c r="G92" s="45">
        <v>2588397</v>
      </c>
      <c r="H92" s="45"/>
      <c r="I92" s="45">
        <v>0</v>
      </c>
      <c r="J92" s="45"/>
      <c r="K92" s="45">
        <v>283457</v>
      </c>
      <c r="L92" s="45"/>
      <c r="M92" s="45">
        <v>1551527</v>
      </c>
      <c r="N92" s="45"/>
      <c r="O92" s="45">
        <v>334233</v>
      </c>
      <c r="P92" s="45"/>
      <c r="Q92" s="45">
        <v>266422</v>
      </c>
      <c r="R92" s="45"/>
      <c r="S92" s="44">
        <f t="shared" si="4"/>
        <v>48139</v>
      </c>
      <c r="T92" s="45"/>
      <c r="U92" s="45">
        <v>5627091</v>
      </c>
      <c r="V92" s="44"/>
      <c r="W92" s="45">
        <f>117794+912747</f>
        <v>1030541</v>
      </c>
    </row>
    <row r="93" spans="1:23" s="116" customFormat="1" ht="12.75" customHeight="1">
      <c r="A93" s="44" t="s">
        <v>116</v>
      </c>
      <c r="C93" s="44" t="s">
        <v>80</v>
      </c>
      <c r="D93" s="35"/>
      <c r="E93" s="45">
        <v>1029472</v>
      </c>
      <c r="F93" s="45"/>
      <c r="G93" s="45">
        <v>2841973</v>
      </c>
      <c r="H93" s="45"/>
      <c r="I93" s="45">
        <v>0</v>
      </c>
      <c r="J93" s="45"/>
      <c r="K93" s="45">
        <v>82918</v>
      </c>
      <c r="L93" s="45"/>
      <c r="M93" s="45">
        <v>2358385</v>
      </c>
      <c r="N93" s="45"/>
      <c r="O93" s="45">
        <v>14897</v>
      </c>
      <c r="P93" s="45"/>
      <c r="Q93" s="45">
        <f>482551+1186190</f>
        <v>1668741</v>
      </c>
      <c r="R93" s="45"/>
      <c r="S93" s="44">
        <f t="shared" si="4"/>
        <v>185046</v>
      </c>
      <c r="T93" s="45"/>
      <c r="U93" s="45">
        <v>8181432</v>
      </c>
      <c r="V93" s="44"/>
      <c r="W93" s="45">
        <v>58000</v>
      </c>
    </row>
    <row r="94" spans="1:23" s="116" customFormat="1" ht="12.75" customHeight="1">
      <c r="A94" s="44" t="s">
        <v>117</v>
      </c>
      <c r="C94" s="44" t="s">
        <v>43</v>
      </c>
      <c r="D94" s="35"/>
      <c r="E94" s="45">
        <v>1635865</v>
      </c>
      <c r="F94" s="45"/>
      <c r="G94" s="45">
        <v>4748687</v>
      </c>
      <c r="H94" s="45"/>
      <c r="I94" s="45">
        <v>0</v>
      </c>
      <c r="J94" s="45"/>
      <c r="K94" s="45">
        <v>1196115</v>
      </c>
      <c r="L94" s="45"/>
      <c r="M94" s="45">
        <v>4619688</v>
      </c>
      <c r="N94" s="45"/>
      <c r="O94" s="45">
        <v>0</v>
      </c>
      <c r="P94" s="45"/>
      <c r="Q94" s="45">
        <f>169856+116995</f>
        <v>286851</v>
      </c>
      <c r="R94" s="45"/>
      <c r="S94" s="44">
        <f t="shared" si="4"/>
        <v>172940</v>
      </c>
      <c r="T94" s="45"/>
      <c r="U94" s="45">
        <v>12660146</v>
      </c>
      <c r="V94" s="44"/>
      <c r="W94" s="45">
        <v>498229</v>
      </c>
    </row>
    <row r="95" spans="1:23" s="116" customFormat="1" ht="12.75" customHeight="1">
      <c r="A95" s="46" t="s">
        <v>118</v>
      </c>
      <c r="B95" s="117"/>
      <c r="C95" s="46" t="s">
        <v>13</v>
      </c>
      <c r="D95" s="35"/>
      <c r="E95" s="45">
        <v>1638523</v>
      </c>
      <c r="F95" s="45"/>
      <c r="G95" s="45">
        <v>17159840</v>
      </c>
      <c r="H95" s="45"/>
      <c r="I95" s="45">
        <v>373103</v>
      </c>
      <c r="J95" s="45"/>
      <c r="K95" s="45">
        <v>948034</v>
      </c>
      <c r="L95" s="45"/>
      <c r="M95" s="45">
        <v>4814148</v>
      </c>
      <c r="N95" s="45"/>
      <c r="O95" s="45">
        <v>70006</v>
      </c>
      <c r="P95" s="45"/>
      <c r="Q95" s="45">
        <f>485419+28814</f>
        <v>514233</v>
      </c>
      <c r="R95" s="45"/>
      <c r="S95" s="44">
        <f t="shared" si="4"/>
        <v>2375613</v>
      </c>
      <c r="T95" s="45"/>
      <c r="U95" s="45">
        <v>27893500</v>
      </c>
      <c r="V95" s="44"/>
      <c r="W95" s="45">
        <f>172652+8870832+105799+12450000</f>
        <v>21599283</v>
      </c>
    </row>
    <row r="96" spans="1:23" s="116" customFormat="1" ht="12.75" customHeight="1">
      <c r="A96" s="44" t="s">
        <v>120</v>
      </c>
      <c r="C96" s="44" t="s">
        <v>121</v>
      </c>
      <c r="D96" s="35"/>
      <c r="E96" s="45">
        <v>1523171</v>
      </c>
      <c r="F96" s="45"/>
      <c r="G96" s="45">
        <v>5528801</v>
      </c>
      <c r="H96" s="45"/>
      <c r="I96" s="45">
        <v>0</v>
      </c>
      <c r="J96" s="45"/>
      <c r="K96" s="45">
        <v>238155</v>
      </c>
      <c r="L96" s="45"/>
      <c r="M96" s="45">
        <v>2294125</v>
      </c>
      <c r="N96" s="45"/>
      <c r="O96" s="45">
        <v>13750</v>
      </c>
      <c r="P96" s="45"/>
      <c r="Q96" s="45">
        <f>102079+114439</f>
        <v>216518</v>
      </c>
      <c r="R96" s="45"/>
      <c r="S96" s="44">
        <f t="shared" si="4"/>
        <v>470216</v>
      </c>
      <c r="T96" s="45"/>
      <c r="U96" s="45">
        <v>10284736</v>
      </c>
      <c r="V96" s="44"/>
      <c r="W96" s="45">
        <v>1526890</v>
      </c>
    </row>
    <row r="97" spans="1:23" s="116" customFormat="1" ht="12.75" customHeight="1">
      <c r="A97" s="44" t="s">
        <v>122</v>
      </c>
      <c r="C97" s="44" t="s">
        <v>43</v>
      </c>
      <c r="D97" s="35"/>
      <c r="E97" s="45">
        <v>2968884</v>
      </c>
      <c r="F97" s="45"/>
      <c r="G97" s="45">
        <v>17569012</v>
      </c>
      <c r="H97" s="45"/>
      <c r="I97" s="45">
        <v>1109832</v>
      </c>
      <c r="J97" s="45"/>
      <c r="K97" s="45">
        <v>1332140</v>
      </c>
      <c r="L97" s="45"/>
      <c r="M97" s="45">
        <v>9060831</v>
      </c>
      <c r="N97" s="45"/>
      <c r="O97" s="45">
        <v>118058</v>
      </c>
      <c r="P97" s="45"/>
      <c r="Q97" s="45">
        <f>619645+386078</f>
        <v>1005723</v>
      </c>
      <c r="R97" s="45"/>
      <c r="S97" s="44">
        <f t="shared" si="4"/>
        <v>5009430</v>
      </c>
      <c r="T97" s="45"/>
      <c r="U97" s="45">
        <v>38173910</v>
      </c>
      <c r="V97" s="44"/>
      <c r="W97" s="45">
        <f>25196+7934022</f>
        <v>7959218</v>
      </c>
    </row>
    <row r="98" spans="1:23" s="116" customFormat="1" ht="12.75" customHeight="1">
      <c r="A98" s="44" t="s">
        <v>45</v>
      </c>
      <c r="C98" s="44" t="s">
        <v>103</v>
      </c>
      <c r="D98" s="35"/>
      <c r="E98" s="45">
        <v>9585954</v>
      </c>
      <c r="F98" s="45"/>
      <c r="G98" s="45">
        <v>22340447</v>
      </c>
      <c r="H98" s="45"/>
      <c r="I98" s="45">
        <v>0</v>
      </c>
      <c r="J98" s="45"/>
      <c r="K98" s="45">
        <v>1218069</v>
      </c>
      <c r="L98" s="45"/>
      <c r="M98" s="45">
        <v>15353253</v>
      </c>
      <c r="N98" s="45"/>
      <c r="O98" s="45">
        <v>686661</v>
      </c>
      <c r="P98" s="45"/>
      <c r="Q98" s="45">
        <f>1026594+1017725</f>
        <v>2044319</v>
      </c>
      <c r="R98" s="45"/>
      <c r="S98" s="44">
        <f t="shared" si="4"/>
        <v>12035962</v>
      </c>
      <c r="T98" s="45"/>
      <c r="U98" s="45">
        <v>63264665</v>
      </c>
      <c r="V98" s="44"/>
      <c r="W98" s="45">
        <f>42805+5275986</f>
        <v>5318791</v>
      </c>
    </row>
    <row r="99" spans="1:23" s="116" customFormat="1" ht="12.75" customHeight="1">
      <c r="A99" s="44" t="s">
        <v>123</v>
      </c>
      <c r="C99" s="44" t="s">
        <v>45</v>
      </c>
      <c r="D99" s="35"/>
      <c r="E99" s="45">
        <v>2382450</v>
      </c>
      <c r="F99" s="45"/>
      <c r="G99" s="45">
        <v>2927922</v>
      </c>
      <c r="H99" s="45"/>
      <c r="I99" s="45">
        <v>0</v>
      </c>
      <c r="J99" s="45"/>
      <c r="K99" s="45">
        <v>968302</v>
      </c>
      <c r="L99" s="45"/>
      <c r="M99" s="45">
        <v>1736023</v>
      </c>
      <c r="N99" s="45"/>
      <c r="O99" s="45">
        <v>0</v>
      </c>
      <c r="P99" s="45"/>
      <c r="Q99" s="45">
        <f>229666+177223</f>
        <v>406889</v>
      </c>
      <c r="R99" s="45"/>
      <c r="S99" s="44">
        <f t="shared" si="4"/>
        <v>433658</v>
      </c>
      <c r="T99" s="45"/>
      <c r="U99" s="45">
        <v>8855244</v>
      </c>
      <c r="V99" s="44"/>
      <c r="W99" s="45">
        <f>2115734+65051+325430</f>
        <v>2506215</v>
      </c>
    </row>
    <row r="100" spans="1:23" s="116" customFormat="1" ht="12.75" customHeight="1">
      <c r="A100" s="44" t="s">
        <v>124</v>
      </c>
      <c r="C100" s="44" t="s">
        <v>125</v>
      </c>
      <c r="D100" s="35"/>
      <c r="E100" s="45">
        <v>6076179</v>
      </c>
      <c r="F100" s="45"/>
      <c r="G100" s="45">
        <v>0</v>
      </c>
      <c r="H100" s="45"/>
      <c r="I100" s="45">
        <v>0</v>
      </c>
      <c r="J100" s="45"/>
      <c r="K100" s="45">
        <v>921061</v>
      </c>
      <c r="L100" s="45"/>
      <c r="M100" s="45">
        <v>1813302</v>
      </c>
      <c r="N100" s="45"/>
      <c r="O100" s="45">
        <v>0</v>
      </c>
      <c r="P100" s="45"/>
      <c r="Q100" s="45">
        <f>40464+160386</f>
        <v>200850</v>
      </c>
      <c r="R100" s="45"/>
      <c r="S100" s="44">
        <f t="shared" si="4"/>
        <v>202991</v>
      </c>
      <c r="T100" s="45"/>
      <c r="U100" s="45">
        <v>9214383</v>
      </c>
      <c r="V100" s="44"/>
      <c r="W100" s="45">
        <v>684767</v>
      </c>
    </row>
    <row r="101" spans="1:23" s="116" customFormat="1" ht="12.75" customHeight="1">
      <c r="A101" s="44" t="s">
        <v>126</v>
      </c>
      <c r="C101" s="44" t="s">
        <v>27</v>
      </c>
      <c r="D101" s="35"/>
      <c r="E101" s="45">
        <v>1416591</v>
      </c>
      <c r="F101" s="45"/>
      <c r="G101" s="45">
        <v>10005283</v>
      </c>
      <c r="H101" s="45"/>
      <c r="I101" s="45">
        <v>84677</v>
      </c>
      <c r="J101" s="45"/>
      <c r="K101" s="45">
        <v>586290</v>
      </c>
      <c r="L101" s="45"/>
      <c r="M101" s="45">
        <v>1341448</v>
      </c>
      <c r="N101" s="45"/>
      <c r="O101" s="45">
        <v>972665</v>
      </c>
      <c r="P101" s="45"/>
      <c r="Q101" s="45">
        <v>377807</v>
      </c>
      <c r="R101" s="45"/>
      <c r="S101" s="44">
        <f t="shared" si="4"/>
        <v>176597</v>
      </c>
      <c r="T101" s="45"/>
      <c r="U101" s="45">
        <v>14961358</v>
      </c>
      <c r="V101" s="44"/>
      <c r="W101" s="45">
        <f>9404+1236174</f>
        <v>1245578</v>
      </c>
    </row>
    <row r="102" spans="1:23" s="116" customFormat="1" ht="12.75" customHeight="1">
      <c r="A102" s="44" t="s">
        <v>127</v>
      </c>
      <c r="C102" s="44" t="s">
        <v>43</v>
      </c>
      <c r="D102" s="35"/>
      <c r="E102" s="45">
        <v>1936497</v>
      </c>
      <c r="F102" s="45"/>
      <c r="G102" s="45">
        <v>16050554</v>
      </c>
      <c r="H102" s="45"/>
      <c r="I102" s="45">
        <v>2331405</v>
      </c>
      <c r="J102" s="45"/>
      <c r="K102" s="45">
        <v>4278597</v>
      </c>
      <c r="L102" s="45"/>
      <c r="M102" s="45">
        <v>7464964</v>
      </c>
      <c r="N102" s="45"/>
      <c r="O102" s="45">
        <v>813</v>
      </c>
      <c r="P102" s="45"/>
      <c r="Q102" s="45">
        <f>1745589+292669</f>
        <v>2038258</v>
      </c>
      <c r="R102" s="45"/>
      <c r="S102" s="44">
        <f t="shared" si="4"/>
        <v>532121</v>
      </c>
      <c r="T102" s="45"/>
      <c r="U102" s="45">
        <v>34633209</v>
      </c>
      <c r="V102" s="44"/>
      <c r="W102" s="45">
        <v>5414923</v>
      </c>
    </row>
    <row r="103" spans="1:23" s="116" customFormat="1" ht="12.75" customHeight="1">
      <c r="A103" s="44" t="s">
        <v>128</v>
      </c>
      <c r="C103" s="44" t="s">
        <v>119</v>
      </c>
      <c r="D103" s="35"/>
      <c r="E103" s="45">
        <v>3321871</v>
      </c>
      <c r="F103" s="45"/>
      <c r="G103" s="45">
        <v>0</v>
      </c>
      <c r="H103" s="45"/>
      <c r="I103" s="45">
        <v>0</v>
      </c>
      <c r="J103" s="45"/>
      <c r="K103" s="45">
        <v>634500</v>
      </c>
      <c r="L103" s="45"/>
      <c r="M103" s="45">
        <v>954687</v>
      </c>
      <c r="N103" s="45"/>
      <c r="O103" s="45">
        <v>0</v>
      </c>
      <c r="P103" s="45"/>
      <c r="Q103" s="45">
        <f>71593+335079</f>
        <v>406672</v>
      </c>
      <c r="R103" s="45"/>
      <c r="S103" s="44">
        <f t="shared" si="4"/>
        <v>146314</v>
      </c>
      <c r="T103" s="45"/>
      <c r="U103" s="45">
        <v>5464044</v>
      </c>
      <c r="V103" s="44"/>
      <c r="W103" s="45">
        <f>872228+89840</f>
        <v>962068</v>
      </c>
    </row>
    <row r="104" spans="1:23" s="116" customFormat="1" ht="12.75" customHeight="1">
      <c r="A104" s="44" t="s">
        <v>129</v>
      </c>
      <c r="C104" s="44" t="s">
        <v>80</v>
      </c>
      <c r="D104" s="35"/>
      <c r="E104" s="45">
        <v>318464</v>
      </c>
      <c r="F104" s="45"/>
      <c r="G104" s="45">
        <v>1936008</v>
      </c>
      <c r="H104" s="45"/>
      <c r="I104" s="45">
        <v>0</v>
      </c>
      <c r="J104" s="45"/>
      <c r="K104" s="45">
        <v>10026</v>
      </c>
      <c r="L104" s="45"/>
      <c r="M104" s="45">
        <v>701929</v>
      </c>
      <c r="N104" s="45"/>
      <c r="O104" s="45">
        <v>0</v>
      </c>
      <c r="P104" s="45"/>
      <c r="Q104" s="45">
        <f>107927+36138</f>
        <v>144065</v>
      </c>
      <c r="R104" s="45"/>
      <c r="S104" s="44">
        <f t="shared" si="4"/>
        <v>168450</v>
      </c>
      <c r="T104" s="45"/>
      <c r="U104" s="45">
        <v>3278942</v>
      </c>
      <c r="V104" s="44"/>
      <c r="W104" s="45">
        <v>825641</v>
      </c>
    </row>
    <row r="105" spans="1:23" s="116" customFormat="1" ht="12.75" customHeight="1">
      <c r="A105" s="44" t="s">
        <v>130</v>
      </c>
      <c r="B105" s="118"/>
      <c r="C105" s="44" t="s">
        <v>66</v>
      </c>
      <c r="D105" s="35"/>
      <c r="E105" s="45">
        <v>3956343</v>
      </c>
      <c r="F105" s="45"/>
      <c r="G105" s="45">
        <v>12957248</v>
      </c>
      <c r="H105" s="45"/>
      <c r="I105" s="45">
        <v>0</v>
      </c>
      <c r="J105" s="45"/>
      <c r="K105" s="45">
        <v>1238250</v>
      </c>
      <c r="L105" s="45"/>
      <c r="M105" s="45">
        <v>4636687</v>
      </c>
      <c r="N105" s="45"/>
      <c r="O105" s="45">
        <v>815286</v>
      </c>
      <c r="P105" s="45"/>
      <c r="Q105" s="45">
        <v>206919</v>
      </c>
      <c r="R105" s="45"/>
      <c r="S105" s="44">
        <f t="shared" si="4"/>
        <v>1914751</v>
      </c>
      <c r="T105" s="45"/>
      <c r="U105" s="45">
        <v>25725484</v>
      </c>
      <c r="V105" s="44"/>
      <c r="W105" s="45">
        <f>305000+9045000+657441+36356+26402+9136383</f>
        <v>19206582</v>
      </c>
    </row>
    <row r="106" spans="1:23" s="116" customFormat="1" ht="12.75" customHeight="1">
      <c r="A106" s="44" t="s">
        <v>131</v>
      </c>
      <c r="C106" s="44" t="s">
        <v>13</v>
      </c>
      <c r="D106" s="35"/>
      <c r="E106" s="45">
        <v>4582312</v>
      </c>
      <c r="F106" s="45"/>
      <c r="G106" s="45">
        <v>15715487</v>
      </c>
      <c r="H106" s="45"/>
      <c r="I106" s="45">
        <v>0</v>
      </c>
      <c r="J106" s="45"/>
      <c r="K106" s="45">
        <v>1131182</v>
      </c>
      <c r="L106" s="45"/>
      <c r="M106" s="45">
        <v>5214004</v>
      </c>
      <c r="N106" s="45"/>
      <c r="O106" s="45">
        <v>420598</v>
      </c>
      <c r="P106" s="45"/>
      <c r="Q106" s="45">
        <v>74941</v>
      </c>
      <c r="R106" s="45"/>
      <c r="S106" s="44">
        <f t="shared" si="4"/>
        <v>1363109</v>
      </c>
      <c r="T106" s="45"/>
      <c r="U106" s="45">
        <v>28501633</v>
      </c>
      <c r="V106" s="44"/>
      <c r="W106" s="45">
        <f>32898+5018147+40608</f>
        <v>5091653</v>
      </c>
    </row>
    <row r="107" spans="1:23" s="116" customFormat="1" ht="12.75" customHeight="1">
      <c r="A107" s="44" t="s">
        <v>38</v>
      </c>
      <c r="C107" s="44" t="s">
        <v>132</v>
      </c>
      <c r="D107" s="35"/>
      <c r="E107" s="45">
        <v>869908</v>
      </c>
      <c r="F107" s="45"/>
      <c r="G107" s="45">
        <v>2002829</v>
      </c>
      <c r="H107" s="45"/>
      <c r="I107" s="45">
        <v>0</v>
      </c>
      <c r="J107" s="45"/>
      <c r="K107" s="45">
        <v>1258740</v>
      </c>
      <c r="L107" s="45"/>
      <c r="M107" s="45">
        <v>3962753</v>
      </c>
      <c r="N107" s="45"/>
      <c r="O107" s="45">
        <v>186023</v>
      </c>
      <c r="P107" s="45"/>
      <c r="Q107" s="45">
        <f>99030+361789</f>
        <v>460819</v>
      </c>
      <c r="R107" s="45"/>
      <c r="S107" s="44">
        <f t="shared" si="4"/>
        <v>245161</v>
      </c>
      <c r="T107" s="45"/>
      <c r="U107" s="45">
        <v>8986233</v>
      </c>
      <c r="V107" s="44"/>
      <c r="W107" s="45">
        <v>1356293</v>
      </c>
    </row>
    <row r="108" spans="1:23" s="116" customFormat="1" ht="12.75" customHeight="1">
      <c r="A108" s="44" t="s">
        <v>133</v>
      </c>
      <c r="C108" s="44" t="s">
        <v>27</v>
      </c>
      <c r="D108" s="35"/>
      <c r="E108" s="45">
        <v>1257814</v>
      </c>
      <c r="F108" s="45"/>
      <c r="G108" s="45">
        <v>22251649</v>
      </c>
      <c r="H108" s="45"/>
      <c r="I108" s="45">
        <f>981164+15273</f>
        <v>996437</v>
      </c>
      <c r="J108" s="45"/>
      <c r="K108" s="45">
        <v>393243</v>
      </c>
      <c r="L108" s="45"/>
      <c r="M108" s="45">
        <v>1802980</v>
      </c>
      <c r="N108" s="45"/>
      <c r="O108" s="45">
        <v>58064</v>
      </c>
      <c r="P108" s="45"/>
      <c r="Q108" s="45">
        <f>749258+552602</f>
        <v>1301860</v>
      </c>
      <c r="R108" s="45"/>
      <c r="S108" s="44">
        <f t="shared" si="4"/>
        <v>1828515</v>
      </c>
      <c r="T108" s="45"/>
      <c r="U108" s="45">
        <v>29890562</v>
      </c>
      <c r="V108" s="44"/>
      <c r="W108" s="45">
        <f>7700000+44044+8376500</f>
        <v>16120544</v>
      </c>
    </row>
    <row r="109" spans="1:23" s="116" customFormat="1" ht="12.75" customHeight="1">
      <c r="A109" s="44" t="s">
        <v>482</v>
      </c>
      <c r="C109" s="44" t="s">
        <v>45</v>
      </c>
      <c r="D109" s="35"/>
      <c r="E109" s="45">
        <v>835064</v>
      </c>
      <c r="F109" s="45"/>
      <c r="G109" s="45">
        <v>5504178</v>
      </c>
      <c r="H109" s="45"/>
      <c r="I109" s="45">
        <v>0</v>
      </c>
      <c r="J109" s="45"/>
      <c r="K109" s="45">
        <v>420198</v>
      </c>
      <c r="L109" s="45"/>
      <c r="M109" s="45">
        <v>4991136</v>
      </c>
      <c r="N109" s="45"/>
      <c r="O109" s="45">
        <v>0</v>
      </c>
      <c r="P109" s="45"/>
      <c r="Q109" s="45">
        <f>400+49303</f>
        <v>49703</v>
      </c>
      <c r="R109" s="45"/>
      <c r="S109" s="44">
        <f t="shared" si="4"/>
        <v>759987</v>
      </c>
      <c r="T109" s="45"/>
      <c r="U109" s="45">
        <v>12560266</v>
      </c>
      <c r="V109" s="44"/>
      <c r="W109" s="45">
        <v>6056570</v>
      </c>
    </row>
    <row r="110" spans="1:23" s="116" customFormat="1" ht="12.75" customHeight="1">
      <c r="A110" s="44" t="s">
        <v>136</v>
      </c>
      <c r="C110" s="44" t="s">
        <v>136</v>
      </c>
      <c r="D110" s="35"/>
      <c r="E110" s="45">
        <v>818553</v>
      </c>
      <c r="F110" s="45"/>
      <c r="G110" s="45">
        <v>0</v>
      </c>
      <c r="H110" s="45"/>
      <c r="I110" s="45">
        <v>735113</v>
      </c>
      <c r="J110" s="45"/>
      <c r="K110" s="45">
        <v>1949500</v>
      </c>
      <c r="L110" s="45"/>
      <c r="M110" s="45">
        <v>1321730</v>
      </c>
      <c r="N110" s="45"/>
      <c r="O110" s="45">
        <v>0</v>
      </c>
      <c r="P110" s="45"/>
      <c r="Q110" s="45">
        <f>53211+91840</f>
        <v>145051</v>
      </c>
      <c r="R110" s="45"/>
      <c r="S110" s="44">
        <f t="shared" si="4"/>
        <v>784995</v>
      </c>
      <c r="T110" s="45"/>
      <c r="U110" s="45">
        <v>5754942</v>
      </c>
      <c r="V110" s="44"/>
      <c r="W110" s="45">
        <v>142246</v>
      </c>
    </row>
    <row r="111" spans="1:23" s="116" customFormat="1" ht="12.75" customHeight="1">
      <c r="A111" s="44" t="s">
        <v>137</v>
      </c>
      <c r="C111" s="44" t="s">
        <v>22</v>
      </c>
      <c r="D111" s="35"/>
      <c r="E111" s="45">
        <v>3188957</v>
      </c>
      <c r="F111" s="45"/>
      <c r="G111" s="45">
        <v>10497813</v>
      </c>
      <c r="H111" s="45"/>
      <c r="I111" s="45">
        <v>0</v>
      </c>
      <c r="J111" s="45"/>
      <c r="K111" s="45">
        <v>1710682</v>
      </c>
      <c r="L111" s="45"/>
      <c r="M111" s="45">
        <v>4933568</v>
      </c>
      <c r="N111" s="45"/>
      <c r="O111" s="45">
        <v>162134</v>
      </c>
      <c r="P111" s="45"/>
      <c r="Q111" s="45">
        <f>203840+215091</f>
        <v>418931</v>
      </c>
      <c r="R111" s="45"/>
      <c r="S111" s="44">
        <f t="shared" si="4"/>
        <v>486851</v>
      </c>
      <c r="T111" s="45"/>
      <c r="U111" s="45">
        <v>21398936</v>
      </c>
      <c r="V111" s="44"/>
      <c r="W111" s="45">
        <f>13720+10178069</f>
        <v>10191789</v>
      </c>
    </row>
    <row r="112" spans="1:23" s="134" customFormat="1" ht="12.75" hidden="1" customHeight="1">
      <c r="A112" s="121" t="s">
        <v>138</v>
      </c>
      <c r="C112" s="121" t="s">
        <v>139</v>
      </c>
      <c r="D112" s="126"/>
      <c r="E112" s="45">
        <v>0</v>
      </c>
      <c r="F112" s="45"/>
      <c r="G112" s="45">
        <v>0</v>
      </c>
      <c r="H112" s="45"/>
      <c r="I112" s="45">
        <v>0</v>
      </c>
      <c r="J112" s="45"/>
      <c r="K112" s="45">
        <v>0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4">
        <f t="shared" si="4"/>
        <v>0</v>
      </c>
      <c r="T112" s="45"/>
      <c r="U112" s="45">
        <v>0</v>
      </c>
      <c r="V112" s="44"/>
      <c r="W112" s="45">
        <v>0</v>
      </c>
    </row>
    <row r="113" spans="1:23" s="116" customFormat="1" ht="12.75" customHeight="1">
      <c r="A113" s="44" t="s">
        <v>140</v>
      </c>
      <c r="C113" s="44" t="s">
        <v>66</v>
      </c>
      <c r="D113" s="35"/>
      <c r="E113" s="45">
        <v>9391640</v>
      </c>
      <c r="F113" s="45"/>
      <c r="G113" s="45">
        <v>36417018</v>
      </c>
      <c r="H113" s="45"/>
      <c r="I113" s="45">
        <v>0</v>
      </c>
      <c r="J113" s="45"/>
      <c r="K113" s="45">
        <v>7730157</v>
      </c>
      <c r="L113" s="45"/>
      <c r="M113" s="45">
        <v>14648675</v>
      </c>
      <c r="N113" s="45"/>
      <c r="O113" s="45">
        <v>1019237</v>
      </c>
      <c r="P113" s="45"/>
      <c r="Q113" s="45">
        <f>491322+1835344</f>
        <v>2326666</v>
      </c>
      <c r="R113" s="45"/>
      <c r="S113" s="44">
        <f t="shared" si="4"/>
        <v>4665264</v>
      </c>
      <c r="T113" s="45"/>
      <c r="U113" s="45">
        <v>76198657</v>
      </c>
      <c r="V113" s="44"/>
      <c r="W113" s="45">
        <f>15221132+126073</f>
        <v>15347205</v>
      </c>
    </row>
    <row r="114" spans="1:23" s="116" customFormat="1" ht="12.75" customHeight="1">
      <c r="A114" s="44" t="s">
        <v>479</v>
      </c>
      <c r="C114" s="44" t="s">
        <v>92</v>
      </c>
      <c r="D114" s="35"/>
      <c r="E114" s="45">
        <v>1618639</v>
      </c>
      <c r="F114" s="45"/>
      <c r="G114" s="45">
        <v>2917190</v>
      </c>
      <c r="H114" s="45"/>
      <c r="I114" s="45">
        <v>0</v>
      </c>
      <c r="J114" s="45"/>
      <c r="K114" s="45">
        <v>296844</v>
      </c>
      <c r="L114" s="45"/>
      <c r="M114" s="45">
        <v>2439243</v>
      </c>
      <c r="N114" s="45"/>
      <c r="O114" s="45">
        <v>0</v>
      </c>
      <c r="P114" s="45"/>
      <c r="Q114" s="45">
        <f>19638+21544</f>
        <v>41182</v>
      </c>
      <c r="R114" s="45"/>
      <c r="S114" s="44">
        <f t="shared" si="4"/>
        <v>247538</v>
      </c>
      <c r="T114" s="45"/>
      <c r="U114" s="45">
        <v>7560636</v>
      </c>
      <c r="V114" s="44"/>
      <c r="W114" s="45">
        <f>3750+20312+135000+1380000+520046</f>
        <v>2059108</v>
      </c>
    </row>
    <row r="115" spans="1:23" s="116" customFormat="1" ht="12.75" customHeight="1">
      <c r="A115" s="44" t="s">
        <v>471</v>
      </c>
      <c r="C115" s="44"/>
      <c r="D115" s="3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4"/>
      <c r="T115" s="45"/>
      <c r="U115" s="45"/>
      <c r="V115" s="44"/>
      <c r="W115" s="48" t="s">
        <v>484</v>
      </c>
    </row>
    <row r="116" spans="1:23" s="116" customFormat="1" ht="12.75" customHeight="1">
      <c r="A116" s="44" t="s">
        <v>141</v>
      </c>
      <c r="C116" s="44" t="s">
        <v>27</v>
      </c>
      <c r="D116" s="35"/>
      <c r="E116" s="94">
        <v>12301006</v>
      </c>
      <c r="F116" s="94"/>
      <c r="G116" s="94">
        <v>17850439</v>
      </c>
      <c r="H116" s="94"/>
      <c r="I116" s="94">
        <v>0</v>
      </c>
      <c r="J116" s="94"/>
      <c r="K116" s="94">
        <v>3578550</v>
      </c>
      <c r="L116" s="94"/>
      <c r="M116" s="94">
        <v>14727449</v>
      </c>
      <c r="N116" s="94"/>
      <c r="O116" s="94">
        <v>47459</v>
      </c>
      <c r="P116" s="94"/>
      <c r="Q116" s="94">
        <f>1886868+1690587</f>
        <v>3577455</v>
      </c>
      <c r="R116" s="94"/>
      <c r="S116" s="46">
        <f t="shared" si="4"/>
        <v>953464</v>
      </c>
      <c r="T116" s="94"/>
      <c r="U116" s="94">
        <v>53035822</v>
      </c>
      <c r="V116" s="46"/>
      <c r="W116" s="94">
        <f>7771000+4000770</f>
        <v>11771770</v>
      </c>
    </row>
    <row r="117" spans="1:23" s="134" customFormat="1" ht="12.75" hidden="1" customHeight="1">
      <c r="A117" s="121" t="s">
        <v>142</v>
      </c>
      <c r="C117" s="121" t="s">
        <v>102</v>
      </c>
      <c r="D117" s="126"/>
      <c r="E117" s="127">
        <v>0</v>
      </c>
      <c r="F117" s="127"/>
      <c r="G117" s="127">
        <v>0</v>
      </c>
      <c r="H117" s="127"/>
      <c r="I117" s="127">
        <v>0</v>
      </c>
      <c r="J117" s="127"/>
      <c r="K117" s="127">
        <v>0</v>
      </c>
      <c r="L117" s="127"/>
      <c r="M117" s="127">
        <v>0</v>
      </c>
      <c r="N117" s="127"/>
      <c r="O117" s="127">
        <v>0</v>
      </c>
      <c r="P117" s="127"/>
      <c r="Q117" s="127">
        <v>0</v>
      </c>
      <c r="R117" s="127"/>
      <c r="S117" s="121">
        <f t="shared" si="4"/>
        <v>0</v>
      </c>
      <c r="T117" s="127"/>
      <c r="U117" s="127">
        <v>0</v>
      </c>
      <c r="V117" s="121"/>
      <c r="W117" s="127">
        <v>0</v>
      </c>
    </row>
    <row r="118" spans="1:23" s="116" customFormat="1" ht="12.75" customHeight="1">
      <c r="A118" s="44" t="s">
        <v>143</v>
      </c>
      <c r="C118" s="44" t="s">
        <v>111</v>
      </c>
      <c r="D118" s="35"/>
      <c r="E118" s="45">
        <v>3563064</v>
      </c>
      <c r="F118" s="45"/>
      <c r="G118" s="45">
        <v>5565246</v>
      </c>
      <c r="H118" s="45"/>
      <c r="I118" s="45">
        <v>1371120</v>
      </c>
      <c r="J118" s="45"/>
      <c r="K118" s="45">
        <v>2303809</v>
      </c>
      <c r="L118" s="45"/>
      <c r="M118" s="45">
        <v>2884405</v>
      </c>
      <c r="N118" s="45"/>
      <c r="O118" s="45">
        <v>0</v>
      </c>
      <c r="P118" s="45"/>
      <c r="Q118" s="45">
        <v>775800</v>
      </c>
      <c r="R118" s="45"/>
      <c r="S118" s="44">
        <f t="shared" si="4"/>
        <v>1754312</v>
      </c>
      <c r="T118" s="45"/>
      <c r="U118" s="45">
        <v>18217756</v>
      </c>
      <c r="V118" s="44"/>
      <c r="W118" s="45">
        <f>13700+1212115</f>
        <v>1225815</v>
      </c>
    </row>
    <row r="119" spans="1:23" s="116" customFormat="1" ht="12.75" customHeight="1">
      <c r="A119" s="44" t="s">
        <v>144</v>
      </c>
      <c r="C119" s="44" t="s">
        <v>88</v>
      </c>
      <c r="D119" s="35"/>
      <c r="E119" s="45">
        <v>1387801</v>
      </c>
      <c r="F119" s="45"/>
      <c r="G119" s="45">
        <v>14750034</v>
      </c>
      <c r="H119" s="45"/>
      <c r="I119" s="45">
        <v>151253</v>
      </c>
      <c r="J119" s="45"/>
      <c r="K119" s="45">
        <v>6087240</v>
      </c>
      <c r="L119" s="45"/>
      <c r="M119" s="45">
        <v>18932044</v>
      </c>
      <c r="N119" s="45"/>
      <c r="O119" s="45">
        <v>66606</v>
      </c>
      <c r="P119" s="45"/>
      <c r="Q119" s="45">
        <f>757283+1633111</f>
        <v>2390394</v>
      </c>
      <c r="R119" s="45"/>
      <c r="S119" s="44">
        <f t="shared" si="4"/>
        <v>199271</v>
      </c>
      <c r="T119" s="45"/>
      <c r="U119" s="45">
        <v>43964643</v>
      </c>
      <c r="V119" s="44"/>
      <c r="W119" s="45">
        <f>1901418+67470</f>
        <v>1968888</v>
      </c>
    </row>
    <row r="120" spans="1:23" s="116" customFormat="1" ht="12.75" customHeight="1">
      <c r="A120" s="44" t="s">
        <v>36</v>
      </c>
      <c r="C120" s="44" t="s">
        <v>145</v>
      </c>
      <c r="D120" s="35"/>
      <c r="E120" s="45">
        <v>510148</v>
      </c>
      <c r="F120" s="45"/>
      <c r="G120" s="45">
        <v>2639867</v>
      </c>
      <c r="H120" s="45"/>
      <c r="I120" s="45">
        <v>0</v>
      </c>
      <c r="J120" s="45"/>
      <c r="K120" s="45">
        <v>262053</v>
      </c>
      <c r="L120" s="45"/>
      <c r="M120" s="45">
        <v>1579706</v>
      </c>
      <c r="N120" s="45"/>
      <c r="O120" s="45">
        <v>0</v>
      </c>
      <c r="P120" s="45"/>
      <c r="Q120" s="45">
        <v>58094</v>
      </c>
      <c r="R120" s="45"/>
      <c r="S120" s="44">
        <f t="shared" si="4"/>
        <v>110469</v>
      </c>
      <c r="T120" s="45"/>
      <c r="U120" s="45">
        <v>5160337</v>
      </c>
      <c r="V120" s="44"/>
      <c r="W120" s="45">
        <f>20000+247576</f>
        <v>267576</v>
      </c>
    </row>
    <row r="121" spans="1:23" s="116" customFormat="1" ht="12.75" customHeight="1">
      <c r="A121" s="44" t="s">
        <v>146</v>
      </c>
      <c r="C121" s="44" t="s">
        <v>147</v>
      </c>
      <c r="D121" s="35"/>
      <c r="E121" s="45">
        <v>4478883</v>
      </c>
      <c r="F121" s="45"/>
      <c r="G121" s="45">
        <v>0</v>
      </c>
      <c r="H121" s="45"/>
      <c r="I121" s="45">
        <v>0</v>
      </c>
      <c r="J121" s="45"/>
      <c r="K121" s="45">
        <v>233284</v>
      </c>
      <c r="L121" s="45"/>
      <c r="M121" s="45">
        <v>1458945</v>
      </c>
      <c r="N121" s="45"/>
      <c r="O121" s="45">
        <v>86312</v>
      </c>
      <c r="P121" s="45"/>
      <c r="Q121" s="45">
        <v>198331</v>
      </c>
      <c r="R121" s="45"/>
      <c r="S121" s="44">
        <f t="shared" si="4"/>
        <v>283405</v>
      </c>
      <c r="T121" s="45"/>
      <c r="U121" s="45">
        <v>6739160</v>
      </c>
      <c r="V121" s="44"/>
      <c r="W121" s="45">
        <f>2800000+11452+538545</f>
        <v>3349997</v>
      </c>
    </row>
    <row r="122" spans="1:23" s="116" customFormat="1" ht="12.75" customHeight="1">
      <c r="A122" s="44" t="s">
        <v>17</v>
      </c>
      <c r="C122" s="44" t="s">
        <v>17</v>
      </c>
      <c r="D122" s="35"/>
      <c r="E122" s="45">
        <v>3946538</v>
      </c>
      <c r="F122" s="45"/>
      <c r="G122" s="45">
        <v>17030074</v>
      </c>
      <c r="H122" s="45"/>
      <c r="I122" s="45">
        <v>0</v>
      </c>
      <c r="J122" s="45"/>
      <c r="K122" s="45">
        <v>1745691</v>
      </c>
      <c r="L122" s="45"/>
      <c r="M122" s="45">
        <v>15476834</v>
      </c>
      <c r="N122" s="45"/>
      <c r="O122" s="45">
        <v>52108</v>
      </c>
      <c r="P122" s="45"/>
      <c r="Q122" s="45">
        <f>1136780+1934753</f>
        <v>3071533</v>
      </c>
      <c r="R122" s="45"/>
      <c r="S122" s="44">
        <f t="shared" si="4"/>
        <v>3189076</v>
      </c>
      <c r="T122" s="45"/>
      <c r="U122" s="45">
        <v>44511854</v>
      </c>
      <c r="V122" s="44"/>
      <c r="W122" s="45">
        <f>16716+245000+300000+288520+2568242</f>
        <v>3418478</v>
      </c>
    </row>
    <row r="123" spans="1:23" s="116" customFormat="1" ht="12.75" customHeight="1">
      <c r="A123" s="44" t="s">
        <v>148</v>
      </c>
      <c r="C123" s="44" t="s">
        <v>15</v>
      </c>
      <c r="D123" s="35"/>
      <c r="E123" s="45">
        <v>467592</v>
      </c>
      <c r="F123" s="45"/>
      <c r="G123" s="45">
        <v>2491850</v>
      </c>
      <c r="H123" s="45"/>
      <c r="I123" s="45">
        <v>0</v>
      </c>
      <c r="J123" s="45"/>
      <c r="K123" s="45">
        <v>558729</v>
      </c>
      <c r="L123" s="45"/>
      <c r="M123" s="45">
        <v>1720154</v>
      </c>
      <c r="N123" s="45"/>
      <c r="O123" s="45">
        <v>0</v>
      </c>
      <c r="P123" s="45"/>
      <c r="Q123" s="45">
        <f>119316+18228</f>
        <v>137544</v>
      </c>
      <c r="R123" s="45"/>
      <c r="S123" s="44">
        <f t="shared" si="4"/>
        <v>104300</v>
      </c>
      <c r="T123" s="45"/>
      <c r="U123" s="45">
        <v>5480169</v>
      </c>
      <c r="V123" s="44"/>
      <c r="W123" s="45">
        <v>449260</v>
      </c>
    </row>
    <row r="124" spans="1:23" s="116" customFormat="1" ht="12.75" customHeight="1">
      <c r="A124" s="44" t="s">
        <v>149</v>
      </c>
      <c r="C124" s="44" t="s">
        <v>45</v>
      </c>
      <c r="D124" s="35"/>
      <c r="E124" s="45">
        <v>3457467</v>
      </c>
      <c r="F124" s="45"/>
      <c r="G124" s="45">
        <v>3483522</v>
      </c>
      <c r="H124" s="45"/>
      <c r="I124" s="45">
        <v>0</v>
      </c>
      <c r="J124" s="45"/>
      <c r="K124" s="45">
        <v>728500</v>
      </c>
      <c r="L124" s="45"/>
      <c r="M124" s="45">
        <v>2600644</v>
      </c>
      <c r="N124" s="45"/>
      <c r="O124" s="45">
        <v>35437</v>
      </c>
      <c r="P124" s="45"/>
      <c r="Q124" s="45">
        <f>95684+138239</f>
        <v>233923</v>
      </c>
      <c r="R124" s="45"/>
      <c r="S124" s="44">
        <f t="shared" si="4"/>
        <v>498790</v>
      </c>
      <c r="T124" s="45"/>
      <c r="U124" s="45">
        <v>11038283</v>
      </c>
      <c r="V124" s="44"/>
      <c r="W124" s="45">
        <f>90866+840449</f>
        <v>931315</v>
      </c>
    </row>
    <row r="125" spans="1:23" s="117" customFormat="1" ht="12.75" customHeight="1">
      <c r="A125" s="44" t="s">
        <v>150</v>
      </c>
      <c r="B125" s="116"/>
      <c r="C125" s="44" t="s">
        <v>27</v>
      </c>
      <c r="D125" s="35"/>
      <c r="E125" s="45">
        <v>4361081</v>
      </c>
      <c r="F125" s="45"/>
      <c r="G125" s="45">
        <v>6164594</v>
      </c>
      <c r="H125" s="45"/>
      <c r="I125" s="45">
        <v>136885</v>
      </c>
      <c r="J125" s="45"/>
      <c r="K125" s="45">
        <v>531591</v>
      </c>
      <c r="L125" s="45"/>
      <c r="M125" s="45">
        <v>4556346</v>
      </c>
      <c r="N125" s="45"/>
      <c r="O125" s="45">
        <v>1012079</v>
      </c>
      <c r="P125" s="45"/>
      <c r="Q125" s="45">
        <f>34602+1584893</f>
        <v>1619495</v>
      </c>
      <c r="R125" s="45"/>
      <c r="S125" s="44">
        <f t="shared" si="4"/>
        <v>395094</v>
      </c>
      <c r="T125" s="45"/>
      <c r="U125" s="45">
        <v>18777165</v>
      </c>
      <c r="V125" s="44"/>
      <c r="W125" s="45">
        <f>8441+1000000+830000</f>
        <v>1838441</v>
      </c>
    </row>
    <row r="126" spans="1:23" s="116" customFormat="1" ht="12.75" customHeight="1">
      <c r="A126" s="44" t="s">
        <v>151</v>
      </c>
      <c r="C126" s="44" t="s">
        <v>13</v>
      </c>
      <c r="D126" s="35"/>
      <c r="E126" s="45">
        <v>2298343</v>
      </c>
      <c r="F126" s="45"/>
      <c r="G126" s="45">
        <v>6182596</v>
      </c>
      <c r="H126" s="45"/>
      <c r="I126" s="45">
        <v>0</v>
      </c>
      <c r="J126" s="45"/>
      <c r="K126" s="45">
        <v>1745658</v>
      </c>
      <c r="L126" s="45"/>
      <c r="M126" s="45">
        <v>4579453</v>
      </c>
      <c r="N126" s="45"/>
      <c r="O126" s="45">
        <v>262338</v>
      </c>
      <c r="P126" s="45"/>
      <c r="Q126" s="45">
        <f>355598+415817</f>
        <v>771415</v>
      </c>
      <c r="R126" s="45"/>
      <c r="S126" s="44">
        <f t="shared" si="4"/>
        <v>366407</v>
      </c>
      <c r="T126" s="45"/>
      <c r="U126" s="45">
        <v>16206210</v>
      </c>
      <c r="V126" s="44"/>
      <c r="W126" s="45">
        <f>5130000+15150+1592653+144943</f>
        <v>6882746</v>
      </c>
    </row>
    <row r="127" spans="1:23" s="116" customFormat="1" ht="12.75" customHeight="1">
      <c r="A127" s="44" t="s">
        <v>481</v>
      </c>
      <c r="C127" s="44" t="s">
        <v>45</v>
      </c>
      <c r="D127" s="35"/>
      <c r="E127" s="45">
        <v>4207949</v>
      </c>
      <c r="F127" s="45"/>
      <c r="G127" s="45">
        <v>0</v>
      </c>
      <c r="H127" s="45"/>
      <c r="I127" s="45">
        <v>0</v>
      </c>
      <c r="J127" s="45"/>
      <c r="K127" s="45">
        <v>122935</v>
      </c>
      <c r="L127" s="45"/>
      <c r="M127" s="45">
        <v>3121478</v>
      </c>
      <c r="N127" s="45"/>
      <c r="O127" s="45">
        <v>0</v>
      </c>
      <c r="P127" s="45"/>
      <c r="Q127" s="45">
        <f>72382+108149</f>
        <v>180531</v>
      </c>
      <c r="R127" s="45"/>
      <c r="S127" s="44">
        <f t="shared" si="4"/>
        <v>424382</v>
      </c>
      <c r="T127" s="45"/>
      <c r="U127" s="45">
        <v>8057275</v>
      </c>
      <c r="V127" s="44"/>
      <c r="W127" s="45">
        <f>1200000+735011</f>
        <v>1935011</v>
      </c>
    </row>
    <row r="128" spans="1:23" s="118" customFormat="1" ht="12.75" customHeight="1">
      <c r="A128" s="44" t="s">
        <v>152</v>
      </c>
      <c r="B128" s="116"/>
      <c r="C128" s="44" t="s">
        <v>153</v>
      </c>
      <c r="D128" s="35"/>
      <c r="E128" s="45">
        <v>2445489</v>
      </c>
      <c r="F128" s="45"/>
      <c r="G128" s="45">
        <v>21595452</v>
      </c>
      <c r="H128" s="45"/>
      <c r="I128" s="45">
        <v>0</v>
      </c>
      <c r="J128" s="45"/>
      <c r="K128" s="45">
        <v>214192</v>
      </c>
      <c r="L128" s="45"/>
      <c r="M128" s="45">
        <v>18788739</v>
      </c>
      <c r="N128" s="45"/>
      <c r="O128" s="45">
        <v>49359</v>
      </c>
      <c r="P128" s="45"/>
      <c r="Q128" s="45">
        <f>597049+2830775</f>
        <v>3427824</v>
      </c>
      <c r="R128" s="45"/>
      <c r="S128" s="44">
        <f t="shared" si="4"/>
        <v>2969848</v>
      </c>
      <c r="T128" s="45"/>
      <c r="U128" s="45">
        <v>49490903</v>
      </c>
      <c r="V128" s="44"/>
      <c r="W128" s="45">
        <f>84756+1584644</f>
        <v>1669400</v>
      </c>
    </row>
    <row r="129" spans="1:24" s="116" customFormat="1" ht="12.75" customHeight="1">
      <c r="A129" s="44" t="s">
        <v>154</v>
      </c>
      <c r="C129" s="44" t="s">
        <v>27</v>
      </c>
      <c r="D129" s="35"/>
      <c r="E129" s="45">
        <v>5305871</v>
      </c>
      <c r="F129" s="45"/>
      <c r="G129" s="45">
        <v>6659281</v>
      </c>
      <c r="H129" s="45"/>
      <c r="I129" s="45">
        <v>5223</v>
      </c>
      <c r="J129" s="45"/>
      <c r="K129" s="45">
        <v>1634014</v>
      </c>
      <c r="L129" s="45"/>
      <c r="M129" s="45">
        <v>6309543</v>
      </c>
      <c r="N129" s="45"/>
      <c r="O129" s="45">
        <v>182212</v>
      </c>
      <c r="P129" s="45"/>
      <c r="Q129" s="45">
        <v>1984145</v>
      </c>
      <c r="R129" s="45"/>
      <c r="S129" s="44">
        <f t="shared" si="4"/>
        <v>390975</v>
      </c>
      <c r="T129" s="45"/>
      <c r="U129" s="45">
        <v>22471264</v>
      </c>
      <c r="V129" s="44"/>
      <c r="W129" s="45">
        <f>304490+12922911+80165+745712+8039097</f>
        <v>22092375</v>
      </c>
    </row>
    <row r="130" spans="1:24" s="116" customFormat="1" ht="12.75" customHeight="1">
      <c r="A130" s="44" t="s">
        <v>155</v>
      </c>
      <c r="C130" s="44" t="s">
        <v>40</v>
      </c>
      <c r="D130" s="35"/>
      <c r="E130" s="45">
        <v>524430</v>
      </c>
      <c r="F130" s="45"/>
      <c r="G130" s="45">
        <v>7724406</v>
      </c>
      <c r="H130" s="45"/>
      <c r="I130" s="45">
        <f>289188+33013+208378</f>
        <v>530579</v>
      </c>
      <c r="J130" s="45"/>
      <c r="K130" s="45">
        <v>2335835</v>
      </c>
      <c r="L130" s="45"/>
      <c r="M130" s="45">
        <v>7847240</v>
      </c>
      <c r="N130" s="45"/>
      <c r="O130" s="45">
        <v>0</v>
      </c>
      <c r="P130" s="45"/>
      <c r="Q130" s="45">
        <v>931375</v>
      </c>
      <c r="R130" s="45"/>
      <c r="S130" s="44">
        <f t="shared" si="4"/>
        <v>541721</v>
      </c>
      <c r="T130" s="45"/>
      <c r="U130" s="45">
        <v>20435586</v>
      </c>
      <c r="V130" s="44"/>
      <c r="W130" s="45">
        <f>494000+394423</f>
        <v>888423</v>
      </c>
    </row>
    <row r="131" spans="1:24" s="134" customFormat="1" ht="12.75" hidden="1" customHeight="1">
      <c r="A131" s="123" t="s">
        <v>156</v>
      </c>
      <c r="B131" s="155"/>
      <c r="C131" s="123" t="s">
        <v>156</v>
      </c>
      <c r="D131" s="126"/>
      <c r="E131" s="128">
        <v>0</v>
      </c>
      <c r="F131" s="128"/>
      <c r="G131" s="128">
        <v>0</v>
      </c>
      <c r="H131" s="128"/>
      <c r="I131" s="128">
        <v>0</v>
      </c>
      <c r="J131" s="128"/>
      <c r="K131" s="128">
        <v>0</v>
      </c>
      <c r="L131" s="128"/>
      <c r="M131" s="128">
        <v>0</v>
      </c>
      <c r="N131" s="128"/>
      <c r="O131" s="128">
        <v>0</v>
      </c>
      <c r="P131" s="128"/>
      <c r="Q131" s="128">
        <v>0</v>
      </c>
      <c r="R131" s="128"/>
      <c r="S131" s="123">
        <f t="shared" ref="S131" si="5">+U131-SUM(E131:Q131)</f>
        <v>0</v>
      </c>
      <c r="T131" s="128"/>
      <c r="U131" s="135">
        <v>0</v>
      </c>
      <c r="V131" s="123"/>
      <c r="W131" s="123">
        <v>0</v>
      </c>
    </row>
    <row r="132" spans="1:24" s="116" customFormat="1" ht="12.75" customHeight="1">
      <c r="A132" s="44" t="s">
        <v>157</v>
      </c>
      <c r="C132" s="44" t="s">
        <v>33</v>
      </c>
      <c r="D132" s="35"/>
      <c r="E132" s="45">
        <v>307484</v>
      </c>
      <c r="F132" s="45"/>
      <c r="G132" s="45">
        <v>1241164</v>
      </c>
      <c r="H132" s="45"/>
      <c r="I132" s="45">
        <v>0</v>
      </c>
      <c r="J132" s="45"/>
      <c r="K132" s="45">
        <v>810501</v>
      </c>
      <c r="L132" s="45"/>
      <c r="M132" s="45">
        <v>1195658</v>
      </c>
      <c r="N132" s="45"/>
      <c r="O132" s="45">
        <v>0</v>
      </c>
      <c r="P132" s="45"/>
      <c r="Q132" s="45">
        <f>107276+94199</f>
        <v>201475</v>
      </c>
      <c r="R132" s="45"/>
      <c r="S132" s="44">
        <f t="shared" ref="S132:S195" si="6">+U132-SUM(E132:Q132)</f>
        <v>182427</v>
      </c>
      <c r="T132" s="45"/>
      <c r="U132" s="45">
        <v>3938709</v>
      </c>
      <c r="V132" s="44"/>
      <c r="W132" s="45">
        <f>138000+89000+63977+61015</f>
        <v>351992</v>
      </c>
    </row>
    <row r="133" spans="1:24" s="116" customFormat="1" ht="12.75" customHeight="1">
      <c r="A133" s="44" t="s">
        <v>158</v>
      </c>
      <c r="C133" s="44" t="s">
        <v>159</v>
      </c>
      <c r="D133" s="35"/>
      <c r="E133" s="45">
        <v>1811948</v>
      </c>
      <c r="F133" s="45"/>
      <c r="G133" s="45">
        <v>10235375</v>
      </c>
      <c r="H133" s="45"/>
      <c r="I133" s="45">
        <v>931758</v>
      </c>
      <c r="J133" s="45"/>
      <c r="K133" s="45">
        <v>1580001</v>
      </c>
      <c r="L133" s="45"/>
      <c r="M133" s="45">
        <v>3772289</v>
      </c>
      <c r="N133" s="45"/>
      <c r="O133" s="45">
        <v>21510</v>
      </c>
      <c r="P133" s="45"/>
      <c r="Q133" s="45">
        <f>327127+720749</f>
        <v>1047876</v>
      </c>
      <c r="R133" s="45"/>
      <c r="S133" s="44">
        <f t="shared" si="6"/>
        <v>1346256</v>
      </c>
      <c r="T133" s="45"/>
      <c r="U133" s="45">
        <v>20747013</v>
      </c>
      <c r="V133" s="44"/>
      <c r="W133" s="45">
        <f>49+1851529</f>
        <v>1851578</v>
      </c>
      <c r="X133" s="118"/>
    </row>
    <row r="134" spans="1:24" s="117" customFormat="1" ht="12.75" customHeight="1">
      <c r="A134" s="46" t="s">
        <v>160</v>
      </c>
      <c r="C134" s="46" t="s">
        <v>111</v>
      </c>
      <c r="D134" s="64"/>
      <c r="E134" s="45">
        <v>25891786</v>
      </c>
      <c r="F134" s="45"/>
      <c r="G134" s="45">
        <v>0</v>
      </c>
      <c r="H134" s="45"/>
      <c r="I134" s="45">
        <v>0</v>
      </c>
      <c r="J134" s="45"/>
      <c r="K134" s="45">
        <v>1997882</v>
      </c>
      <c r="L134" s="45"/>
      <c r="M134" s="45">
        <v>7839983</v>
      </c>
      <c r="N134" s="45"/>
      <c r="O134" s="45">
        <v>86162</v>
      </c>
      <c r="P134" s="45"/>
      <c r="Q134" s="45">
        <v>2161872</v>
      </c>
      <c r="R134" s="45"/>
      <c r="S134" s="44">
        <f t="shared" si="6"/>
        <v>2080216</v>
      </c>
      <c r="T134" s="45"/>
      <c r="U134" s="45">
        <v>40057901</v>
      </c>
      <c r="V134" s="44"/>
      <c r="W134" s="45">
        <f>1550000+2140000+18325000+727118+1765820</f>
        <v>24507938</v>
      </c>
    </row>
    <row r="135" spans="1:24" s="116" customFormat="1" ht="12.75" customHeight="1">
      <c r="A135" s="44" t="s">
        <v>161</v>
      </c>
      <c r="C135" s="44" t="s">
        <v>15</v>
      </c>
      <c r="D135" s="35"/>
      <c r="E135" s="45">
        <v>1760943</v>
      </c>
      <c r="F135" s="45"/>
      <c r="G135" s="45">
        <v>13129483</v>
      </c>
      <c r="H135" s="45"/>
      <c r="I135" s="45">
        <v>0</v>
      </c>
      <c r="J135" s="45"/>
      <c r="K135" s="45">
        <v>1795748</v>
      </c>
      <c r="L135" s="45"/>
      <c r="M135" s="45">
        <v>6289104</v>
      </c>
      <c r="N135" s="45"/>
      <c r="O135" s="45">
        <v>65</v>
      </c>
      <c r="P135" s="45"/>
      <c r="Q135" s="45">
        <f>352620+1773583</f>
        <v>2126203</v>
      </c>
      <c r="R135" s="45"/>
      <c r="S135" s="44">
        <f t="shared" si="6"/>
        <v>953140</v>
      </c>
      <c r="T135" s="45"/>
      <c r="U135" s="45">
        <v>26054686</v>
      </c>
      <c r="V135" s="44"/>
      <c r="W135" s="45">
        <v>1766811</v>
      </c>
    </row>
    <row r="136" spans="1:24" s="116" customFormat="1" ht="12.75" customHeight="1">
      <c r="A136" s="44" t="s">
        <v>162</v>
      </c>
      <c r="C136" s="44" t="s">
        <v>163</v>
      </c>
      <c r="D136" s="35"/>
      <c r="E136" s="45">
        <v>3483894</v>
      </c>
      <c r="F136" s="45"/>
      <c r="G136" s="45">
        <v>14458832</v>
      </c>
      <c r="H136" s="45"/>
      <c r="I136" s="45">
        <v>0</v>
      </c>
      <c r="J136" s="45"/>
      <c r="K136" s="45">
        <v>1204405</v>
      </c>
      <c r="L136" s="45"/>
      <c r="M136" s="45">
        <v>4420801</v>
      </c>
      <c r="N136" s="45"/>
      <c r="O136" s="45">
        <v>409651</v>
      </c>
      <c r="P136" s="45"/>
      <c r="Q136" s="45">
        <f>175899+903699</f>
        <v>1079598</v>
      </c>
      <c r="R136" s="45"/>
      <c r="S136" s="44">
        <f t="shared" si="6"/>
        <v>981448</v>
      </c>
      <c r="T136" s="45"/>
      <c r="U136" s="45">
        <v>26038629</v>
      </c>
      <c r="V136" s="44"/>
      <c r="W136" s="45">
        <f>67434+14524697</f>
        <v>14592131</v>
      </c>
    </row>
    <row r="137" spans="1:24" s="116" customFormat="1" ht="12.75" customHeight="1">
      <c r="A137" s="44" t="s">
        <v>164</v>
      </c>
      <c r="C137" s="44" t="s">
        <v>27</v>
      </c>
      <c r="D137" s="35"/>
      <c r="E137" s="45">
        <v>4808062</v>
      </c>
      <c r="F137" s="45"/>
      <c r="G137" s="45">
        <v>10672503</v>
      </c>
      <c r="H137" s="45"/>
      <c r="I137" s="45">
        <v>162374</v>
      </c>
      <c r="J137" s="45"/>
      <c r="K137" s="45">
        <v>1230580</v>
      </c>
      <c r="L137" s="45"/>
      <c r="M137" s="45">
        <v>3327073</v>
      </c>
      <c r="N137" s="45"/>
      <c r="O137" s="45">
        <v>2646</v>
      </c>
      <c r="P137" s="45"/>
      <c r="Q137" s="45">
        <v>628305</v>
      </c>
      <c r="R137" s="45"/>
      <c r="S137" s="44">
        <f t="shared" si="6"/>
        <v>366533</v>
      </c>
      <c r="T137" s="45"/>
      <c r="U137" s="45">
        <v>21198076</v>
      </c>
      <c r="V137" s="44"/>
      <c r="W137" s="45">
        <f>24801+91041+3500000+1677500</f>
        <v>5293342</v>
      </c>
    </row>
    <row r="138" spans="1:24" s="116" customFormat="1" ht="12.75" customHeight="1">
      <c r="A138" s="44" t="s">
        <v>53</v>
      </c>
      <c r="C138" s="44" t="s">
        <v>53</v>
      </c>
      <c r="D138" s="35"/>
      <c r="E138" s="45">
        <v>2796918</v>
      </c>
      <c r="F138" s="45"/>
      <c r="G138" s="45">
        <v>11557603</v>
      </c>
      <c r="H138" s="45"/>
      <c r="I138" s="45">
        <v>697</v>
      </c>
      <c r="J138" s="45"/>
      <c r="K138" s="45">
        <v>987297</v>
      </c>
      <c r="L138" s="45"/>
      <c r="M138" s="45">
        <v>6041398</v>
      </c>
      <c r="N138" s="45"/>
      <c r="O138" s="45">
        <v>300741</v>
      </c>
      <c r="P138" s="45"/>
      <c r="Q138" s="45">
        <f>471110+1701778</f>
        <v>2172888</v>
      </c>
      <c r="R138" s="45"/>
      <c r="S138" s="44">
        <f t="shared" si="6"/>
        <v>500663</v>
      </c>
      <c r="T138" s="45"/>
      <c r="U138" s="45">
        <v>24358205</v>
      </c>
      <c r="V138" s="44"/>
      <c r="W138" s="45">
        <v>13908375</v>
      </c>
    </row>
    <row r="139" spans="1:24" s="116" customFormat="1" ht="12.75" customHeight="1">
      <c r="A139" s="44" t="s">
        <v>165</v>
      </c>
      <c r="C139" s="44" t="s">
        <v>92</v>
      </c>
      <c r="D139" s="35"/>
      <c r="E139" s="45">
        <v>5653190</v>
      </c>
      <c r="F139" s="45"/>
      <c r="G139" s="45">
        <v>31076262</v>
      </c>
      <c r="H139" s="45"/>
      <c r="I139" s="45">
        <v>437902</v>
      </c>
      <c r="J139" s="45"/>
      <c r="K139" s="45">
        <v>5867129</v>
      </c>
      <c r="L139" s="45"/>
      <c r="M139" s="45">
        <v>11246323</v>
      </c>
      <c r="N139" s="45"/>
      <c r="O139" s="45">
        <v>2206866</v>
      </c>
      <c r="P139" s="45"/>
      <c r="Q139" s="45">
        <f>1652512+1382489</f>
        <v>3035001</v>
      </c>
      <c r="R139" s="45"/>
      <c r="S139" s="44">
        <f t="shared" si="6"/>
        <v>1384636</v>
      </c>
      <c r="T139" s="45"/>
      <c r="U139" s="45">
        <v>60907309</v>
      </c>
      <c r="V139" s="44"/>
      <c r="W139" s="45">
        <v>711190</v>
      </c>
    </row>
    <row r="140" spans="1:24" s="116" customFormat="1" ht="12.75" customHeight="1">
      <c r="A140" s="44" t="s">
        <v>166</v>
      </c>
      <c r="C140" s="44" t="s">
        <v>92</v>
      </c>
      <c r="D140" s="35"/>
      <c r="E140" s="45">
        <v>1623383</v>
      </c>
      <c r="F140" s="45"/>
      <c r="G140" s="45">
        <v>847464</v>
      </c>
      <c r="H140" s="45"/>
      <c r="I140" s="45">
        <v>0</v>
      </c>
      <c r="J140" s="45"/>
      <c r="K140" s="45">
        <v>555261</v>
      </c>
      <c r="L140" s="45"/>
      <c r="M140" s="45">
        <v>1338817</v>
      </c>
      <c r="N140" s="45"/>
      <c r="O140" s="45">
        <v>1264</v>
      </c>
      <c r="P140" s="45"/>
      <c r="Q140" s="45">
        <f>6772+26575</f>
        <v>33347</v>
      </c>
      <c r="R140" s="45"/>
      <c r="S140" s="44">
        <f t="shared" si="6"/>
        <v>29641</v>
      </c>
      <c r="T140" s="45"/>
      <c r="U140" s="45">
        <v>4429177</v>
      </c>
      <c r="V140" s="44"/>
      <c r="W140" s="45">
        <f>1283+50161+409119</f>
        <v>460563</v>
      </c>
    </row>
    <row r="141" spans="1:24" s="116" customFormat="1" ht="12.75" customHeight="1">
      <c r="A141" s="44" t="s">
        <v>167</v>
      </c>
      <c r="C141" s="44" t="s">
        <v>66</v>
      </c>
      <c r="D141" s="35"/>
      <c r="E141" s="45">
        <v>3326743</v>
      </c>
      <c r="F141" s="45"/>
      <c r="G141" s="45">
        <v>8971342</v>
      </c>
      <c r="H141" s="45"/>
      <c r="I141" s="45">
        <v>0</v>
      </c>
      <c r="J141" s="45"/>
      <c r="K141" s="45">
        <v>2419707</v>
      </c>
      <c r="L141" s="45"/>
      <c r="M141" s="45">
        <v>3907065</v>
      </c>
      <c r="N141" s="45"/>
      <c r="O141" s="45">
        <v>174382</v>
      </c>
      <c r="P141" s="45"/>
      <c r="Q141" s="45">
        <v>1518506</v>
      </c>
      <c r="R141" s="45"/>
      <c r="S141" s="44">
        <f t="shared" si="6"/>
        <v>1131927</v>
      </c>
      <c r="T141" s="45"/>
      <c r="U141" s="45">
        <v>21449672</v>
      </c>
      <c r="V141" s="44"/>
      <c r="W141" s="45">
        <f>4580000+77432+800555</f>
        <v>5457987</v>
      </c>
    </row>
    <row r="142" spans="1:24" s="116" customFormat="1" ht="12.75" customHeight="1">
      <c r="A142" s="44" t="s">
        <v>168</v>
      </c>
      <c r="C142" s="44" t="s">
        <v>27</v>
      </c>
      <c r="D142" s="35"/>
      <c r="E142" s="45">
        <v>2244665</v>
      </c>
      <c r="F142" s="45"/>
      <c r="G142" s="45">
        <v>16184484</v>
      </c>
      <c r="H142" s="45"/>
      <c r="I142" s="45">
        <v>514964</v>
      </c>
      <c r="J142" s="45"/>
      <c r="K142" s="45">
        <v>1762696</v>
      </c>
      <c r="L142" s="45"/>
      <c r="M142" s="45">
        <v>2878977</v>
      </c>
      <c r="N142" s="45"/>
      <c r="O142" s="45">
        <v>218592</v>
      </c>
      <c r="P142" s="45"/>
      <c r="Q142" s="45">
        <v>899685</v>
      </c>
      <c r="R142" s="45"/>
      <c r="S142" s="44">
        <f t="shared" si="6"/>
        <v>430366</v>
      </c>
      <c r="T142" s="45"/>
      <c r="U142" s="45">
        <v>25134429</v>
      </c>
      <c r="V142" s="44"/>
      <c r="W142" s="45">
        <f>1807+143700+607682+2118585</f>
        <v>2871774</v>
      </c>
    </row>
    <row r="143" spans="1:24" s="116" customFormat="1" ht="12.75" customHeight="1">
      <c r="A143" s="44" t="s">
        <v>169</v>
      </c>
      <c r="C143" s="44" t="s">
        <v>103</v>
      </c>
      <c r="D143" s="35"/>
      <c r="E143" s="45">
        <v>4479650</v>
      </c>
      <c r="F143" s="45"/>
      <c r="G143" s="45">
        <v>19775081</v>
      </c>
      <c r="H143" s="45"/>
      <c r="I143" s="45">
        <v>826217</v>
      </c>
      <c r="J143" s="45"/>
      <c r="K143" s="45">
        <v>4023536</v>
      </c>
      <c r="L143" s="45"/>
      <c r="M143" s="45">
        <v>22330010</v>
      </c>
      <c r="N143" s="45"/>
      <c r="O143" s="45">
        <v>341064</v>
      </c>
      <c r="P143" s="45"/>
      <c r="Q143" s="45">
        <f>203920+1979018</f>
        <v>2182938</v>
      </c>
      <c r="R143" s="45"/>
      <c r="S143" s="44">
        <f t="shared" si="6"/>
        <v>2754454</v>
      </c>
      <c r="T143" s="45"/>
      <c r="U143" s="45">
        <v>56712950</v>
      </c>
      <c r="V143" s="44"/>
      <c r="W143" s="45">
        <f>265790+6235000+16305</f>
        <v>6517095</v>
      </c>
    </row>
    <row r="144" spans="1:24" s="116" customFormat="1" ht="12.75" customHeight="1">
      <c r="A144" s="44" t="s">
        <v>170</v>
      </c>
      <c r="C144" s="44" t="s">
        <v>171</v>
      </c>
      <c r="D144" s="35"/>
      <c r="E144" s="45">
        <v>2497985</v>
      </c>
      <c r="F144" s="45"/>
      <c r="G144" s="45">
        <v>2217669</v>
      </c>
      <c r="H144" s="45"/>
      <c r="I144" s="45">
        <v>0</v>
      </c>
      <c r="J144" s="45"/>
      <c r="K144" s="45">
        <v>236512</v>
      </c>
      <c r="L144" s="45"/>
      <c r="M144" s="45">
        <v>1574238</v>
      </c>
      <c r="N144" s="45"/>
      <c r="O144" s="45">
        <v>0</v>
      </c>
      <c r="P144" s="45"/>
      <c r="Q144" s="45">
        <f>29893+175637</f>
        <v>205530</v>
      </c>
      <c r="R144" s="45"/>
      <c r="S144" s="44">
        <f t="shared" si="6"/>
        <v>1010563</v>
      </c>
      <c r="T144" s="45"/>
      <c r="U144" s="45">
        <v>7742497</v>
      </c>
      <c r="V144" s="44"/>
      <c r="W144" s="45">
        <f>5873+220000</f>
        <v>225873</v>
      </c>
    </row>
    <row r="145" spans="1:23" s="116" customFormat="1" ht="12.75" customHeight="1">
      <c r="A145" s="44" t="s">
        <v>172</v>
      </c>
      <c r="C145" s="44" t="s">
        <v>103</v>
      </c>
      <c r="D145" s="35"/>
      <c r="E145" s="45">
        <v>1885387</v>
      </c>
      <c r="F145" s="45"/>
      <c r="G145" s="45">
        <v>5951344</v>
      </c>
      <c r="H145" s="45"/>
      <c r="I145" s="45">
        <v>0</v>
      </c>
      <c r="J145" s="45"/>
      <c r="K145" s="45">
        <v>2460026</v>
      </c>
      <c r="L145" s="45"/>
      <c r="M145" s="45">
        <v>2415620</v>
      </c>
      <c r="N145" s="45"/>
      <c r="O145" s="45">
        <v>327428</v>
      </c>
      <c r="P145" s="45"/>
      <c r="Q145" s="45">
        <f>258349+446880</f>
        <v>705229</v>
      </c>
      <c r="R145" s="45"/>
      <c r="S145" s="44">
        <f t="shared" si="6"/>
        <v>1502370</v>
      </c>
      <c r="T145" s="45"/>
      <c r="U145" s="45">
        <v>15247404</v>
      </c>
      <c r="V145" s="44"/>
      <c r="W145" s="45">
        <f>95714+6845000+6595376</f>
        <v>13536090</v>
      </c>
    </row>
    <row r="146" spans="1:23" s="116" customFormat="1" ht="12.75" customHeight="1">
      <c r="A146" s="44" t="s">
        <v>66</v>
      </c>
      <c r="C146" s="44" t="s">
        <v>45</v>
      </c>
      <c r="D146" s="35"/>
      <c r="E146" s="45">
        <v>13447773</v>
      </c>
      <c r="F146" s="45"/>
      <c r="G146" s="45">
        <v>0</v>
      </c>
      <c r="H146" s="45"/>
      <c r="I146" s="45">
        <v>0</v>
      </c>
      <c r="J146" s="45"/>
      <c r="K146" s="45">
        <v>611191</v>
      </c>
      <c r="L146" s="45"/>
      <c r="M146" s="45">
        <v>1661817</v>
      </c>
      <c r="N146" s="45"/>
      <c r="O146" s="45">
        <v>267745</v>
      </c>
      <c r="P146" s="45"/>
      <c r="Q146" s="45">
        <f>270513+217536</f>
        <v>488049</v>
      </c>
      <c r="R146" s="45"/>
      <c r="S146" s="44">
        <f t="shared" si="6"/>
        <v>447735</v>
      </c>
      <c r="T146" s="45"/>
      <c r="U146" s="45">
        <v>16924310</v>
      </c>
      <c r="V146" s="44"/>
      <c r="W146" s="45">
        <f>9437+1579614</f>
        <v>1589051</v>
      </c>
    </row>
    <row r="147" spans="1:23" s="116" customFormat="1" ht="12.75" customHeight="1">
      <c r="A147" s="44" t="s">
        <v>173</v>
      </c>
      <c r="C147" s="44" t="s">
        <v>66</v>
      </c>
      <c r="D147" s="35"/>
      <c r="E147" s="45">
        <v>525889</v>
      </c>
      <c r="F147" s="45"/>
      <c r="G147" s="45">
        <v>9760045</v>
      </c>
      <c r="H147" s="45"/>
      <c r="I147" s="45">
        <v>2718</v>
      </c>
      <c r="J147" s="45"/>
      <c r="K147" s="45">
        <v>574698</v>
      </c>
      <c r="L147" s="45"/>
      <c r="M147" s="45">
        <v>1564807</v>
      </c>
      <c r="N147" s="45"/>
      <c r="O147" s="45">
        <v>0</v>
      </c>
      <c r="P147" s="45"/>
      <c r="Q147" s="45">
        <f>1522+75102</f>
        <v>76624</v>
      </c>
      <c r="R147" s="45"/>
      <c r="S147" s="44">
        <f t="shared" si="6"/>
        <v>1724203</v>
      </c>
      <c r="T147" s="45"/>
      <c r="U147" s="45">
        <v>14228984</v>
      </c>
      <c r="V147" s="44"/>
      <c r="W147" s="45">
        <f>5805000+2805000+94753+259714</f>
        <v>8964467</v>
      </c>
    </row>
    <row r="148" spans="1:23" s="116" customFormat="1" ht="12.75" customHeight="1">
      <c r="A148" s="44" t="s">
        <v>174</v>
      </c>
      <c r="C148" s="44" t="s">
        <v>45</v>
      </c>
      <c r="D148" s="35"/>
      <c r="E148" s="45">
        <v>842716</v>
      </c>
      <c r="F148" s="45"/>
      <c r="G148" s="45">
        <v>1381765</v>
      </c>
      <c r="H148" s="45"/>
      <c r="I148" s="45">
        <v>64220</v>
      </c>
      <c r="J148" s="45"/>
      <c r="K148" s="45">
        <v>564049</v>
      </c>
      <c r="L148" s="45"/>
      <c r="M148" s="45">
        <v>790570</v>
      </c>
      <c r="N148" s="45"/>
      <c r="O148" s="45">
        <v>0</v>
      </c>
      <c r="P148" s="45"/>
      <c r="Q148" s="45">
        <v>224460</v>
      </c>
      <c r="R148" s="45"/>
      <c r="S148" s="44">
        <f t="shared" si="6"/>
        <v>944285</v>
      </c>
      <c r="T148" s="45"/>
      <c r="U148" s="45">
        <v>4812065</v>
      </c>
      <c r="V148" s="44"/>
      <c r="W148" s="45">
        <f>308623+761467+116800+392289</f>
        <v>1579179</v>
      </c>
    </row>
    <row r="149" spans="1:23" s="116" customFormat="1" ht="12.75" customHeight="1">
      <c r="A149" s="44" t="s">
        <v>175</v>
      </c>
      <c r="C149" s="44" t="s">
        <v>176</v>
      </c>
      <c r="D149" s="35"/>
      <c r="E149" s="45">
        <v>10836690</v>
      </c>
      <c r="F149" s="45"/>
      <c r="G149" s="45">
        <v>0</v>
      </c>
      <c r="H149" s="45"/>
      <c r="I149" s="45">
        <v>0</v>
      </c>
      <c r="J149" s="45"/>
      <c r="K149" s="45">
        <v>1632849</v>
      </c>
      <c r="L149" s="45"/>
      <c r="M149" s="45">
        <v>4269553</v>
      </c>
      <c r="N149" s="45"/>
      <c r="O149" s="45">
        <v>0</v>
      </c>
      <c r="P149" s="45"/>
      <c r="Q149" s="45">
        <f>16952+845195</f>
        <v>862147</v>
      </c>
      <c r="R149" s="45"/>
      <c r="S149" s="44">
        <f t="shared" si="6"/>
        <v>252559</v>
      </c>
      <c r="T149" s="45"/>
      <c r="U149" s="45">
        <v>17853798</v>
      </c>
      <c r="V149" s="44"/>
      <c r="W149" s="45">
        <f>3259+827126</f>
        <v>830385</v>
      </c>
    </row>
    <row r="150" spans="1:23" s="116" customFormat="1" ht="12.75" customHeight="1">
      <c r="A150" s="44" t="s">
        <v>177</v>
      </c>
      <c r="C150" s="44" t="s">
        <v>13</v>
      </c>
      <c r="D150" s="35"/>
      <c r="E150" s="45">
        <v>803529</v>
      </c>
      <c r="F150" s="45"/>
      <c r="G150" s="45">
        <v>980057</v>
      </c>
      <c r="H150" s="45"/>
      <c r="I150" s="45">
        <v>0</v>
      </c>
      <c r="J150" s="45"/>
      <c r="K150" s="45">
        <v>151797</v>
      </c>
      <c r="L150" s="45"/>
      <c r="M150" s="45">
        <v>1048566</v>
      </c>
      <c r="N150" s="45"/>
      <c r="O150" s="45">
        <v>103</v>
      </c>
      <c r="P150" s="45"/>
      <c r="Q150" s="45">
        <v>156995</v>
      </c>
      <c r="R150" s="45"/>
      <c r="S150" s="44">
        <f t="shared" si="6"/>
        <v>114378</v>
      </c>
      <c r="T150" s="45"/>
      <c r="U150" s="45">
        <v>3255425</v>
      </c>
      <c r="V150" s="44"/>
      <c r="W150" s="45">
        <v>35829</v>
      </c>
    </row>
    <row r="151" spans="1:23" s="116" customFormat="1" ht="12.75" customHeight="1">
      <c r="A151" s="44" t="s">
        <v>178</v>
      </c>
      <c r="C151" s="44" t="s">
        <v>179</v>
      </c>
      <c r="D151" s="35"/>
      <c r="E151" s="45">
        <v>380995</v>
      </c>
      <c r="F151" s="45"/>
      <c r="G151" s="45">
        <v>2826059</v>
      </c>
      <c r="H151" s="45"/>
      <c r="I151" s="45">
        <v>515545</v>
      </c>
      <c r="J151" s="45"/>
      <c r="K151" s="45">
        <v>807930</v>
      </c>
      <c r="L151" s="45"/>
      <c r="M151" s="45">
        <v>1380019</v>
      </c>
      <c r="N151" s="45"/>
      <c r="O151" s="45">
        <v>101853</v>
      </c>
      <c r="P151" s="45"/>
      <c r="Q151" s="45">
        <f>63599+371916</f>
        <v>435515</v>
      </c>
      <c r="R151" s="45"/>
      <c r="S151" s="44">
        <f t="shared" si="6"/>
        <v>574377</v>
      </c>
      <c r="T151" s="45"/>
      <c r="U151" s="45">
        <v>7022293</v>
      </c>
      <c r="V151" s="44"/>
      <c r="W151" s="45">
        <f>11224+760000+2088809</f>
        <v>2860033</v>
      </c>
    </row>
    <row r="152" spans="1:23" s="116" customFormat="1" ht="12.75" customHeight="1">
      <c r="A152" s="44" t="s">
        <v>180</v>
      </c>
      <c r="C152" s="44" t="s">
        <v>20</v>
      </c>
      <c r="D152" s="35"/>
      <c r="E152" s="45">
        <v>394758</v>
      </c>
      <c r="F152" s="45"/>
      <c r="G152" s="45">
        <v>1814123</v>
      </c>
      <c r="H152" s="45"/>
      <c r="I152" s="45">
        <v>0</v>
      </c>
      <c r="J152" s="45"/>
      <c r="K152" s="45">
        <v>104838</v>
      </c>
      <c r="L152" s="45"/>
      <c r="M152" s="45">
        <v>477150</v>
      </c>
      <c r="N152" s="45"/>
      <c r="O152" s="45">
        <v>0</v>
      </c>
      <c r="P152" s="45"/>
      <c r="Q152" s="45">
        <v>75298</v>
      </c>
      <c r="R152" s="45"/>
      <c r="S152" s="44">
        <f t="shared" si="6"/>
        <v>157255</v>
      </c>
      <c r="T152" s="45"/>
      <c r="U152" s="45">
        <v>3023422</v>
      </c>
      <c r="V152" s="44"/>
      <c r="W152" s="45">
        <f>23750+1940+2418+250000</f>
        <v>278108</v>
      </c>
    </row>
    <row r="153" spans="1:23" s="116" customFormat="1" ht="12.75" customHeight="1">
      <c r="A153" s="44" t="s">
        <v>182</v>
      </c>
      <c r="C153" s="44" t="s">
        <v>183</v>
      </c>
      <c r="D153" s="35"/>
      <c r="E153" s="45">
        <v>540228</v>
      </c>
      <c r="F153" s="45"/>
      <c r="G153" s="45">
        <v>823137</v>
      </c>
      <c r="H153" s="45"/>
      <c r="I153" s="45">
        <v>50801</v>
      </c>
      <c r="J153" s="45"/>
      <c r="K153" s="45">
        <v>618983</v>
      </c>
      <c r="L153" s="45"/>
      <c r="M153" s="45">
        <v>697794</v>
      </c>
      <c r="N153" s="45"/>
      <c r="O153" s="45">
        <v>106486</v>
      </c>
      <c r="P153" s="45"/>
      <c r="Q153" s="45">
        <f>22518+19955</f>
        <v>42473</v>
      </c>
      <c r="R153" s="45"/>
      <c r="S153" s="44">
        <f t="shared" si="6"/>
        <v>8865</v>
      </c>
      <c r="T153" s="45"/>
      <c r="U153" s="45">
        <v>2888767</v>
      </c>
      <c r="V153" s="44"/>
      <c r="W153" s="45">
        <f>725000+175483</f>
        <v>900483</v>
      </c>
    </row>
    <row r="154" spans="1:23" s="116" customFormat="1" ht="12.75" customHeight="1">
      <c r="A154" s="44" t="s">
        <v>487</v>
      </c>
      <c r="C154" s="44" t="s">
        <v>13</v>
      </c>
      <c r="D154" s="35"/>
      <c r="E154" s="45">
        <v>3954376</v>
      </c>
      <c r="F154" s="45"/>
      <c r="G154" s="45">
        <v>0</v>
      </c>
      <c r="H154" s="45"/>
      <c r="I154" s="45">
        <v>0</v>
      </c>
      <c r="J154" s="45"/>
      <c r="K154" s="45">
        <v>379630</v>
      </c>
      <c r="L154" s="45"/>
      <c r="M154" s="45">
        <v>2250714</v>
      </c>
      <c r="N154" s="45"/>
      <c r="O154" s="45">
        <v>0</v>
      </c>
      <c r="P154" s="45"/>
      <c r="Q154" s="45">
        <f>102736+1628</f>
        <v>104364</v>
      </c>
      <c r="R154" s="45"/>
      <c r="S154" s="44">
        <f t="shared" si="6"/>
        <v>90207</v>
      </c>
      <c r="T154" s="45"/>
      <c r="U154" s="45">
        <v>6779291</v>
      </c>
      <c r="V154" s="44"/>
      <c r="W154" s="45">
        <v>50000</v>
      </c>
    </row>
    <row r="155" spans="1:23" s="116" customFormat="1" ht="12.75" customHeight="1">
      <c r="A155" s="44" t="s">
        <v>184</v>
      </c>
      <c r="C155" s="44" t="s">
        <v>89</v>
      </c>
      <c r="D155" s="35"/>
      <c r="E155" s="45">
        <v>1105713</v>
      </c>
      <c r="F155" s="45"/>
      <c r="G155" s="45">
        <v>6109684</v>
      </c>
      <c r="H155" s="45"/>
      <c r="I155" s="45">
        <v>0</v>
      </c>
      <c r="J155" s="45"/>
      <c r="K155" s="45">
        <v>689104</v>
      </c>
      <c r="L155" s="45"/>
      <c r="M155" s="45">
        <v>3174443</v>
      </c>
      <c r="N155" s="45"/>
      <c r="O155" s="45">
        <v>1760</v>
      </c>
      <c r="P155" s="45"/>
      <c r="Q155" s="45">
        <f>257475+852085</f>
        <v>1109560</v>
      </c>
      <c r="R155" s="45"/>
      <c r="S155" s="44">
        <f t="shared" si="6"/>
        <v>300196</v>
      </c>
      <c r="T155" s="45"/>
      <c r="U155" s="45">
        <v>12490460</v>
      </c>
      <c r="V155" s="44"/>
      <c r="W155" s="45">
        <v>166978</v>
      </c>
    </row>
    <row r="156" spans="1:23" s="116" customFormat="1" ht="12.75" customHeight="1">
      <c r="A156" s="44" t="s">
        <v>181</v>
      </c>
      <c r="C156" s="44" t="s">
        <v>125</v>
      </c>
      <c r="D156" s="35"/>
      <c r="E156" s="45">
        <v>22138933</v>
      </c>
      <c r="F156" s="45"/>
      <c r="G156" s="45">
        <v>0</v>
      </c>
      <c r="H156" s="45"/>
      <c r="I156" s="45">
        <v>0</v>
      </c>
      <c r="J156" s="45"/>
      <c r="K156" s="45">
        <v>2289390</v>
      </c>
      <c r="L156" s="45"/>
      <c r="M156" s="45">
        <v>10267862</v>
      </c>
      <c r="N156" s="45"/>
      <c r="O156" s="45">
        <v>27635</v>
      </c>
      <c r="P156" s="45"/>
      <c r="Q156" s="45">
        <f>63204+2056603</f>
        <v>2119807</v>
      </c>
      <c r="R156" s="45"/>
      <c r="S156" s="44">
        <f t="shared" si="6"/>
        <v>875744</v>
      </c>
      <c r="T156" s="45"/>
      <c r="U156" s="45">
        <v>37719371</v>
      </c>
      <c r="V156" s="44"/>
      <c r="W156" s="45">
        <f>718698+162954+1710000+19675687</f>
        <v>22267339</v>
      </c>
    </row>
    <row r="157" spans="1:23" s="116" customFormat="1" ht="12.75" customHeight="1">
      <c r="A157" s="44" t="s">
        <v>185</v>
      </c>
      <c r="C157" s="44" t="s">
        <v>80</v>
      </c>
      <c r="D157" s="35"/>
      <c r="E157" s="45">
        <v>1427019</v>
      </c>
      <c r="F157" s="45"/>
      <c r="G157" s="45">
        <v>5444539</v>
      </c>
      <c r="H157" s="45"/>
      <c r="I157" s="45">
        <v>0</v>
      </c>
      <c r="J157" s="45"/>
      <c r="K157" s="45">
        <v>1359388</v>
      </c>
      <c r="L157" s="45"/>
      <c r="M157" s="45">
        <v>3837588</v>
      </c>
      <c r="N157" s="45"/>
      <c r="O157" s="45">
        <v>0</v>
      </c>
      <c r="P157" s="45"/>
      <c r="Q157" s="45">
        <f>603360+325498</f>
        <v>928858</v>
      </c>
      <c r="R157" s="45"/>
      <c r="S157" s="44">
        <f t="shared" si="6"/>
        <v>472049</v>
      </c>
      <c r="T157" s="45"/>
      <c r="U157" s="45">
        <v>13469441</v>
      </c>
      <c r="V157" s="44"/>
      <c r="W157" s="45">
        <f>49419+5132914</f>
        <v>5182333</v>
      </c>
    </row>
    <row r="158" spans="1:23" s="116" customFormat="1" ht="12.75" customHeight="1">
      <c r="A158" s="44" t="s">
        <v>186</v>
      </c>
      <c r="C158" s="44" t="s">
        <v>15</v>
      </c>
      <c r="D158" s="35"/>
      <c r="E158" s="45">
        <v>1686477</v>
      </c>
      <c r="F158" s="45"/>
      <c r="G158" s="45">
        <v>5605527</v>
      </c>
      <c r="H158" s="45"/>
      <c r="I158" s="45">
        <v>0</v>
      </c>
      <c r="J158" s="45"/>
      <c r="K158" s="45">
        <v>748250</v>
      </c>
      <c r="L158" s="45"/>
      <c r="M158" s="45">
        <v>3801123</v>
      </c>
      <c r="N158" s="45"/>
      <c r="O158" s="45">
        <v>0</v>
      </c>
      <c r="P158" s="45"/>
      <c r="Q158" s="45">
        <f>178145+168102</f>
        <v>346247</v>
      </c>
      <c r="R158" s="45"/>
      <c r="S158" s="44">
        <f t="shared" si="6"/>
        <v>365860</v>
      </c>
      <c r="T158" s="45"/>
      <c r="U158" s="45">
        <v>12553484</v>
      </c>
      <c r="V158" s="44"/>
      <c r="W158" s="45">
        <f>41594+255125+1993035</f>
        <v>2289754</v>
      </c>
    </row>
    <row r="159" spans="1:23" s="118" customFormat="1" ht="12.75" customHeight="1">
      <c r="A159" s="44" t="s">
        <v>187</v>
      </c>
      <c r="C159" s="44" t="s">
        <v>27</v>
      </c>
      <c r="D159" s="35"/>
      <c r="E159" s="45">
        <v>9985313</v>
      </c>
      <c r="F159" s="45"/>
      <c r="G159" s="45">
        <v>11770310</v>
      </c>
      <c r="H159" s="45"/>
      <c r="I159" s="45">
        <v>0</v>
      </c>
      <c r="J159" s="45"/>
      <c r="K159" s="45">
        <v>2414501</v>
      </c>
      <c r="L159" s="45"/>
      <c r="M159" s="45">
        <v>5802595</v>
      </c>
      <c r="N159" s="45"/>
      <c r="O159" s="45">
        <v>90000</v>
      </c>
      <c r="P159" s="45"/>
      <c r="Q159" s="45">
        <v>1212137</v>
      </c>
      <c r="R159" s="45"/>
      <c r="S159" s="44">
        <f t="shared" si="6"/>
        <v>271440</v>
      </c>
      <c r="T159" s="45"/>
      <c r="U159" s="45">
        <v>31546296</v>
      </c>
      <c r="V159" s="44"/>
      <c r="W159" s="45">
        <f>20284+59763+1860769+3715000+168945</f>
        <v>5824761</v>
      </c>
    </row>
    <row r="160" spans="1:23" s="116" customFormat="1" ht="12.75" customHeight="1">
      <c r="A160" s="44" t="s">
        <v>189</v>
      </c>
      <c r="C160" s="44" t="s">
        <v>17</v>
      </c>
      <c r="D160" s="35"/>
      <c r="E160" s="45">
        <v>5548740</v>
      </c>
      <c r="F160" s="45"/>
      <c r="G160" s="45">
        <v>7751774</v>
      </c>
      <c r="H160" s="45"/>
      <c r="I160" s="45">
        <v>0</v>
      </c>
      <c r="J160" s="45"/>
      <c r="K160" s="45">
        <v>2971112</v>
      </c>
      <c r="L160" s="45"/>
      <c r="M160" s="45">
        <v>5205123</v>
      </c>
      <c r="N160" s="45"/>
      <c r="O160" s="45">
        <v>134140</v>
      </c>
      <c r="P160" s="45"/>
      <c r="Q160" s="45">
        <v>1130994</v>
      </c>
      <c r="R160" s="45"/>
      <c r="S160" s="44">
        <f t="shared" si="6"/>
        <v>690784</v>
      </c>
      <c r="T160" s="45"/>
      <c r="U160" s="45">
        <v>23432667</v>
      </c>
      <c r="V160" s="44"/>
      <c r="W160" s="45">
        <f>6650000+2797700+107381</f>
        <v>9555081</v>
      </c>
    </row>
    <row r="161" spans="1:24" s="116" customFormat="1" ht="12.75" customHeight="1">
      <c r="A161" s="44" t="s">
        <v>188</v>
      </c>
      <c r="C161" s="44" t="s">
        <v>27</v>
      </c>
      <c r="D161" s="35"/>
      <c r="E161" s="45">
        <v>4729339</v>
      </c>
      <c r="F161" s="45"/>
      <c r="G161" s="45">
        <v>11504415</v>
      </c>
      <c r="H161" s="45"/>
      <c r="I161" s="45">
        <v>0</v>
      </c>
      <c r="J161" s="45"/>
      <c r="K161" s="45">
        <v>694360</v>
      </c>
      <c r="L161" s="45"/>
      <c r="M161" s="45">
        <v>3705627</v>
      </c>
      <c r="N161" s="45"/>
      <c r="O161" s="45">
        <v>154872</v>
      </c>
      <c r="P161" s="45"/>
      <c r="Q161" s="45">
        <f>768588+343950</f>
        <v>1112538</v>
      </c>
      <c r="R161" s="45"/>
      <c r="S161" s="44">
        <f t="shared" si="6"/>
        <v>1012980</v>
      </c>
      <c r="T161" s="45"/>
      <c r="U161" s="45">
        <v>22914131</v>
      </c>
      <c r="V161" s="44"/>
      <c r="W161" s="45">
        <f>5350000+4503230</f>
        <v>9853230</v>
      </c>
    </row>
    <row r="162" spans="1:24" s="116" customFormat="1" ht="12.75" customHeight="1">
      <c r="A162" s="44" t="s">
        <v>190</v>
      </c>
      <c r="C162" s="44" t="s">
        <v>47</v>
      </c>
      <c r="D162" s="35"/>
      <c r="E162" s="45">
        <v>509298</v>
      </c>
      <c r="F162" s="45"/>
      <c r="G162" s="45">
        <v>3926713</v>
      </c>
      <c r="H162" s="45"/>
      <c r="I162" s="45">
        <v>39035</v>
      </c>
      <c r="J162" s="45"/>
      <c r="K162" s="45">
        <v>281710</v>
      </c>
      <c r="L162" s="45"/>
      <c r="M162" s="45">
        <v>1303269</v>
      </c>
      <c r="N162" s="45"/>
      <c r="O162" s="45">
        <v>83179</v>
      </c>
      <c r="P162" s="45"/>
      <c r="Q162" s="45">
        <f>231306+118472</f>
        <v>349778</v>
      </c>
      <c r="R162" s="45"/>
      <c r="S162" s="44">
        <f t="shared" si="6"/>
        <v>92692</v>
      </c>
      <c r="T162" s="45"/>
      <c r="U162" s="45">
        <v>6585674</v>
      </c>
      <c r="V162" s="44"/>
      <c r="W162" s="45">
        <f>6119+104000</f>
        <v>110119</v>
      </c>
    </row>
    <row r="163" spans="1:24" s="116" customFormat="1" ht="12.75" customHeight="1">
      <c r="A163" s="44" t="s">
        <v>191</v>
      </c>
      <c r="C163" s="44" t="s">
        <v>13</v>
      </c>
      <c r="D163" s="35"/>
      <c r="E163" s="45">
        <v>1730639</v>
      </c>
      <c r="F163" s="45"/>
      <c r="G163" s="45">
        <v>4624286</v>
      </c>
      <c r="H163" s="45"/>
      <c r="I163" s="45">
        <v>0</v>
      </c>
      <c r="J163" s="45"/>
      <c r="K163" s="45">
        <v>937114</v>
      </c>
      <c r="L163" s="45"/>
      <c r="M163" s="45">
        <v>2648754</v>
      </c>
      <c r="N163" s="45"/>
      <c r="O163" s="45">
        <v>270117</v>
      </c>
      <c r="P163" s="45"/>
      <c r="Q163" s="45">
        <f>57677+145257</f>
        <v>202934</v>
      </c>
      <c r="R163" s="45"/>
      <c r="S163" s="44">
        <f t="shared" si="6"/>
        <v>270430</v>
      </c>
      <c r="T163" s="45"/>
      <c r="U163" s="45">
        <v>10684274</v>
      </c>
      <c r="V163" s="44"/>
      <c r="W163" s="45">
        <f>3890000+136235+857821</f>
        <v>4884056</v>
      </c>
    </row>
    <row r="164" spans="1:24" s="116" customFormat="1" ht="12.75" customHeight="1">
      <c r="A164" s="44" t="s">
        <v>192</v>
      </c>
      <c r="C164" s="44" t="s">
        <v>38</v>
      </c>
      <c r="D164" s="35"/>
      <c r="E164" s="45">
        <v>1422289</v>
      </c>
      <c r="F164" s="45"/>
      <c r="G164" s="45">
        <v>5018697</v>
      </c>
      <c r="H164" s="45"/>
      <c r="I164" s="45">
        <v>0</v>
      </c>
      <c r="J164" s="45"/>
      <c r="K164" s="45">
        <v>1092215</v>
      </c>
      <c r="L164" s="45"/>
      <c r="M164" s="45">
        <v>2830942</v>
      </c>
      <c r="N164" s="45"/>
      <c r="O164" s="45">
        <v>97269</v>
      </c>
      <c r="P164" s="45"/>
      <c r="Q164" s="45">
        <f>29105+812924</f>
        <v>842029</v>
      </c>
      <c r="R164" s="45"/>
      <c r="S164" s="44">
        <f t="shared" si="6"/>
        <v>425045</v>
      </c>
      <c r="T164" s="45"/>
      <c r="U164" s="45">
        <v>11728486</v>
      </c>
      <c r="V164" s="44"/>
      <c r="W164" s="45">
        <f>897148+18000</f>
        <v>915148</v>
      </c>
    </row>
    <row r="165" spans="1:24" s="116" customFormat="1" ht="12.75" customHeight="1">
      <c r="A165" s="44" t="s">
        <v>193</v>
      </c>
      <c r="C165" s="44" t="s">
        <v>45</v>
      </c>
      <c r="D165" s="35"/>
      <c r="E165" s="45">
        <v>2601753</v>
      </c>
      <c r="F165" s="45"/>
      <c r="G165" s="45">
        <v>14477543</v>
      </c>
      <c r="H165" s="45"/>
      <c r="I165" s="45">
        <v>418657</v>
      </c>
      <c r="J165" s="45"/>
      <c r="K165" s="45">
        <v>773982</v>
      </c>
      <c r="L165" s="45"/>
      <c r="M165" s="45">
        <v>2700423</v>
      </c>
      <c r="N165" s="45"/>
      <c r="O165" s="45">
        <v>226697</v>
      </c>
      <c r="P165" s="45"/>
      <c r="Q165" s="45">
        <v>593713</v>
      </c>
      <c r="R165" s="45"/>
      <c r="S165" s="44">
        <f t="shared" si="6"/>
        <v>1587009</v>
      </c>
      <c r="T165" s="45"/>
      <c r="U165" s="45">
        <v>23379777</v>
      </c>
      <c r="V165" s="44"/>
      <c r="W165" s="45">
        <f>1310049+215955+3595000</f>
        <v>5121004</v>
      </c>
      <c r="X165" s="118"/>
    </row>
    <row r="166" spans="1:24" s="116" customFormat="1" ht="12.75" customHeight="1">
      <c r="A166" s="44" t="s">
        <v>194</v>
      </c>
      <c r="C166" s="44" t="s">
        <v>66</v>
      </c>
      <c r="D166" s="35"/>
      <c r="E166" s="45">
        <v>1560358</v>
      </c>
      <c r="F166" s="45"/>
      <c r="G166" s="45">
        <v>5762811</v>
      </c>
      <c r="H166" s="45"/>
      <c r="I166" s="45">
        <v>0</v>
      </c>
      <c r="J166" s="45"/>
      <c r="K166" s="45">
        <v>1353529</v>
      </c>
      <c r="L166" s="45"/>
      <c r="M166" s="45">
        <v>1704860</v>
      </c>
      <c r="N166" s="45"/>
      <c r="O166" s="45">
        <v>135783</v>
      </c>
      <c r="P166" s="45"/>
      <c r="Q166" s="45">
        <v>162719</v>
      </c>
      <c r="R166" s="45"/>
      <c r="S166" s="44">
        <f t="shared" si="6"/>
        <v>261890</v>
      </c>
      <c r="T166" s="45"/>
      <c r="U166" s="45">
        <v>10941950</v>
      </c>
      <c r="V166" s="44"/>
      <c r="W166" s="45">
        <v>3380223</v>
      </c>
    </row>
    <row r="167" spans="1:24" s="116" customFormat="1" ht="12.75" customHeight="1">
      <c r="A167" s="44" t="s">
        <v>471</v>
      </c>
      <c r="C167" s="44"/>
      <c r="D167" s="3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4"/>
      <c r="T167" s="45"/>
      <c r="U167" s="45"/>
      <c r="V167" s="44"/>
      <c r="W167" s="48" t="s">
        <v>484</v>
      </c>
    </row>
    <row r="168" spans="1:24" s="116" customFormat="1" ht="12.75" customHeight="1">
      <c r="A168" s="44" t="s">
        <v>195</v>
      </c>
      <c r="C168" s="44" t="s">
        <v>17</v>
      </c>
      <c r="D168" s="35"/>
      <c r="E168" s="94">
        <v>747455</v>
      </c>
      <c r="F168" s="94"/>
      <c r="G168" s="94">
        <v>5268838</v>
      </c>
      <c r="H168" s="94"/>
      <c r="I168" s="94">
        <v>0</v>
      </c>
      <c r="J168" s="94"/>
      <c r="K168" s="94">
        <v>93327</v>
      </c>
      <c r="L168" s="94"/>
      <c r="M168" s="94">
        <v>2383852</v>
      </c>
      <c r="N168" s="94"/>
      <c r="O168" s="94">
        <v>10563</v>
      </c>
      <c r="P168" s="94"/>
      <c r="Q168" s="94">
        <f>228161+989144</f>
        <v>1217305</v>
      </c>
      <c r="R168" s="94"/>
      <c r="S168" s="46">
        <f t="shared" si="6"/>
        <v>1236999</v>
      </c>
      <c r="T168" s="94"/>
      <c r="U168" s="94">
        <v>10958339</v>
      </c>
      <c r="V168" s="46"/>
      <c r="W168" s="94">
        <f>1963+5440000+1683888</f>
        <v>7125851</v>
      </c>
    </row>
    <row r="169" spans="1:24" s="116" customFormat="1" ht="12.75" customHeight="1">
      <c r="A169" s="28" t="s">
        <v>196</v>
      </c>
      <c r="B169" s="49"/>
      <c r="C169" s="28" t="s">
        <v>27</v>
      </c>
      <c r="D169" s="35"/>
      <c r="E169" s="45">
        <v>1814481</v>
      </c>
      <c r="F169" s="45"/>
      <c r="G169" s="45">
        <v>2647059</v>
      </c>
      <c r="H169" s="45"/>
      <c r="I169" s="45">
        <v>0</v>
      </c>
      <c r="J169" s="45"/>
      <c r="K169" s="45">
        <v>463817</v>
      </c>
      <c r="L169" s="45"/>
      <c r="M169" s="45">
        <v>6899210</v>
      </c>
      <c r="N169" s="45"/>
      <c r="O169" s="45">
        <v>507339</v>
      </c>
      <c r="P169" s="45"/>
      <c r="Q169" s="45">
        <f>87516+148592</f>
        <v>236108</v>
      </c>
      <c r="R169" s="45"/>
      <c r="S169" s="44">
        <f t="shared" si="6"/>
        <v>67663</v>
      </c>
      <c r="T169" s="45"/>
      <c r="U169" s="45">
        <v>12635677</v>
      </c>
      <c r="V169" s="44"/>
      <c r="W169" s="45">
        <v>2250730</v>
      </c>
    </row>
    <row r="170" spans="1:24" s="116" customFormat="1" ht="12.75" customHeight="1">
      <c r="A170" s="44" t="s">
        <v>402</v>
      </c>
      <c r="C170" s="44" t="s">
        <v>153</v>
      </c>
      <c r="D170" s="35"/>
      <c r="E170" s="45">
        <v>528458</v>
      </c>
      <c r="F170" s="45"/>
      <c r="G170" s="45">
        <v>3407290</v>
      </c>
      <c r="H170" s="45"/>
      <c r="I170" s="45">
        <v>0</v>
      </c>
      <c r="J170" s="45"/>
      <c r="K170" s="45">
        <v>59488</v>
      </c>
      <c r="L170" s="45"/>
      <c r="M170" s="45">
        <v>774903</v>
      </c>
      <c r="N170" s="45"/>
      <c r="O170" s="45">
        <v>6050</v>
      </c>
      <c r="P170" s="45"/>
      <c r="Q170" s="45">
        <v>595793</v>
      </c>
      <c r="R170" s="45"/>
      <c r="S170" s="44">
        <f t="shared" si="6"/>
        <v>532461</v>
      </c>
      <c r="T170" s="45"/>
      <c r="U170" s="45">
        <v>5904443</v>
      </c>
      <c r="V170" s="44"/>
      <c r="W170" s="45">
        <f>8750+175646</f>
        <v>184396</v>
      </c>
    </row>
    <row r="171" spans="1:24" s="117" customFormat="1" ht="12.75" customHeight="1">
      <c r="A171" s="44" t="s">
        <v>197</v>
      </c>
      <c r="B171" s="116"/>
      <c r="C171" s="44" t="s">
        <v>163</v>
      </c>
      <c r="D171" s="35"/>
      <c r="E171" s="45">
        <v>2121299</v>
      </c>
      <c r="F171" s="45"/>
      <c r="G171" s="45">
        <v>15515467</v>
      </c>
      <c r="H171" s="45"/>
      <c r="I171" s="45">
        <v>0</v>
      </c>
      <c r="J171" s="45"/>
      <c r="K171" s="45">
        <v>1826066</v>
      </c>
      <c r="L171" s="45"/>
      <c r="M171" s="45">
        <v>6879035</v>
      </c>
      <c r="N171" s="45"/>
      <c r="O171" s="45">
        <v>680232</v>
      </c>
      <c r="P171" s="45"/>
      <c r="Q171" s="45">
        <f>233210+548690</f>
        <v>781900</v>
      </c>
      <c r="R171" s="45"/>
      <c r="S171" s="44">
        <f t="shared" si="6"/>
        <v>1434058</v>
      </c>
      <c r="T171" s="45"/>
      <c r="U171" s="45">
        <v>29238057</v>
      </c>
      <c r="V171" s="44"/>
      <c r="W171" s="45">
        <f>1838+6830000+471204+867686+8176484</f>
        <v>16347212</v>
      </c>
    </row>
    <row r="172" spans="1:24" s="116" customFormat="1" ht="12.75" customHeight="1">
      <c r="A172" s="44" t="s">
        <v>198</v>
      </c>
      <c r="C172" s="44" t="s">
        <v>199</v>
      </c>
      <c r="D172" s="35"/>
      <c r="E172" s="45">
        <v>500638</v>
      </c>
      <c r="F172" s="45"/>
      <c r="G172" s="45">
        <v>4313286</v>
      </c>
      <c r="H172" s="45"/>
      <c r="I172" s="45">
        <v>880337</v>
      </c>
      <c r="J172" s="45"/>
      <c r="K172" s="45">
        <v>767133</v>
      </c>
      <c r="L172" s="45"/>
      <c r="M172" s="45">
        <v>1653659</v>
      </c>
      <c r="N172" s="45"/>
      <c r="O172" s="45">
        <v>21765</v>
      </c>
      <c r="P172" s="45"/>
      <c r="Q172" s="45">
        <v>36122</v>
      </c>
      <c r="R172" s="45"/>
      <c r="S172" s="44">
        <f t="shared" si="6"/>
        <v>174773</v>
      </c>
      <c r="T172" s="45"/>
      <c r="U172" s="45">
        <v>8347713</v>
      </c>
      <c r="V172" s="44"/>
      <c r="W172" s="45">
        <v>332787</v>
      </c>
    </row>
    <row r="173" spans="1:24" s="116" customFormat="1" ht="12.75" customHeight="1">
      <c r="A173" s="44" t="s">
        <v>200</v>
      </c>
      <c r="C173" s="44" t="s">
        <v>103</v>
      </c>
      <c r="D173" s="35"/>
      <c r="E173" s="45">
        <v>1223420</v>
      </c>
      <c r="F173" s="45"/>
      <c r="G173" s="45">
        <v>6712088</v>
      </c>
      <c r="H173" s="45"/>
      <c r="I173" s="45">
        <v>0</v>
      </c>
      <c r="J173" s="45"/>
      <c r="K173" s="45">
        <v>1408679</v>
      </c>
      <c r="L173" s="45"/>
      <c r="M173" s="45">
        <v>1565812</v>
      </c>
      <c r="N173" s="45"/>
      <c r="O173" s="45">
        <v>10924</v>
      </c>
      <c r="P173" s="45"/>
      <c r="Q173" s="45">
        <f>669169+419597</f>
        <v>1088766</v>
      </c>
      <c r="R173" s="45"/>
      <c r="S173" s="44">
        <f t="shared" si="6"/>
        <v>985755</v>
      </c>
      <c r="T173" s="45"/>
      <c r="U173" s="45">
        <v>12995444</v>
      </c>
      <c r="V173" s="44"/>
      <c r="W173" s="45">
        <v>1511013</v>
      </c>
    </row>
    <row r="174" spans="1:24" s="116" customFormat="1" ht="12.75" customHeight="1">
      <c r="A174" s="44" t="s">
        <v>201</v>
      </c>
      <c r="C174" s="44" t="s">
        <v>92</v>
      </c>
      <c r="D174" s="35"/>
      <c r="E174" s="45">
        <v>1159979</v>
      </c>
      <c r="F174" s="45"/>
      <c r="G174" s="45">
        <v>7157251</v>
      </c>
      <c r="H174" s="45"/>
      <c r="I174" s="45">
        <v>13305</v>
      </c>
      <c r="J174" s="45"/>
      <c r="K174" s="45">
        <v>801465</v>
      </c>
      <c r="L174" s="45"/>
      <c r="M174" s="45">
        <v>2860371</v>
      </c>
      <c r="N174" s="45"/>
      <c r="O174" s="45">
        <v>89140</v>
      </c>
      <c r="P174" s="45"/>
      <c r="Q174" s="45">
        <f>303800+1227158</f>
        <v>1530958</v>
      </c>
      <c r="R174" s="45"/>
      <c r="S174" s="44">
        <f t="shared" si="6"/>
        <v>1437303</v>
      </c>
      <c r="T174" s="45"/>
      <c r="U174" s="45">
        <v>15049772</v>
      </c>
      <c r="V174" s="44"/>
      <c r="W174" s="45">
        <f>9169+2025167</f>
        <v>2034336</v>
      </c>
    </row>
    <row r="175" spans="1:24" s="116" customFormat="1" ht="12.75" customHeight="1">
      <c r="A175" s="44" t="s">
        <v>202</v>
      </c>
      <c r="C175" s="44" t="s">
        <v>27</v>
      </c>
      <c r="D175" s="35"/>
      <c r="E175" s="45">
        <v>8907238</v>
      </c>
      <c r="F175" s="45"/>
      <c r="G175" s="45">
        <v>34280038</v>
      </c>
      <c r="H175" s="45"/>
      <c r="I175" s="45">
        <v>0</v>
      </c>
      <c r="J175" s="45"/>
      <c r="K175" s="45">
        <v>2883161</v>
      </c>
      <c r="L175" s="45"/>
      <c r="M175" s="45">
        <v>21779894</v>
      </c>
      <c r="N175" s="45"/>
      <c r="O175" s="45">
        <v>1223813</v>
      </c>
      <c r="P175" s="45"/>
      <c r="Q175" s="45">
        <f>2174783+3536228</f>
        <v>5711011</v>
      </c>
      <c r="R175" s="45"/>
      <c r="S175" s="44">
        <f t="shared" si="6"/>
        <v>1308162</v>
      </c>
      <c r="T175" s="45"/>
      <c r="U175" s="45">
        <v>76093317</v>
      </c>
      <c r="V175" s="44"/>
      <c r="W175" s="45">
        <f>3027+8094101+628271</f>
        <v>8725399</v>
      </c>
    </row>
    <row r="176" spans="1:24" s="116" customFormat="1" ht="12.75" customHeight="1">
      <c r="A176" s="44" t="s">
        <v>203</v>
      </c>
      <c r="C176" s="44" t="s">
        <v>27</v>
      </c>
      <c r="D176" s="35"/>
      <c r="E176" s="45">
        <v>3508686</v>
      </c>
      <c r="F176" s="45"/>
      <c r="G176" s="45">
        <v>7863790</v>
      </c>
      <c r="H176" s="45"/>
      <c r="I176" s="45">
        <v>0</v>
      </c>
      <c r="J176" s="45"/>
      <c r="K176" s="45">
        <v>1470017</v>
      </c>
      <c r="L176" s="45"/>
      <c r="M176" s="45">
        <v>7276320</v>
      </c>
      <c r="N176" s="45"/>
      <c r="O176" s="45">
        <v>83595</v>
      </c>
      <c r="P176" s="45"/>
      <c r="Q176" s="45">
        <v>679454</v>
      </c>
      <c r="R176" s="45"/>
      <c r="S176" s="44">
        <f t="shared" si="6"/>
        <v>607343</v>
      </c>
      <c r="T176" s="45"/>
      <c r="U176" s="45">
        <v>21489205</v>
      </c>
      <c r="V176" s="44"/>
      <c r="W176" s="45">
        <v>246700</v>
      </c>
    </row>
    <row r="177" spans="1:23" s="116" customFormat="1" ht="12.75" customHeight="1">
      <c r="A177" s="44" t="s">
        <v>204</v>
      </c>
      <c r="C177" s="44" t="s">
        <v>125</v>
      </c>
      <c r="D177" s="35"/>
      <c r="E177" s="45">
        <v>2434278</v>
      </c>
      <c r="F177" s="45"/>
      <c r="G177" s="45">
        <v>976035</v>
      </c>
      <c r="H177" s="45"/>
      <c r="I177" s="45">
        <v>0</v>
      </c>
      <c r="J177" s="45"/>
      <c r="K177" s="45">
        <v>28181</v>
      </c>
      <c r="L177" s="45"/>
      <c r="M177" s="45">
        <v>2480970</v>
      </c>
      <c r="N177" s="45"/>
      <c r="O177" s="45">
        <v>4645</v>
      </c>
      <c r="P177" s="45"/>
      <c r="Q177" s="45">
        <f>235985+155183</f>
        <v>391168</v>
      </c>
      <c r="R177" s="45"/>
      <c r="S177" s="44">
        <f t="shared" si="6"/>
        <v>200334</v>
      </c>
      <c r="T177" s="45"/>
      <c r="U177" s="45">
        <v>6515611</v>
      </c>
      <c r="V177" s="44"/>
      <c r="W177" s="45">
        <f>18000+172445+195000</f>
        <v>385445</v>
      </c>
    </row>
    <row r="178" spans="1:23" s="134" customFormat="1" ht="12.75" hidden="1" customHeight="1">
      <c r="A178" s="123" t="s">
        <v>205</v>
      </c>
      <c r="B178" s="155"/>
      <c r="C178" s="123" t="s">
        <v>27</v>
      </c>
      <c r="D178" s="152"/>
      <c r="E178" s="127">
        <v>0</v>
      </c>
      <c r="F178" s="127"/>
      <c r="G178" s="127">
        <v>0</v>
      </c>
      <c r="H178" s="127"/>
      <c r="I178" s="127">
        <v>0</v>
      </c>
      <c r="J178" s="127"/>
      <c r="K178" s="127">
        <v>0</v>
      </c>
      <c r="L178" s="127"/>
      <c r="M178" s="127">
        <v>0</v>
      </c>
      <c r="N178" s="127"/>
      <c r="O178" s="127">
        <v>0</v>
      </c>
      <c r="P178" s="127"/>
      <c r="Q178" s="127">
        <v>0</v>
      </c>
      <c r="R178" s="127"/>
      <c r="S178" s="121">
        <f t="shared" si="6"/>
        <v>0</v>
      </c>
      <c r="T178" s="127"/>
      <c r="U178" s="127">
        <v>0</v>
      </c>
      <c r="V178" s="121"/>
      <c r="W178" s="127">
        <v>0</v>
      </c>
    </row>
    <row r="179" spans="1:23" s="116" customFormat="1" ht="12.75" customHeight="1">
      <c r="A179" s="44" t="s">
        <v>206</v>
      </c>
      <c r="C179" s="44" t="s">
        <v>47</v>
      </c>
      <c r="D179" s="35"/>
      <c r="E179" s="45">
        <v>3118776</v>
      </c>
      <c r="F179" s="45"/>
      <c r="G179" s="45">
        <v>13479113</v>
      </c>
      <c r="H179" s="45"/>
      <c r="I179" s="45">
        <v>0</v>
      </c>
      <c r="J179" s="45"/>
      <c r="K179" s="45">
        <v>1002472</v>
      </c>
      <c r="L179" s="45"/>
      <c r="M179" s="45">
        <v>3334968</v>
      </c>
      <c r="N179" s="45"/>
      <c r="O179" s="45">
        <v>295749</v>
      </c>
      <c r="P179" s="45"/>
      <c r="Q179" s="45">
        <f>135490+886588</f>
        <v>1022078</v>
      </c>
      <c r="R179" s="45"/>
      <c r="S179" s="44">
        <f t="shared" si="6"/>
        <v>358729</v>
      </c>
      <c r="T179" s="45"/>
      <c r="U179" s="45">
        <v>22611885</v>
      </c>
      <c r="V179" s="44"/>
      <c r="W179" s="45">
        <v>3883573</v>
      </c>
    </row>
    <row r="180" spans="1:23" s="116" customFormat="1" ht="12.75" customHeight="1">
      <c r="A180" s="44" t="s">
        <v>207</v>
      </c>
      <c r="C180" s="44" t="s">
        <v>102</v>
      </c>
      <c r="D180" s="35"/>
      <c r="E180" s="45">
        <v>2292735</v>
      </c>
      <c r="F180" s="45"/>
      <c r="G180" s="45">
        <v>4753299</v>
      </c>
      <c r="H180" s="45"/>
      <c r="I180" s="45">
        <f>104494+196698</f>
        <v>301192</v>
      </c>
      <c r="J180" s="45"/>
      <c r="K180" s="45">
        <v>535238</v>
      </c>
      <c r="L180" s="45"/>
      <c r="M180" s="45">
        <v>2851331</v>
      </c>
      <c r="N180" s="45"/>
      <c r="O180" s="45">
        <v>0</v>
      </c>
      <c r="P180" s="45"/>
      <c r="Q180" s="45">
        <f>429038+172465</f>
        <v>601503</v>
      </c>
      <c r="R180" s="45"/>
      <c r="S180" s="44">
        <f t="shared" si="6"/>
        <v>1482976</v>
      </c>
      <c r="T180" s="45"/>
      <c r="U180" s="45">
        <v>12818274</v>
      </c>
      <c r="V180" s="44"/>
      <c r="W180" s="45">
        <f>16249+2295000+258967+4416872</f>
        <v>6987088</v>
      </c>
    </row>
    <row r="181" spans="1:23" s="116" customFormat="1" ht="12.75" customHeight="1">
      <c r="A181" s="44" t="s">
        <v>208</v>
      </c>
      <c r="C181" s="44" t="s">
        <v>209</v>
      </c>
      <c r="D181" s="35"/>
      <c r="E181" s="45">
        <v>1402952</v>
      </c>
      <c r="F181" s="45"/>
      <c r="G181" s="45">
        <v>7374993</v>
      </c>
      <c r="H181" s="45"/>
      <c r="I181" s="45">
        <v>1173438</v>
      </c>
      <c r="J181" s="45"/>
      <c r="K181" s="45">
        <v>0</v>
      </c>
      <c r="L181" s="45"/>
      <c r="M181" s="45">
        <f>392849+86323</f>
        <v>479172</v>
      </c>
      <c r="N181" s="45"/>
      <c r="O181" s="45">
        <v>0</v>
      </c>
      <c r="P181" s="45"/>
      <c r="Q181" s="45">
        <v>0</v>
      </c>
      <c r="R181" s="45"/>
      <c r="S181" s="44">
        <f t="shared" si="6"/>
        <v>5806772</v>
      </c>
      <c r="T181" s="45"/>
      <c r="U181" s="45">
        <v>16237327</v>
      </c>
      <c r="V181" s="44"/>
      <c r="W181" s="45">
        <f>73777+56482+1057569</f>
        <v>1187828</v>
      </c>
    </row>
    <row r="182" spans="1:23" s="117" customFormat="1" ht="12.75" customHeight="1">
      <c r="A182" s="44" t="s">
        <v>210</v>
      </c>
      <c r="B182" s="116"/>
      <c r="C182" s="44" t="s">
        <v>211</v>
      </c>
      <c r="D182" s="35"/>
      <c r="E182" s="45">
        <v>803722</v>
      </c>
      <c r="F182" s="45"/>
      <c r="G182" s="45">
        <v>2080850</v>
      </c>
      <c r="H182" s="45"/>
      <c r="I182" s="45">
        <v>234327</v>
      </c>
      <c r="J182" s="45"/>
      <c r="K182" s="45">
        <v>413299</v>
      </c>
      <c r="L182" s="45"/>
      <c r="M182" s="45">
        <v>1988305</v>
      </c>
      <c r="N182" s="45"/>
      <c r="O182" s="45">
        <v>37708</v>
      </c>
      <c r="P182" s="45"/>
      <c r="Q182" s="45">
        <f>51507+11575</f>
        <v>63082</v>
      </c>
      <c r="R182" s="45"/>
      <c r="S182" s="44">
        <f t="shared" si="6"/>
        <v>167692</v>
      </c>
      <c r="T182" s="45"/>
      <c r="U182" s="45">
        <v>5788985</v>
      </c>
      <c r="V182" s="44"/>
      <c r="W182" s="45">
        <v>528390</v>
      </c>
    </row>
    <row r="183" spans="1:23" s="116" customFormat="1" ht="12.75" customHeight="1">
      <c r="A183" s="44" t="s">
        <v>212</v>
      </c>
      <c r="C183" s="44" t="s">
        <v>213</v>
      </c>
      <c r="D183" s="35"/>
      <c r="E183" s="45">
        <v>9701137</v>
      </c>
      <c r="F183" s="45"/>
      <c r="G183" s="45">
        <v>0</v>
      </c>
      <c r="H183" s="45"/>
      <c r="I183" s="45">
        <v>0</v>
      </c>
      <c r="J183" s="45"/>
      <c r="K183" s="45">
        <v>516537</v>
      </c>
      <c r="L183" s="45"/>
      <c r="M183" s="45">
        <v>5186662</v>
      </c>
      <c r="N183" s="45"/>
      <c r="O183" s="45">
        <v>0</v>
      </c>
      <c r="P183" s="45"/>
      <c r="Q183" s="45">
        <f>226215+1095018</f>
        <v>1321233</v>
      </c>
      <c r="R183" s="45"/>
      <c r="S183" s="44">
        <f t="shared" si="6"/>
        <v>319901</v>
      </c>
      <c r="T183" s="45"/>
      <c r="U183" s="45">
        <v>17045470</v>
      </c>
      <c r="V183" s="44"/>
      <c r="W183" s="45">
        <f>45369+129610+711600</f>
        <v>886579</v>
      </c>
    </row>
    <row r="184" spans="1:23" s="118" customFormat="1" ht="12.75" customHeight="1">
      <c r="A184" s="44" t="s">
        <v>214</v>
      </c>
      <c r="B184" s="116"/>
      <c r="C184" s="44" t="s">
        <v>86</v>
      </c>
      <c r="D184" s="35"/>
      <c r="E184" s="45">
        <v>1886645</v>
      </c>
      <c r="F184" s="45"/>
      <c r="G184" s="45">
        <v>3781176</v>
      </c>
      <c r="H184" s="45"/>
      <c r="I184" s="45">
        <v>0</v>
      </c>
      <c r="J184" s="45"/>
      <c r="K184" s="45">
        <v>119051</v>
      </c>
      <c r="L184" s="45"/>
      <c r="M184" s="45">
        <f>210334+196519+891996</f>
        <v>1298849</v>
      </c>
      <c r="N184" s="45"/>
      <c r="O184" s="45">
        <v>0</v>
      </c>
      <c r="P184" s="45"/>
      <c r="Q184" s="45">
        <f>452055+20799</f>
        <v>472854</v>
      </c>
      <c r="R184" s="45"/>
      <c r="S184" s="44">
        <f t="shared" si="6"/>
        <v>1519545</v>
      </c>
      <c r="T184" s="45"/>
      <c r="U184" s="45">
        <v>9078120</v>
      </c>
      <c r="V184" s="44"/>
      <c r="W184" s="45">
        <f>347350+3155000+179225</f>
        <v>3681575</v>
      </c>
    </row>
    <row r="185" spans="1:23" s="116" customFormat="1" ht="12.75" customHeight="1">
      <c r="A185" s="44" t="s">
        <v>215</v>
      </c>
      <c r="C185" s="44" t="s">
        <v>22</v>
      </c>
      <c r="D185" s="35"/>
      <c r="E185" s="45">
        <v>596868</v>
      </c>
      <c r="F185" s="45"/>
      <c r="G185" s="45">
        <v>6401462</v>
      </c>
      <c r="H185" s="45"/>
      <c r="I185" s="45">
        <v>0</v>
      </c>
      <c r="J185" s="45"/>
      <c r="K185" s="45">
        <v>1111236</v>
      </c>
      <c r="L185" s="45"/>
      <c r="M185" s="45">
        <v>2938711</v>
      </c>
      <c r="N185" s="45"/>
      <c r="O185" s="45">
        <v>47801</v>
      </c>
      <c r="P185" s="45"/>
      <c r="Q185" s="45">
        <f>432549+76197</f>
        <v>508746</v>
      </c>
      <c r="R185" s="45"/>
      <c r="S185" s="44">
        <f t="shared" si="6"/>
        <v>250515</v>
      </c>
      <c r="T185" s="45"/>
      <c r="U185" s="45">
        <v>11855339</v>
      </c>
      <c r="V185" s="44"/>
      <c r="W185" s="45">
        <f>11500+5256+210246</f>
        <v>227002</v>
      </c>
    </row>
    <row r="186" spans="1:23" s="116" customFormat="1" ht="12.75" customHeight="1">
      <c r="A186" s="44" t="s">
        <v>216</v>
      </c>
      <c r="C186" s="44" t="s">
        <v>45</v>
      </c>
      <c r="D186" s="35"/>
      <c r="E186" s="45">
        <v>6667972</v>
      </c>
      <c r="F186" s="45"/>
      <c r="G186" s="45">
        <v>0</v>
      </c>
      <c r="H186" s="45"/>
      <c r="I186" s="45">
        <v>0</v>
      </c>
      <c r="J186" s="45"/>
      <c r="K186" s="45">
        <v>1110223</v>
      </c>
      <c r="L186" s="45"/>
      <c r="M186" s="45">
        <v>2216896</v>
      </c>
      <c r="N186" s="45"/>
      <c r="O186" s="45">
        <v>172</v>
      </c>
      <c r="P186" s="45"/>
      <c r="Q186" s="45">
        <v>312655</v>
      </c>
      <c r="R186" s="45"/>
      <c r="S186" s="44">
        <f t="shared" si="6"/>
        <v>96743</v>
      </c>
      <c r="T186" s="45"/>
      <c r="U186" s="45">
        <v>10404661</v>
      </c>
      <c r="V186" s="44"/>
      <c r="W186" s="45">
        <f>325000+648944</f>
        <v>973944</v>
      </c>
    </row>
    <row r="187" spans="1:23" s="116" customFormat="1" ht="12.75" customHeight="1">
      <c r="A187" s="44" t="s">
        <v>217</v>
      </c>
      <c r="C187" s="44" t="s">
        <v>43</v>
      </c>
      <c r="D187" s="35"/>
      <c r="E187" s="45">
        <v>12329889</v>
      </c>
      <c r="F187" s="45"/>
      <c r="G187" s="45">
        <v>0</v>
      </c>
      <c r="H187" s="45"/>
      <c r="I187" s="45">
        <v>0</v>
      </c>
      <c r="J187" s="45"/>
      <c r="K187" s="45">
        <v>257288</v>
      </c>
      <c r="L187" s="45"/>
      <c r="M187" s="45">
        <v>5255750</v>
      </c>
      <c r="N187" s="45"/>
      <c r="O187" s="45">
        <v>49065</v>
      </c>
      <c r="P187" s="45"/>
      <c r="Q187" s="45">
        <f>280988+639141</f>
        <v>920129</v>
      </c>
      <c r="R187" s="45"/>
      <c r="S187" s="44">
        <f t="shared" si="6"/>
        <v>616260</v>
      </c>
      <c r="T187" s="45"/>
      <c r="U187" s="45">
        <v>19428381</v>
      </c>
      <c r="V187" s="44"/>
      <c r="W187" s="45">
        <f>275500+176955+1300000</f>
        <v>1752455</v>
      </c>
    </row>
    <row r="188" spans="1:23" s="134" customFormat="1" ht="12.75" hidden="1" customHeight="1">
      <c r="A188" s="121" t="s">
        <v>218</v>
      </c>
      <c r="B188" s="153"/>
      <c r="C188" s="121" t="s">
        <v>27</v>
      </c>
      <c r="D188" s="126"/>
      <c r="E188" s="127">
        <v>0</v>
      </c>
      <c r="F188" s="127"/>
      <c r="G188" s="127">
        <v>0</v>
      </c>
      <c r="H188" s="127"/>
      <c r="I188" s="127">
        <v>0</v>
      </c>
      <c r="J188" s="127"/>
      <c r="K188" s="127">
        <v>0</v>
      </c>
      <c r="L188" s="127"/>
      <c r="M188" s="127">
        <v>0</v>
      </c>
      <c r="N188" s="127"/>
      <c r="O188" s="127">
        <v>0</v>
      </c>
      <c r="P188" s="127"/>
      <c r="Q188" s="127">
        <v>0</v>
      </c>
      <c r="R188" s="127"/>
      <c r="S188" s="121">
        <f t="shared" si="6"/>
        <v>0</v>
      </c>
      <c r="T188" s="127"/>
      <c r="U188" s="127">
        <v>0</v>
      </c>
      <c r="V188" s="121"/>
      <c r="W188" s="127">
        <v>0</v>
      </c>
    </row>
    <row r="189" spans="1:23" s="116" customFormat="1" ht="12.75" customHeight="1">
      <c r="A189" s="44" t="s">
        <v>219</v>
      </c>
      <c r="C189" s="44" t="s">
        <v>199</v>
      </c>
      <c r="D189" s="35"/>
      <c r="E189" s="45">
        <v>586315</v>
      </c>
      <c r="F189" s="45"/>
      <c r="G189" s="45">
        <v>1099716</v>
      </c>
      <c r="H189" s="45"/>
      <c r="I189" s="45">
        <v>0</v>
      </c>
      <c r="J189" s="45"/>
      <c r="K189" s="45">
        <v>1158595</v>
      </c>
      <c r="L189" s="45"/>
      <c r="M189" s="45">
        <v>1074582</v>
      </c>
      <c r="N189" s="45"/>
      <c r="O189" s="45">
        <v>83120</v>
      </c>
      <c r="P189" s="45"/>
      <c r="Q189" s="45">
        <v>28764</v>
      </c>
      <c r="R189" s="45"/>
      <c r="S189" s="44">
        <f t="shared" si="6"/>
        <v>93009</v>
      </c>
      <c r="T189" s="45"/>
      <c r="U189" s="45">
        <v>4124101</v>
      </c>
      <c r="V189" s="44"/>
      <c r="W189" s="45">
        <v>165000</v>
      </c>
    </row>
    <row r="190" spans="1:23" s="116" customFormat="1" ht="12.75" customHeight="1">
      <c r="A190" s="44" t="s">
        <v>220</v>
      </c>
      <c r="C190" s="44" t="s">
        <v>66</v>
      </c>
      <c r="D190" s="35"/>
      <c r="E190" s="45">
        <v>2239242</v>
      </c>
      <c r="F190" s="45"/>
      <c r="G190" s="45">
        <v>4222589</v>
      </c>
      <c r="H190" s="45"/>
      <c r="I190" s="45">
        <v>250120</v>
      </c>
      <c r="J190" s="45"/>
      <c r="K190" s="45">
        <v>1798950</v>
      </c>
      <c r="L190" s="45"/>
      <c r="M190" s="45">
        <v>5492337</v>
      </c>
      <c r="N190" s="45"/>
      <c r="O190" s="45">
        <v>180705</v>
      </c>
      <c r="P190" s="45"/>
      <c r="Q190" s="45">
        <f>43623+25018</f>
        <v>68641</v>
      </c>
      <c r="R190" s="45"/>
      <c r="S190" s="44">
        <f t="shared" si="6"/>
        <v>208273</v>
      </c>
      <c r="T190" s="45"/>
      <c r="U190" s="45">
        <v>14460857</v>
      </c>
      <c r="V190" s="44"/>
      <c r="W190" s="45">
        <f>1200000+125316+4559733</f>
        <v>5885049</v>
      </c>
    </row>
    <row r="191" spans="1:23" s="116" customFormat="1" ht="12.75" customHeight="1">
      <c r="A191" s="44" t="s">
        <v>221</v>
      </c>
      <c r="C191" s="44" t="s">
        <v>27</v>
      </c>
      <c r="D191" s="35"/>
      <c r="E191" s="45">
        <v>6686547</v>
      </c>
      <c r="F191" s="45"/>
      <c r="G191" s="45">
        <v>8106509</v>
      </c>
      <c r="H191" s="45"/>
      <c r="I191" s="45">
        <v>269969</v>
      </c>
      <c r="J191" s="45"/>
      <c r="K191" s="45">
        <v>3635605</v>
      </c>
      <c r="L191" s="45"/>
      <c r="M191" s="45">
        <v>4683905</v>
      </c>
      <c r="N191" s="45"/>
      <c r="O191" s="45">
        <v>61788</v>
      </c>
      <c r="P191" s="45"/>
      <c r="Q191" s="45">
        <v>3405319</v>
      </c>
      <c r="R191" s="45"/>
      <c r="S191" s="44">
        <f t="shared" si="6"/>
        <v>242469</v>
      </c>
      <c r="T191" s="45"/>
      <c r="U191" s="45">
        <v>27092111</v>
      </c>
      <c r="V191" s="44"/>
      <c r="W191" s="45">
        <f>646016+11537+4471000</f>
        <v>5128553</v>
      </c>
    </row>
    <row r="192" spans="1:23" s="116" customFormat="1" ht="12.75" customHeight="1">
      <c r="A192" s="44" t="s">
        <v>222</v>
      </c>
      <c r="C192" s="44" t="s">
        <v>47</v>
      </c>
      <c r="D192" s="35"/>
      <c r="E192" s="45">
        <v>1341145</v>
      </c>
      <c r="F192" s="45"/>
      <c r="G192" s="45">
        <v>3462531</v>
      </c>
      <c r="H192" s="45"/>
      <c r="I192" s="45">
        <v>0</v>
      </c>
      <c r="J192" s="45"/>
      <c r="K192" s="45">
        <v>272059</v>
      </c>
      <c r="L192" s="45"/>
      <c r="M192" s="45">
        <v>1236292</v>
      </c>
      <c r="N192" s="45"/>
      <c r="O192" s="45">
        <v>485642</v>
      </c>
      <c r="P192" s="45"/>
      <c r="Q192" s="45">
        <v>69483</v>
      </c>
      <c r="R192" s="45"/>
      <c r="S192" s="44">
        <f t="shared" si="6"/>
        <v>895656</v>
      </c>
      <c r="T192" s="45"/>
      <c r="U192" s="45">
        <v>7762808</v>
      </c>
      <c r="V192" s="44"/>
      <c r="W192" s="45">
        <v>540153</v>
      </c>
    </row>
    <row r="193" spans="1:23" s="116" customFormat="1" ht="12.75" customHeight="1">
      <c r="A193" s="44" t="s">
        <v>223</v>
      </c>
      <c r="C193" s="44" t="s">
        <v>94</v>
      </c>
      <c r="D193" s="35"/>
      <c r="E193" s="45">
        <v>5133775</v>
      </c>
      <c r="F193" s="45"/>
      <c r="G193" s="45">
        <v>0</v>
      </c>
      <c r="H193" s="45"/>
      <c r="I193" s="45">
        <v>0</v>
      </c>
      <c r="J193" s="45"/>
      <c r="K193" s="45">
        <v>128868</v>
      </c>
      <c r="L193" s="45"/>
      <c r="M193" s="45">
        <v>1848498</v>
      </c>
      <c r="N193" s="45"/>
      <c r="O193" s="45">
        <v>25666</v>
      </c>
      <c r="P193" s="45"/>
      <c r="Q193" s="45">
        <f>138879+14701</f>
        <v>153580</v>
      </c>
      <c r="R193" s="45"/>
      <c r="S193" s="44">
        <f t="shared" si="6"/>
        <v>517066</v>
      </c>
      <c r="T193" s="45"/>
      <c r="U193" s="45">
        <v>7807453</v>
      </c>
      <c r="V193" s="44"/>
      <c r="W193" s="45">
        <f>3320+448929+3991657</f>
        <v>4443906</v>
      </c>
    </row>
    <row r="194" spans="1:23" s="116" customFormat="1" ht="12.75" customHeight="1">
      <c r="A194" s="44" t="s">
        <v>76</v>
      </c>
      <c r="C194" s="44" t="s">
        <v>132</v>
      </c>
      <c r="D194" s="35"/>
      <c r="E194" s="45">
        <v>2265450</v>
      </c>
      <c r="F194" s="45"/>
      <c r="G194" s="45">
        <v>6716022</v>
      </c>
      <c r="H194" s="45"/>
      <c r="I194" s="45">
        <v>4289953</v>
      </c>
      <c r="J194" s="45"/>
      <c r="K194" s="45">
        <v>1566291</v>
      </c>
      <c r="L194" s="45"/>
      <c r="M194" s="45">
        <v>7606331</v>
      </c>
      <c r="N194" s="45"/>
      <c r="O194" s="45">
        <v>312486</v>
      </c>
      <c r="P194" s="45"/>
      <c r="Q194" s="45">
        <f>951838+1089255</f>
        <v>2041093</v>
      </c>
      <c r="R194" s="45"/>
      <c r="S194" s="44">
        <f t="shared" si="6"/>
        <v>2122481</v>
      </c>
      <c r="T194" s="45"/>
      <c r="U194" s="45">
        <v>26920107</v>
      </c>
      <c r="V194" s="44"/>
      <c r="W194" s="45">
        <f>18478+4664279</f>
        <v>4682757</v>
      </c>
    </row>
    <row r="195" spans="1:23" s="116" customFormat="1" ht="12.75" customHeight="1">
      <c r="A195" s="44" t="s">
        <v>224</v>
      </c>
      <c r="C195" s="44" t="s">
        <v>27</v>
      </c>
      <c r="D195" s="35"/>
      <c r="E195" s="45">
        <v>7061036</v>
      </c>
      <c r="F195" s="45"/>
      <c r="G195" s="45">
        <v>0</v>
      </c>
      <c r="H195" s="45"/>
      <c r="I195" s="45">
        <v>0</v>
      </c>
      <c r="J195" s="45"/>
      <c r="K195" s="45">
        <v>1162913</v>
      </c>
      <c r="L195" s="45"/>
      <c r="M195" s="45">
        <v>2344658</v>
      </c>
      <c r="N195" s="45"/>
      <c r="O195" s="45">
        <v>193069</v>
      </c>
      <c r="P195" s="45"/>
      <c r="Q195" s="45">
        <v>527739</v>
      </c>
      <c r="R195" s="45"/>
      <c r="S195" s="44">
        <f t="shared" si="6"/>
        <v>40756</v>
      </c>
      <c r="T195" s="45"/>
      <c r="U195" s="45">
        <v>11330171</v>
      </c>
      <c r="V195" s="44"/>
      <c r="W195" s="45">
        <f>149015+2850000+19722+1269069</f>
        <v>4287806</v>
      </c>
    </row>
    <row r="196" spans="1:23" s="116" customFormat="1" ht="12.75" customHeight="1">
      <c r="A196" s="44" t="s">
        <v>225</v>
      </c>
      <c r="C196" s="44" t="s">
        <v>27</v>
      </c>
      <c r="D196" s="35"/>
      <c r="E196" s="45">
        <v>6992558</v>
      </c>
      <c r="F196" s="45"/>
      <c r="G196" s="45">
        <v>19562027</v>
      </c>
      <c r="H196" s="45"/>
      <c r="I196" s="45">
        <v>46219</v>
      </c>
      <c r="J196" s="45"/>
      <c r="K196" s="45">
        <v>7042983</v>
      </c>
      <c r="L196" s="45"/>
      <c r="M196" s="45">
        <v>11158151</v>
      </c>
      <c r="N196" s="45"/>
      <c r="O196" s="45">
        <v>1805098</v>
      </c>
      <c r="P196" s="45"/>
      <c r="Q196" s="45">
        <f>674820+740453</f>
        <v>1415273</v>
      </c>
      <c r="R196" s="45"/>
      <c r="S196" s="44">
        <f t="shared" ref="S196" si="7">+U196-SUM(E196:Q196)</f>
        <v>1208846</v>
      </c>
      <c r="T196" s="45"/>
      <c r="U196" s="53">
        <v>49231155</v>
      </c>
      <c r="V196" s="44"/>
      <c r="W196" s="44">
        <f>2902697+38938+4249037</f>
        <v>7190672</v>
      </c>
    </row>
    <row r="197" spans="1:23" s="116" customFormat="1" ht="12.75" customHeight="1">
      <c r="A197" s="44" t="s">
        <v>226</v>
      </c>
      <c r="C197" s="44" t="s">
        <v>45</v>
      </c>
      <c r="D197" s="64"/>
      <c r="E197" s="45">
        <v>18257911</v>
      </c>
      <c r="F197" s="45"/>
      <c r="G197" s="45">
        <v>0</v>
      </c>
      <c r="H197" s="45"/>
      <c r="I197" s="45">
        <v>0</v>
      </c>
      <c r="J197" s="45"/>
      <c r="K197" s="45">
        <v>867218</v>
      </c>
      <c r="L197" s="45"/>
      <c r="M197" s="45">
        <v>4481399</v>
      </c>
      <c r="N197" s="45"/>
      <c r="O197" s="45">
        <v>200419</v>
      </c>
      <c r="P197" s="45"/>
      <c r="Q197" s="45">
        <f>483849+425628</f>
        <v>909477</v>
      </c>
      <c r="R197" s="45"/>
      <c r="S197" s="44">
        <f t="shared" ref="S197:S256" si="8">+U197-SUM(E197:Q197)</f>
        <v>1401608</v>
      </c>
      <c r="T197" s="45"/>
      <c r="U197" s="45">
        <v>26118032</v>
      </c>
      <c r="V197" s="44"/>
      <c r="W197" s="45">
        <f>1400000+203289+1957663</f>
        <v>3560952</v>
      </c>
    </row>
    <row r="198" spans="1:23" s="117" customFormat="1" ht="12.75" customHeight="1">
      <c r="A198" s="46" t="s">
        <v>227</v>
      </c>
      <c r="C198" s="46" t="s">
        <v>17</v>
      </c>
      <c r="D198" s="64"/>
      <c r="E198" s="45">
        <v>1253725</v>
      </c>
      <c r="F198" s="45"/>
      <c r="G198" s="45">
        <v>1898764</v>
      </c>
      <c r="H198" s="45"/>
      <c r="I198" s="45">
        <v>0</v>
      </c>
      <c r="J198" s="45"/>
      <c r="K198" s="45">
        <v>952671</v>
      </c>
      <c r="L198" s="45"/>
      <c r="M198" s="45">
        <v>1908846</v>
      </c>
      <c r="N198" s="45"/>
      <c r="O198" s="45">
        <v>9206</v>
      </c>
      <c r="P198" s="45"/>
      <c r="Q198" s="45">
        <v>220667</v>
      </c>
      <c r="R198" s="45"/>
      <c r="S198" s="44">
        <f t="shared" si="8"/>
        <v>549745</v>
      </c>
      <c r="T198" s="45"/>
      <c r="U198" s="45">
        <v>6793624</v>
      </c>
      <c r="V198" s="44"/>
      <c r="W198" s="45">
        <f>378705+875840</f>
        <v>1254545</v>
      </c>
    </row>
    <row r="199" spans="1:23" s="116" customFormat="1" ht="12.75" customHeight="1">
      <c r="A199" s="44" t="s">
        <v>228</v>
      </c>
      <c r="C199" s="44" t="s">
        <v>153</v>
      </c>
      <c r="D199" s="35"/>
      <c r="E199" s="45">
        <v>3882780</v>
      </c>
      <c r="F199" s="45"/>
      <c r="G199" s="45">
        <v>0</v>
      </c>
      <c r="H199" s="45"/>
      <c r="I199" s="45">
        <v>0</v>
      </c>
      <c r="J199" s="45"/>
      <c r="K199" s="45">
        <v>50447</v>
      </c>
      <c r="L199" s="45"/>
      <c r="M199" s="45">
        <v>1997266</v>
      </c>
      <c r="N199" s="45"/>
      <c r="O199" s="45">
        <v>36237</v>
      </c>
      <c r="P199" s="45"/>
      <c r="Q199" s="45">
        <v>324308</v>
      </c>
      <c r="R199" s="45"/>
      <c r="S199" s="44">
        <f t="shared" si="8"/>
        <v>683611</v>
      </c>
      <c r="T199" s="45"/>
      <c r="U199" s="45">
        <v>6974649</v>
      </c>
      <c r="V199" s="44"/>
      <c r="W199" s="45">
        <v>280250</v>
      </c>
    </row>
    <row r="200" spans="1:23" s="116" customFormat="1" ht="12.75" customHeight="1">
      <c r="A200" s="44" t="s">
        <v>229</v>
      </c>
      <c r="C200" s="44" t="s">
        <v>228</v>
      </c>
      <c r="D200" s="35"/>
      <c r="E200" s="45">
        <v>14203412</v>
      </c>
      <c r="F200" s="45"/>
      <c r="G200" s="45">
        <v>0</v>
      </c>
      <c r="H200" s="45"/>
      <c r="I200" s="45">
        <v>0</v>
      </c>
      <c r="J200" s="45"/>
      <c r="K200" s="45">
        <v>1761900</v>
      </c>
      <c r="L200" s="45"/>
      <c r="M200" s="45">
        <v>3431778</v>
      </c>
      <c r="N200" s="45"/>
      <c r="O200" s="45">
        <v>422961</v>
      </c>
      <c r="P200" s="45"/>
      <c r="Q200" s="45">
        <v>188665</v>
      </c>
      <c r="R200" s="45"/>
      <c r="S200" s="44">
        <f t="shared" si="8"/>
        <v>769337</v>
      </c>
      <c r="T200" s="45"/>
      <c r="U200" s="45">
        <v>20778053</v>
      </c>
      <c r="V200" s="44"/>
      <c r="W200" s="45">
        <v>1032706</v>
      </c>
    </row>
    <row r="201" spans="1:23" s="116" customFormat="1" ht="12.75" customHeight="1">
      <c r="A201" s="46" t="s">
        <v>230</v>
      </c>
      <c r="B201" s="117"/>
      <c r="C201" s="46" t="s">
        <v>45</v>
      </c>
      <c r="D201" s="35"/>
      <c r="E201" s="45">
        <v>554008</v>
      </c>
      <c r="F201" s="45"/>
      <c r="G201" s="45">
        <v>1477011</v>
      </c>
      <c r="H201" s="45"/>
      <c r="I201" s="45">
        <v>0</v>
      </c>
      <c r="J201" s="45"/>
      <c r="K201" s="45">
        <v>305185</v>
      </c>
      <c r="L201" s="45"/>
      <c r="M201" s="45">
        <v>1311315</v>
      </c>
      <c r="N201" s="45"/>
      <c r="O201" s="45">
        <v>0</v>
      </c>
      <c r="P201" s="45"/>
      <c r="Q201" s="45">
        <v>87536</v>
      </c>
      <c r="R201" s="45"/>
      <c r="S201" s="44">
        <f t="shared" si="8"/>
        <v>56363</v>
      </c>
      <c r="T201" s="45"/>
      <c r="U201" s="45">
        <v>3791418</v>
      </c>
      <c r="V201" s="44"/>
      <c r="W201" s="45">
        <f>574050+998532+1907352</f>
        <v>3479934</v>
      </c>
    </row>
    <row r="202" spans="1:23" s="116" customFormat="1" ht="12.75" customHeight="1">
      <c r="A202" s="44" t="s">
        <v>231</v>
      </c>
      <c r="C202" s="44" t="s">
        <v>27</v>
      </c>
      <c r="D202" s="35"/>
      <c r="E202" s="45">
        <v>4200659</v>
      </c>
      <c r="F202" s="45"/>
      <c r="G202" s="45">
        <v>37011203</v>
      </c>
      <c r="H202" s="45"/>
      <c r="I202" s="45">
        <v>0</v>
      </c>
      <c r="J202" s="45"/>
      <c r="K202" s="45">
        <v>3562684</v>
      </c>
      <c r="L202" s="45"/>
      <c r="M202" s="45">
        <v>3418929</v>
      </c>
      <c r="N202" s="45"/>
      <c r="O202" s="45">
        <v>812268</v>
      </c>
      <c r="P202" s="45"/>
      <c r="Q202" s="45">
        <f>772364+342265</f>
        <v>1114629</v>
      </c>
      <c r="R202" s="45"/>
      <c r="S202" s="44">
        <f t="shared" si="8"/>
        <v>1833010</v>
      </c>
      <c r="T202" s="45"/>
      <c r="U202" s="45">
        <v>51953382</v>
      </c>
      <c r="V202" s="44"/>
      <c r="W202" s="45">
        <f>112607+7529125</f>
        <v>7641732</v>
      </c>
    </row>
    <row r="203" spans="1:23" s="116" customFormat="1" ht="12.75" customHeight="1">
      <c r="A203" s="44" t="s">
        <v>232</v>
      </c>
      <c r="C203" s="44" t="s">
        <v>27</v>
      </c>
      <c r="D203" s="35"/>
      <c r="E203" s="45">
        <v>4900091</v>
      </c>
      <c r="F203" s="45"/>
      <c r="G203" s="45">
        <v>8290533</v>
      </c>
      <c r="H203" s="45"/>
      <c r="I203" s="45">
        <v>0</v>
      </c>
      <c r="J203" s="45"/>
      <c r="K203" s="45">
        <v>608561</v>
      </c>
      <c r="L203" s="45"/>
      <c r="M203" s="45">
        <v>5687247</v>
      </c>
      <c r="N203" s="45"/>
      <c r="O203" s="45">
        <v>2721858</v>
      </c>
      <c r="P203" s="45"/>
      <c r="Q203" s="45">
        <f>27587+1151835</f>
        <v>1179422</v>
      </c>
      <c r="R203" s="45"/>
      <c r="S203" s="44">
        <f t="shared" si="8"/>
        <v>866545</v>
      </c>
      <c r="T203" s="45"/>
      <c r="U203" s="45">
        <v>24254257</v>
      </c>
      <c r="V203" s="44"/>
      <c r="W203" s="45">
        <f>6447+108685+3479+2000000+421321+673478</f>
        <v>3213410</v>
      </c>
    </row>
    <row r="204" spans="1:23" s="116" customFormat="1" ht="12.75" customHeight="1">
      <c r="A204" s="44" t="s">
        <v>233</v>
      </c>
      <c r="C204" s="44" t="s">
        <v>111</v>
      </c>
      <c r="D204" s="35"/>
      <c r="E204" s="45">
        <v>741189</v>
      </c>
      <c r="F204" s="45"/>
      <c r="G204" s="45">
        <v>9710970</v>
      </c>
      <c r="H204" s="45"/>
      <c r="I204" s="45">
        <v>0</v>
      </c>
      <c r="J204" s="45"/>
      <c r="K204" s="45">
        <v>1325282</v>
      </c>
      <c r="L204" s="45"/>
      <c r="M204" s="45">
        <v>2490006</v>
      </c>
      <c r="N204" s="45"/>
      <c r="O204" s="45">
        <v>384934</v>
      </c>
      <c r="P204" s="45"/>
      <c r="Q204" s="45">
        <v>507841</v>
      </c>
      <c r="R204" s="45"/>
      <c r="S204" s="44">
        <f t="shared" si="8"/>
        <v>1071723</v>
      </c>
      <c r="T204" s="45"/>
      <c r="U204" s="45">
        <v>16231945</v>
      </c>
      <c r="V204" s="44"/>
      <c r="W204" s="45">
        <f>4235000+93974+2589995</f>
        <v>6918969</v>
      </c>
    </row>
    <row r="205" spans="1:23" s="116" customFormat="1" ht="12.75" customHeight="1">
      <c r="A205" s="44" t="s">
        <v>234</v>
      </c>
      <c r="C205" s="44" t="s">
        <v>45</v>
      </c>
      <c r="D205" s="35"/>
      <c r="E205" s="45">
        <v>1494203</v>
      </c>
      <c r="F205" s="45"/>
      <c r="G205" s="45">
        <v>11557740</v>
      </c>
      <c r="H205" s="45"/>
      <c r="I205" s="45">
        <v>0</v>
      </c>
      <c r="J205" s="45"/>
      <c r="K205" s="45">
        <v>387996</v>
      </c>
      <c r="L205" s="45"/>
      <c r="M205" s="45">
        <v>3219831</v>
      </c>
      <c r="N205" s="45"/>
      <c r="O205" s="45">
        <v>429978</v>
      </c>
      <c r="P205" s="45"/>
      <c r="Q205" s="45">
        <f>387996+281087</f>
        <v>669083</v>
      </c>
      <c r="R205" s="45"/>
      <c r="S205" s="44">
        <f t="shared" si="8"/>
        <v>1282621</v>
      </c>
      <c r="T205" s="45"/>
      <c r="U205" s="45">
        <v>19041452</v>
      </c>
      <c r="V205" s="44"/>
      <c r="W205" s="45">
        <v>1080400</v>
      </c>
    </row>
    <row r="206" spans="1:23" s="116" customFormat="1" ht="12.75" customHeight="1">
      <c r="A206" s="44" t="s">
        <v>235</v>
      </c>
      <c r="C206" s="44" t="s">
        <v>183</v>
      </c>
      <c r="D206" s="35"/>
      <c r="E206" s="45">
        <v>2750962</v>
      </c>
      <c r="F206" s="45"/>
      <c r="G206" s="45">
        <v>26895090</v>
      </c>
      <c r="H206" s="45"/>
      <c r="I206" s="45">
        <v>821021</v>
      </c>
      <c r="J206" s="45"/>
      <c r="K206" s="45">
        <f>7083640+18221999</f>
        <v>25305639</v>
      </c>
      <c r="L206" s="45"/>
      <c r="M206" s="45">
        <v>4071849</v>
      </c>
      <c r="N206" s="45"/>
      <c r="O206" s="45">
        <v>143188</v>
      </c>
      <c r="P206" s="45"/>
      <c r="Q206" s="45">
        <f>571072+2434335</f>
        <v>3005407</v>
      </c>
      <c r="R206" s="45"/>
      <c r="S206" s="44">
        <f t="shared" si="8"/>
        <v>4664705</v>
      </c>
      <c r="T206" s="45"/>
      <c r="U206" s="45">
        <v>67657861</v>
      </c>
      <c r="V206" s="44"/>
      <c r="W206" s="45">
        <f>201910+166513+3839972</f>
        <v>4208395</v>
      </c>
    </row>
    <row r="207" spans="1:23" s="116" customFormat="1" ht="12.75" customHeight="1">
      <c r="A207" s="44" t="s">
        <v>236</v>
      </c>
      <c r="B207" s="118"/>
      <c r="C207" s="44" t="s">
        <v>45</v>
      </c>
      <c r="D207" s="35"/>
      <c r="E207" s="45">
        <v>10425721</v>
      </c>
      <c r="F207" s="45"/>
      <c r="G207" s="45">
        <v>0</v>
      </c>
      <c r="H207" s="45"/>
      <c r="I207" s="45">
        <v>0</v>
      </c>
      <c r="J207" s="45"/>
      <c r="K207" s="45">
        <v>241137</v>
      </c>
      <c r="L207" s="45"/>
      <c r="M207" s="45">
        <v>1177215</v>
      </c>
      <c r="N207" s="45"/>
      <c r="O207" s="45">
        <v>0</v>
      </c>
      <c r="P207" s="45"/>
      <c r="Q207" s="45">
        <f>50614+43909</f>
        <v>94523</v>
      </c>
      <c r="R207" s="45"/>
      <c r="S207" s="44">
        <f t="shared" si="8"/>
        <v>315352</v>
      </c>
      <c r="T207" s="45"/>
      <c r="U207" s="45">
        <v>12253948</v>
      </c>
      <c r="V207" s="44"/>
      <c r="W207" s="45">
        <f>38285+3689575</f>
        <v>3727860</v>
      </c>
    </row>
    <row r="208" spans="1:23" s="116" customFormat="1" ht="12.75" customHeight="1">
      <c r="A208" s="44" t="s">
        <v>237</v>
      </c>
      <c r="C208" s="44" t="s">
        <v>33</v>
      </c>
      <c r="D208" s="35"/>
      <c r="E208" s="45">
        <v>901403</v>
      </c>
      <c r="F208" s="45"/>
      <c r="G208" s="45">
        <v>0</v>
      </c>
      <c r="H208" s="45"/>
      <c r="I208" s="45">
        <v>0</v>
      </c>
      <c r="J208" s="45"/>
      <c r="K208" s="45">
        <v>144692</v>
      </c>
      <c r="L208" s="45"/>
      <c r="M208" s="45">
        <v>1221524</v>
      </c>
      <c r="N208" s="45"/>
      <c r="O208" s="45">
        <v>0</v>
      </c>
      <c r="P208" s="45"/>
      <c r="Q208" s="45">
        <f>118407+15683</f>
        <v>134090</v>
      </c>
      <c r="R208" s="45"/>
      <c r="S208" s="44">
        <f t="shared" si="8"/>
        <v>133743</v>
      </c>
      <c r="T208" s="45"/>
      <c r="U208" s="45">
        <v>2535452</v>
      </c>
      <c r="V208" s="44"/>
      <c r="W208" s="45">
        <f>1150178+3745</f>
        <v>1153923</v>
      </c>
    </row>
    <row r="209" spans="1:24" s="116" customFormat="1" ht="12.75" customHeight="1">
      <c r="A209" s="44" t="s">
        <v>238</v>
      </c>
      <c r="C209" s="44" t="s">
        <v>239</v>
      </c>
      <c r="D209" s="35"/>
      <c r="E209" s="45">
        <v>1209639</v>
      </c>
      <c r="F209" s="45"/>
      <c r="G209" s="45">
        <v>3914603</v>
      </c>
      <c r="H209" s="45"/>
      <c r="I209" s="45">
        <v>0</v>
      </c>
      <c r="J209" s="45"/>
      <c r="K209" s="45">
        <v>433619</v>
      </c>
      <c r="L209" s="45"/>
      <c r="M209" s="45">
        <v>1530746</v>
      </c>
      <c r="N209" s="45"/>
      <c r="O209" s="45">
        <v>146852</v>
      </c>
      <c r="P209" s="45"/>
      <c r="Q209" s="45">
        <f>19030+74905</f>
        <v>93935</v>
      </c>
      <c r="R209" s="45"/>
      <c r="S209" s="44">
        <f t="shared" si="8"/>
        <v>327081</v>
      </c>
      <c r="T209" s="45"/>
      <c r="U209" s="45">
        <v>7656475</v>
      </c>
      <c r="V209" s="44"/>
      <c r="W209" s="45">
        <f>100000+326921</f>
        <v>426921</v>
      </c>
    </row>
    <row r="210" spans="1:24" s="116" customFormat="1" ht="12.75" customHeight="1">
      <c r="A210" s="44" t="s">
        <v>486</v>
      </c>
      <c r="C210" s="44" t="s">
        <v>249</v>
      </c>
      <c r="D210" s="35"/>
      <c r="E210" s="45">
        <v>1355686</v>
      </c>
      <c r="F210" s="45"/>
      <c r="G210" s="45">
        <v>8666328</v>
      </c>
      <c r="H210" s="45"/>
      <c r="I210" s="45">
        <v>0</v>
      </c>
      <c r="J210" s="45"/>
      <c r="K210" s="45">
        <v>93014</v>
      </c>
      <c r="L210" s="45"/>
      <c r="M210" s="45">
        <v>9041850</v>
      </c>
      <c r="N210" s="45"/>
      <c r="O210" s="45">
        <v>37481</v>
      </c>
      <c r="P210" s="45"/>
      <c r="Q210" s="45">
        <f>328654+746178</f>
        <v>1074832</v>
      </c>
      <c r="R210" s="45"/>
      <c r="S210" s="44">
        <f t="shared" si="8"/>
        <v>455418</v>
      </c>
      <c r="T210" s="45"/>
      <c r="U210" s="45">
        <v>20724609</v>
      </c>
      <c r="V210" s="44"/>
      <c r="W210" s="45">
        <f>3497612+131071+1087+344482</f>
        <v>3974252</v>
      </c>
    </row>
    <row r="211" spans="1:24" s="116" customFormat="1" ht="12.75" customHeight="1">
      <c r="A211" s="44" t="s">
        <v>240</v>
      </c>
      <c r="C211" s="44" t="s">
        <v>13</v>
      </c>
      <c r="D211" s="35"/>
      <c r="E211" s="45">
        <v>7440114</v>
      </c>
      <c r="F211" s="45"/>
      <c r="G211" s="45">
        <v>11602741</v>
      </c>
      <c r="H211" s="45"/>
      <c r="I211" s="45">
        <v>0</v>
      </c>
      <c r="J211" s="45"/>
      <c r="K211" s="45">
        <v>989314</v>
      </c>
      <c r="L211" s="45"/>
      <c r="M211" s="45">
        <v>10787212</v>
      </c>
      <c r="N211" s="45"/>
      <c r="O211" s="45">
        <v>79891</v>
      </c>
      <c r="P211" s="45"/>
      <c r="Q211" s="45">
        <f>757871+3290911</f>
        <v>4048782</v>
      </c>
      <c r="R211" s="45"/>
      <c r="S211" s="44">
        <f t="shared" si="8"/>
        <v>1294034</v>
      </c>
      <c r="T211" s="45"/>
      <c r="U211" s="45">
        <v>36242088</v>
      </c>
      <c r="V211" s="44"/>
      <c r="W211" s="45">
        <f>7125000+109603+1831835</f>
        <v>9066438</v>
      </c>
    </row>
    <row r="212" spans="1:24" s="116" customFormat="1" ht="12.75" customHeight="1">
      <c r="A212" s="44" t="s">
        <v>241</v>
      </c>
      <c r="C212" s="44" t="s">
        <v>22</v>
      </c>
      <c r="D212" s="35"/>
      <c r="E212" s="45">
        <v>1658611</v>
      </c>
      <c r="F212" s="45"/>
      <c r="G212" s="45">
        <v>9717626</v>
      </c>
      <c r="H212" s="45"/>
      <c r="I212" s="45">
        <v>0</v>
      </c>
      <c r="J212" s="45"/>
      <c r="K212" s="45">
        <v>616182</v>
      </c>
      <c r="L212" s="45"/>
      <c r="M212" s="45">
        <v>2207816</v>
      </c>
      <c r="N212" s="45"/>
      <c r="O212" s="45">
        <v>139435</v>
      </c>
      <c r="P212" s="45"/>
      <c r="Q212" s="45">
        <f>295925+96864</f>
        <v>392789</v>
      </c>
      <c r="R212" s="45"/>
      <c r="S212" s="44">
        <f t="shared" si="8"/>
        <v>417468</v>
      </c>
      <c r="T212" s="45"/>
      <c r="U212" s="45">
        <v>15149927</v>
      </c>
      <c r="V212" s="44"/>
      <c r="W212" s="45">
        <f>2880000+19822+52410+234350+13407</f>
        <v>3199989</v>
      </c>
    </row>
    <row r="213" spans="1:24" s="116" customFormat="1" ht="12.75" customHeight="1">
      <c r="A213" s="44" t="s">
        <v>242</v>
      </c>
      <c r="C213" s="44" t="s">
        <v>27</v>
      </c>
      <c r="D213" s="35"/>
      <c r="E213" s="45">
        <v>9474306</v>
      </c>
      <c r="F213" s="45"/>
      <c r="G213" s="45">
        <v>26460113</v>
      </c>
      <c r="H213" s="45"/>
      <c r="I213" s="45">
        <v>158630</v>
      </c>
      <c r="J213" s="45"/>
      <c r="K213" s="45">
        <v>4306774</v>
      </c>
      <c r="L213" s="45"/>
      <c r="M213" s="45">
        <v>12656651</v>
      </c>
      <c r="N213" s="45"/>
      <c r="O213" s="45">
        <v>173606</v>
      </c>
      <c r="P213" s="45"/>
      <c r="Q213" s="45">
        <f>1342786+635519</f>
        <v>1978305</v>
      </c>
      <c r="R213" s="45"/>
      <c r="S213" s="44">
        <f t="shared" si="8"/>
        <v>1132412</v>
      </c>
      <c r="T213" s="45"/>
      <c r="U213" s="45">
        <v>56340797</v>
      </c>
      <c r="V213" s="44"/>
      <c r="W213" s="45">
        <f>10000250+31630</f>
        <v>10031880</v>
      </c>
    </row>
    <row r="214" spans="1:24" s="116" customFormat="1" ht="12.75" customHeight="1">
      <c r="A214" s="44" t="s">
        <v>243</v>
      </c>
      <c r="C214" s="44" t="s">
        <v>163</v>
      </c>
      <c r="D214" s="35"/>
      <c r="E214" s="45">
        <v>1337674</v>
      </c>
      <c r="F214" s="45"/>
      <c r="G214" s="45">
        <v>8314052</v>
      </c>
      <c r="H214" s="45"/>
      <c r="I214" s="45">
        <v>0</v>
      </c>
      <c r="J214" s="45"/>
      <c r="K214" s="45">
        <v>524562</v>
      </c>
      <c r="L214" s="45"/>
      <c r="M214" s="45">
        <v>3000542</v>
      </c>
      <c r="N214" s="45"/>
      <c r="O214" s="45">
        <v>830723</v>
      </c>
      <c r="P214" s="45"/>
      <c r="Q214" s="45">
        <f>287241+1035156</f>
        <v>1322397</v>
      </c>
      <c r="R214" s="45"/>
      <c r="S214" s="44">
        <f t="shared" si="8"/>
        <v>651097</v>
      </c>
      <c r="T214" s="45"/>
      <c r="U214" s="45">
        <v>15981047</v>
      </c>
      <c r="V214" s="44"/>
      <c r="W214" s="45">
        <f>6950000+15135441</f>
        <v>22085441</v>
      </c>
    </row>
    <row r="215" spans="1:24" s="116" customFormat="1" ht="12.75" customHeight="1">
      <c r="A215" s="44" t="s">
        <v>244</v>
      </c>
      <c r="C215" s="44" t="s">
        <v>13</v>
      </c>
      <c r="D215" s="35"/>
      <c r="E215" s="45">
        <v>2228915</v>
      </c>
      <c r="F215" s="45"/>
      <c r="G215" s="45">
        <v>7657243</v>
      </c>
      <c r="H215" s="45"/>
      <c r="I215" s="45">
        <v>0</v>
      </c>
      <c r="J215" s="45"/>
      <c r="K215" s="45">
        <v>2036244</v>
      </c>
      <c r="L215" s="45"/>
      <c r="M215" s="45">
        <v>4563381</v>
      </c>
      <c r="N215" s="45"/>
      <c r="O215" s="45">
        <v>115095</v>
      </c>
      <c r="P215" s="45"/>
      <c r="Q215" s="45">
        <v>548635</v>
      </c>
      <c r="R215" s="45"/>
      <c r="S215" s="44">
        <f t="shared" si="8"/>
        <v>98673</v>
      </c>
      <c r="T215" s="45"/>
      <c r="U215" s="45">
        <v>17248186</v>
      </c>
      <c r="V215" s="44"/>
      <c r="W215" s="45">
        <f>5320000+15190+2877000</f>
        <v>8212190</v>
      </c>
    </row>
    <row r="216" spans="1:24" s="116" customFormat="1" ht="12.75" customHeight="1">
      <c r="A216" s="44" t="s">
        <v>245</v>
      </c>
      <c r="C216" s="44" t="s">
        <v>110</v>
      </c>
      <c r="D216" s="35"/>
      <c r="E216" s="45">
        <v>1074921</v>
      </c>
      <c r="F216" s="45"/>
      <c r="G216" s="45">
        <v>6694561</v>
      </c>
      <c r="H216" s="45"/>
      <c r="I216" s="45">
        <v>0</v>
      </c>
      <c r="J216" s="45"/>
      <c r="K216" s="45">
        <v>555520</v>
      </c>
      <c r="L216" s="45"/>
      <c r="M216" s="45">
        <v>4500744</v>
      </c>
      <c r="N216" s="45"/>
      <c r="O216" s="45">
        <v>104106</v>
      </c>
      <c r="P216" s="45"/>
      <c r="Q216" s="45">
        <f>30771+567651</f>
        <v>598422</v>
      </c>
      <c r="R216" s="45"/>
      <c r="S216" s="44">
        <f t="shared" si="8"/>
        <v>485840</v>
      </c>
      <c r="T216" s="45"/>
      <c r="U216" s="45">
        <v>14014114</v>
      </c>
      <c r="V216" s="44"/>
      <c r="W216" s="45">
        <f>2222+1046603+2395000+45308</f>
        <v>3489133</v>
      </c>
    </row>
    <row r="217" spans="1:24" s="116" customFormat="1" ht="12.75" customHeight="1">
      <c r="A217" s="44" t="s">
        <v>246</v>
      </c>
      <c r="C217" s="44" t="s">
        <v>209</v>
      </c>
      <c r="D217" s="35"/>
      <c r="E217" s="45">
        <v>3823618</v>
      </c>
      <c r="F217" s="45"/>
      <c r="G217" s="45">
        <v>0</v>
      </c>
      <c r="H217" s="45"/>
      <c r="I217" s="45">
        <v>0</v>
      </c>
      <c r="J217" s="45"/>
      <c r="K217" s="45">
        <v>1770228</v>
      </c>
      <c r="L217" s="45"/>
      <c r="M217" s="45">
        <v>2121780</v>
      </c>
      <c r="N217" s="45"/>
      <c r="O217" s="45">
        <v>114526</v>
      </c>
      <c r="P217" s="45"/>
      <c r="Q217" s="45">
        <f>114113+20429</f>
        <v>134542</v>
      </c>
      <c r="R217" s="45"/>
      <c r="S217" s="44">
        <f t="shared" si="8"/>
        <v>244336</v>
      </c>
      <c r="T217" s="45"/>
      <c r="U217" s="45">
        <v>8209030</v>
      </c>
      <c r="V217" s="44"/>
      <c r="W217" s="45">
        <v>1334975</v>
      </c>
    </row>
    <row r="218" spans="1:24" s="116" customFormat="1" ht="12.75" customHeight="1">
      <c r="A218" s="44" t="s">
        <v>247</v>
      </c>
      <c r="C218" s="44" t="s">
        <v>163</v>
      </c>
      <c r="D218" s="35"/>
      <c r="E218" s="45">
        <v>11936000</v>
      </c>
      <c r="F218" s="45"/>
      <c r="G218" s="45">
        <v>144581000</v>
      </c>
      <c r="H218" s="45"/>
      <c r="I218" s="45">
        <v>0</v>
      </c>
      <c r="J218" s="45"/>
      <c r="K218" s="45">
        <v>24347000</v>
      </c>
      <c r="L218" s="45"/>
      <c r="M218" s="45">
        <f>42521000+30207000</f>
        <v>72728000</v>
      </c>
      <c r="N218" s="45"/>
      <c r="O218" s="45">
        <v>26592000</v>
      </c>
      <c r="P218" s="45"/>
      <c r="Q218" s="45">
        <f>2363000+5648000</f>
        <v>8011000</v>
      </c>
      <c r="R218" s="45"/>
      <c r="S218" s="44">
        <f t="shared" si="8"/>
        <v>5882000</v>
      </c>
      <c r="T218" s="45"/>
      <c r="U218" s="45">
        <v>294077000</v>
      </c>
      <c r="V218" s="44"/>
      <c r="W218" s="45">
        <f>63947000+59733000+498000+101000</f>
        <v>124279000</v>
      </c>
      <c r="X218" s="116">
        <f>53893+30390+3763+3887+746</f>
        <v>92679</v>
      </c>
    </row>
    <row r="219" spans="1:24" s="116" customFormat="1" ht="12.75" customHeight="1">
      <c r="A219" s="44" t="s">
        <v>471</v>
      </c>
      <c r="C219" s="44"/>
      <c r="D219" s="3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4"/>
      <c r="T219" s="45"/>
      <c r="U219" s="45"/>
      <c r="V219" s="44"/>
      <c r="W219" s="48" t="s">
        <v>484</v>
      </c>
    </row>
    <row r="220" spans="1:24" s="116" customFormat="1" ht="12.75" customHeight="1">
      <c r="A220" s="44" t="s">
        <v>248</v>
      </c>
      <c r="C220" s="44" t="s">
        <v>249</v>
      </c>
      <c r="D220" s="35"/>
      <c r="E220" s="94">
        <v>164166</v>
      </c>
      <c r="F220" s="94"/>
      <c r="G220" s="94">
        <v>2033275</v>
      </c>
      <c r="H220" s="94"/>
      <c r="I220" s="94">
        <v>46958</v>
      </c>
      <c r="J220" s="94"/>
      <c r="K220" s="94">
        <v>89983</v>
      </c>
      <c r="L220" s="94"/>
      <c r="M220" s="94">
        <v>837912</v>
      </c>
      <c r="N220" s="94"/>
      <c r="O220" s="94">
        <v>0</v>
      </c>
      <c r="P220" s="94"/>
      <c r="Q220" s="94">
        <f>33611+17948</f>
        <v>51559</v>
      </c>
      <c r="R220" s="94"/>
      <c r="S220" s="46">
        <f t="shared" si="8"/>
        <v>60265</v>
      </c>
      <c r="T220" s="94"/>
      <c r="U220" s="94">
        <v>3284118</v>
      </c>
      <c r="V220" s="46"/>
      <c r="W220" s="94">
        <f>755000+111971</f>
        <v>866971</v>
      </c>
    </row>
    <row r="221" spans="1:24" s="116" customFormat="1" ht="12.75" customHeight="1">
      <c r="A221" s="44" t="s">
        <v>250</v>
      </c>
      <c r="C221" s="44" t="s">
        <v>103</v>
      </c>
      <c r="D221" s="35"/>
      <c r="E221" s="45">
        <v>509975</v>
      </c>
      <c r="F221" s="45"/>
      <c r="G221" s="45">
        <v>1486715</v>
      </c>
      <c r="H221" s="45"/>
      <c r="I221" s="45">
        <v>0</v>
      </c>
      <c r="J221" s="45"/>
      <c r="K221" s="45">
        <v>251543</v>
      </c>
      <c r="L221" s="45"/>
      <c r="M221" s="45">
        <v>1386280</v>
      </c>
      <c r="N221" s="45"/>
      <c r="O221" s="45">
        <v>83704</v>
      </c>
      <c r="P221" s="45"/>
      <c r="Q221" s="45">
        <f>64658+230215</f>
        <v>294873</v>
      </c>
      <c r="R221" s="45"/>
      <c r="S221" s="44">
        <f t="shared" si="8"/>
        <v>315323</v>
      </c>
      <c r="T221" s="45"/>
      <c r="U221" s="45">
        <v>4328413</v>
      </c>
      <c r="V221" s="44"/>
      <c r="W221" s="45">
        <f>528307+19210+437445</f>
        <v>984962</v>
      </c>
    </row>
    <row r="222" spans="1:24" s="134" customFormat="1" ht="12.75" hidden="1" customHeight="1">
      <c r="A222" s="121" t="s">
        <v>251</v>
      </c>
      <c r="C222" s="121" t="s">
        <v>66</v>
      </c>
      <c r="D222" s="126"/>
      <c r="E222" s="127">
        <v>0</v>
      </c>
      <c r="F222" s="127"/>
      <c r="G222" s="127">
        <v>0</v>
      </c>
      <c r="H222" s="127"/>
      <c r="I222" s="127">
        <v>0</v>
      </c>
      <c r="J222" s="127"/>
      <c r="K222" s="127">
        <v>0</v>
      </c>
      <c r="L222" s="127"/>
      <c r="M222" s="127">
        <v>0</v>
      </c>
      <c r="N222" s="127"/>
      <c r="O222" s="127">
        <v>0</v>
      </c>
      <c r="P222" s="127"/>
      <c r="Q222" s="127">
        <v>0</v>
      </c>
      <c r="R222" s="127"/>
      <c r="S222" s="121">
        <f t="shared" si="8"/>
        <v>0</v>
      </c>
      <c r="T222" s="127"/>
      <c r="U222" s="127">
        <v>0</v>
      </c>
      <c r="V222" s="121"/>
      <c r="W222" s="127">
        <v>0</v>
      </c>
    </row>
    <row r="223" spans="1:24" s="116" customFormat="1" ht="12.75" customHeight="1">
      <c r="A223" s="44" t="s">
        <v>252</v>
      </c>
      <c r="C223" s="44" t="s">
        <v>209</v>
      </c>
      <c r="D223" s="35"/>
      <c r="E223" s="45">
        <v>14748543</v>
      </c>
      <c r="F223" s="45"/>
      <c r="G223" s="45">
        <v>0</v>
      </c>
      <c r="H223" s="45"/>
      <c r="I223" s="45">
        <v>0</v>
      </c>
      <c r="J223" s="45"/>
      <c r="K223" s="45">
        <v>3509000</v>
      </c>
      <c r="L223" s="45"/>
      <c r="M223" s="45">
        <v>3853125</v>
      </c>
      <c r="N223" s="45"/>
      <c r="O223" s="45">
        <v>123178</v>
      </c>
      <c r="P223" s="45"/>
      <c r="Q223" s="45">
        <v>93858</v>
      </c>
      <c r="R223" s="45"/>
      <c r="S223" s="44">
        <f t="shared" si="8"/>
        <v>1930039</v>
      </c>
      <c r="T223" s="45"/>
      <c r="U223" s="45">
        <v>24257743</v>
      </c>
      <c r="V223" s="44"/>
      <c r="W223" s="45">
        <f>57784+4587000</f>
        <v>4644784</v>
      </c>
    </row>
    <row r="224" spans="1:24" s="117" customFormat="1" ht="12.75" customHeight="1">
      <c r="A224" s="44" t="s">
        <v>253</v>
      </c>
      <c r="B224" s="116"/>
      <c r="C224" s="44" t="s">
        <v>13</v>
      </c>
      <c r="D224" s="35"/>
      <c r="E224" s="45">
        <v>1153362</v>
      </c>
      <c r="F224" s="45"/>
      <c r="G224" s="45">
        <v>19355533</v>
      </c>
      <c r="H224" s="45"/>
      <c r="I224" s="45">
        <v>111964</v>
      </c>
      <c r="J224" s="45"/>
      <c r="K224" s="45">
        <v>1586391</v>
      </c>
      <c r="L224" s="45"/>
      <c r="M224" s="45">
        <v>3565120</v>
      </c>
      <c r="N224" s="45"/>
      <c r="O224" s="45">
        <v>0</v>
      </c>
      <c r="P224" s="45"/>
      <c r="Q224" s="45">
        <f>462022+166729</f>
        <v>628751</v>
      </c>
      <c r="R224" s="45"/>
      <c r="S224" s="44">
        <f t="shared" si="8"/>
        <v>762019</v>
      </c>
      <c r="T224" s="45"/>
      <c r="U224" s="45">
        <v>27163140</v>
      </c>
      <c r="V224" s="44"/>
      <c r="W224" s="45">
        <f>164768+749046+1483824</f>
        <v>2397638</v>
      </c>
    </row>
    <row r="225" spans="1:23" s="116" customFormat="1" ht="12.75" customHeight="1">
      <c r="A225" s="44" t="s">
        <v>254</v>
      </c>
      <c r="B225" s="118"/>
      <c r="C225" s="44" t="s">
        <v>89</v>
      </c>
      <c r="D225" s="35"/>
      <c r="E225" s="45">
        <v>447974</v>
      </c>
      <c r="F225" s="45"/>
      <c r="G225" s="45">
        <v>1173118</v>
      </c>
      <c r="H225" s="45"/>
      <c r="I225" s="45">
        <v>0</v>
      </c>
      <c r="J225" s="45"/>
      <c r="K225" s="45">
        <v>41009</v>
      </c>
      <c r="L225" s="45"/>
      <c r="M225" s="45">
        <v>1354849</v>
      </c>
      <c r="N225" s="45"/>
      <c r="O225" s="45">
        <v>135913</v>
      </c>
      <c r="P225" s="45"/>
      <c r="Q225" s="45">
        <f>53517+19574</f>
        <v>73091</v>
      </c>
      <c r="R225" s="45"/>
      <c r="S225" s="44">
        <f t="shared" si="8"/>
        <v>78844</v>
      </c>
      <c r="T225" s="45"/>
      <c r="U225" s="45">
        <v>3304798</v>
      </c>
      <c r="V225" s="44"/>
      <c r="W225" s="45">
        <f>291143+125673</f>
        <v>416816</v>
      </c>
    </row>
    <row r="226" spans="1:23" s="116" customFormat="1" ht="12.75" customHeight="1">
      <c r="A226" s="44" t="s">
        <v>159</v>
      </c>
      <c r="C226" s="44" t="s">
        <v>66</v>
      </c>
      <c r="D226" s="35"/>
      <c r="E226" s="45">
        <v>1565508</v>
      </c>
      <c r="F226" s="45"/>
      <c r="G226" s="45">
        <v>461450</v>
      </c>
      <c r="H226" s="45"/>
      <c r="I226" s="45">
        <v>0</v>
      </c>
      <c r="J226" s="45"/>
      <c r="K226" s="45">
        <v>755669</v>
      </c>
      <c r="L226" s="45"/>
      <c r="M226" s="45">
        <v>806058</v>
      </c>
      <c r="N226" s="45"/>
      <c r="O226" s="45">
        <v>429079</v>
      </c>
      <c r="P226" s="45"/>
      <c r="Q226" s="45">
        <v>34190</v>
      </c>
      <c r="R226" s="45"/>
      <c r="S226" s="44">
        <f t="shared" si="8"/>
        <v>137143</v>
      </c>
      <c r="T226" s="45"/>
      <c r="U226" s="45">
        <v>4189097</v>
      </c>
      <c r="V226" s="44"/>
      <c r="W226" s="45">
        <f>55977+167439</f>
        <v>223416</v>
      </c>
    </row>
    <row r="227" spans="1:23" s="116" customFormat="1" ht="12.75" customHeight="1">
      <c r="A227" s="44" t="s">
        <v>255</v>
      </c>
      <c r="C227" s="44" t="s">
        <v>27</v>
      </c>
      <c r="D227" s="35"/>
      <c r="E227" s="45">
        <v>2832753</v>
      </c>
      <c r="F227" s="45"/>
      <c r="G227" s="45">
        <v>9284183</v>
      </c>
      <c r="H227" s="45"/>
      <c r="I227" s="45">
        <v>0</v>
      </c>
      <c r="J227" s="45"/>
      <c r="K227" s="45">
        <v>459799</v>
      </c>
      <c r="L227" s="45"/>
      <c r="M227" s="45">
        <v>2649860</v>
      </c>
      <c r="N227" s="45"/>
      <c r="O227" s="45">
        <v>836169</v>
      </c>
      <c r="P227" s="45"/>
      <c r="Q227" s="45">
        <v>715925</v>
      </c>
      <c r="R227" s="45"/>
      <c r="S227" s="44">
        <f t="shared" si="8"/>
        <v>3728433</v>
      </c>
      <c r="T227" s="45"/>
      <c r="U227" s="45">
        <v>20507122</v>
      </c>
      <c r="V227" s="44"/>
      <c r="W227" s="45">
        <f>2901000+3619949</f>
        <v>6520949</v>
      </c>
    </row>
    <row r="228" spans="1:23" s="118" customFormat="1" ht="12.75" customHeight="1">
      <c r="A228" s="44" t="s">
        <v>256</v>
      </c>
      <c r="C228" s="44" t="s">
        <v>43</v>
      </c>
      <c r="D228" s="35"/>
      <c r="E228" s="45">
        <v>9134287</v>
      </c>
      <c r="F228" s="45"/>
      <c r="G228" s="45">
        <v>14088064</v>
      </c>
      <c r="H228" s="45"/>
      <c r="I228" s="45">
        <f>4074563+1135820</f>
        <v>5210383</v>
      </c>
      <c r="J228" s="45"/>
      <c r="K228" s="45">
        <v>1891286</v>
      </c>
      <c r="L228" s="45"/>
      <c r="M228" s="45">
        <v>4631850</v>
      </c>
      <c r="N228" s="45"/>
      <c r="O228" s="45">
        <v>0</v>
      </c>
      <c r="P228" s="45"/>
      <c r="Q228" s="45">
        <f>922353+415805</f>
        <v>1338158</v>
      </c>
      <c r="R228" s="45"/>
      <c r="S228" s="44">
        <f t="shared" si="8"/>
        <v>1994359</v>
      </c>
      <c r="T228" s="45"/>
      <c r="U228" s="45">
        <v>38288387</v>
      </c>
      <c r="V228" s="44"/>
      <c r="W228" s="45">
        <f>6660682+10000000+25396+380552</f>
        <v>17066630</v>
      </c>
    </row>
    <row r="229" spans="1:23" s="116" customFormat="1" ht="12.75" customHeight="1">
      <c r="A229" s="44" t="s">
        <v>257</v>
      </c>
      <c r="C229" s="44" t="s">
        <v>258</v>
      </c>
      <c r="D229" s="49"/>
      <c r="E229" s="45">
        <v>549526</v>
      </c>
      <c r="F229" s="45"/>
      <c r="G229" s="45">
        <v>1973428</v>
      </c>
      <c r="H229" s="45"/>
      <c r="I229" s="45">
        <v>0</v>
      </c>
      <c r="J229" s="45"/>
      <c r="K229" s="45">
        <v>156719</v>
      </c>
      <c r="L229" s="45"/>
      <c r="M229" s="45">
        <v>1487343</v>
      </c>
      <c r="N229" s="45"/>
      <c r="O229" s="45">
        <v>0</v>
      </c>
      <c r="P229" s="45"/>
      <c r="Q229" s="45">
        <f>23690+558147</f>
        <v>581837</v>
      </c>
      <c r="R229" s="45"/>
      <c r="S229" s="44">
        <f t="shared" si="8"/>
        <v>103447</v>
      </c>
      <c r="T229" s="45"/>
      <c r="U229" s="45">
        <v>4852300</v>
      </c>
      <c r="V229" s="44"/>
      <c r="W229" s="45">
        <f>16779+1166143</f>
        <v>1182922</v>
      </c>
    </row>
    <row r="230" spans="1:23" s="116" customFormat="1" ht="12.75" customHeight="1">
      <c r="A230" s="44" t="s">
        <v>259</v>
      </c>
      <c r="C230" s="44" t="s">
        <v>260</v>
      </c>
      <c r="D230" s="35"/>
      <c r="E230" s="45">
        <v>570186</v>
      </c>
      <c r="F230" s="45"/>
      <c r="G230" s="45">
        <v>4677482</v>
      </c>
      <c r="H230" s="45"/>
      <c r="I230" s="45">
        <v>0</v>
      </c>
      <c r="J230" s="45"/>
      <c r="K230" s="45">
        <v>1069656</v>
      </c>
      <c r="L230" s="45"/>
      <c r="M230" s="45">
        <v>3544702</v>
      </c>
      <c r="N230" s="45"/>
      <c r="O230" s="45">
        <v>0</v>
      </c>
      <c r="P230" s="45"/>
      <c r="Q230" s="45">
        <v>891746</v>
      </c>
      <c r="R230" s="45"/>
      <c r="S230" s="44">
        <f t="shared" si="8"/>
        <v>376706</v>
      </c>
      <c r="T230" s="45"/>
      <c r="U230" s="45">
        <v>11130478</v>
      </c>
      <c r="V230" s="44"/>
      <c r="W230" s="45">
        <f>1085000+2560+200000+214068</f>
        <v>1501628</v>
      </c>
    </row>
    <row r="231" spans="1:23" s="116" customFormat="1" ht="12.75" customHeight="1">
      <c r="A231" s="44" t="s">
        <v>261</v>
      </c>
      <c r="C231" s="44" t="s">
        <v>66</v>
      </c>
      <c r="D231" s="35"/>
      <c r="E231" s="45">
        <v>2081995</v>
      </c>
      <c r="F231" s="45"/>
      <c r="G231" s="45">
        <v>11031533</v>
      </c>
      <c r="H231" s="45"/>
      <c r="I231" s="45">
        <v>0</v>
      </c>
      <c r="J231" s="45"/>
      <c r="K231" s="45">
        <v>3647220</v>
      </c>
      <c r="L231" s="45"/>
      <c r="M231" s="45">
        <v>5034523</v>
      </c>
      <c r="N231" s="45"/>
      <c r="O231" s="45">
        <v>9606</v>
      </c>
      <c r="P231" s="45"/>
      <c r="Q231" s="45">
        <f>196525+1492793</f>
        <v>1689318</v>
      </c>
      <c r="R231" s="45"/>
      <c r="S231" s="44">
        <f t="shared" si="8"/>
        <v>387022</v>
      </c>
      <c r="T231" s="45"/>
      <c r="U231" s="45">
        <v>23881217</v>
      </c>
      <c r="V231" s="44"/>
      <c r="W231" s="45">
        <v>4253092</v>
      </c>
    </row>
    <row r="232" spans="1:23" s="134" customFormat="1" ht="12.75" hidden="1" customHeight="1">
      <c r="A232" s="121" t="s">
        <v>262</v>
      </c>
      <c r="C232" s="121" t="s">
        <v>132</v>
      </c>
      <c r="D232" s="126"/>
      <c r="E232" s="127">
        <v>0</v>
      </c>
      <c r="F232" s="127"/>
      <c r="G232" s="127">
        <v>0</v>
      </c>
      <c r="H232" s="127"/>
      <c r="I232" s="127">
        <v>0</v>
      </c>
      <c r="J232" s="127"/>
      <c r="K232" s="127">
        <v>0</v>
      </c>
      <c r="L232" s="127"/>
      <c r="M232" s="127">
        <v>0</v>
      </c>
      <c r="N232" s="127"/>
      <c r="O232" s="127">
        <v>0</v>
      </c>
      <c r="P232" s="127"/>
      <c r="Q232" s="127">
        <v>0</v>
      </c>
      <c r="R232" s="127"/>
      <c r="S232" s="121">
        <f t="shared" si="8"/>
        <v>0</v>
      </c>
      <c r="T232" s="127"/>
      <c r="U232" s="127">
        <v>0</v>
      </c>
      <c r="V232" s="121"/>
      <c r="W232" s="127">
        <v>0</v>
      </c>
    </row>
    <row r="233" spans="1:23" s="116" customFormat="1" ht="12.75" customHeight="1">
      <c r="A233" s="44" t="s">
        <v>263</v>
      </c>
      <c r="C233" s="44" t="s">
        <v>53</v>
      </c>
      <c r="D233" s="35"/>
      <c r="E233" s="45">
        <v>2996532</v>
      </c>
      <c r="F233" s="45"/>
      <c r="G233" s="45">
        <v>6573369</v>
      </c>
      <c r="H233" s="45"/>
      <c r="I233" s="45">
        <v>99000</v>
      </c>
      <c r="J233" s="45"/>
      <c r="K233" s="45">
        <v>1857582</v>
      </c>
      <c r="L233" s="45"/>
      <c r="M233" s="45">
        <v>6145906</v>
      </c>
      <c r="N233" s="45"/>
      <c r="O233" s="45">
        <v>184287</v>
      </c>
      <c r="P233" s="45"/>
      <c r="Q233" s="45">
        <f>390012+653093</f>
        <v>1043105</v>
      </c>
      <c r="R233" s="45"/>
      <c r="S233" s="44">
        <f t="shared" si="8"/>
        <v>330436</v>
      </c>
      <c r="T233" s="45"/>
      <c r="U233" s="45">
        <v>19230217</v>
      </c>
      <c r="V233" s="44"/>
      <c r="W233" s="45">
        <f>6845800+18290000+39648</f>
        <v>25175448</v>
      </c>
    </row>
    <row r="234" spans="1:23" s="116" customFormat="1" ht="12.75" customHeight="1">
      <c r="A234" s="44" t="s">
        <v>264</v>
      </c>
      <c r="C234" s="44" t="s">
        <v>239</v>
      </c>
      <c r="D234" s="35"/>
      <c r="E234" s="45">
        <v>472312</v>
      </c>
      <c r="F234" s="45"/>
      <c r="G234" s="45">
        <v>2171986</v>
      </c>
      <c r="H234" s="45"/>
      <c r="I234" s="45">
        <v>718141</v>
      </c>
      <c r="J234" s="45"/>
      <c r="K234" s="45">
        <v>673656</v>
      </c>
      <c r="L234" s="45"/>
      <c r="M234" s="45">
        <v>2385316</v>
      </c>
      <c r="N234" s="45"/>
      <c r="O234" s="45">
        <v>108280</v>
      </c>
      <c r="P234" s="45"/>
      <c r="Q234" s="45">
        <f>82112+21292</f>
        <v>103404</v>
      </c>
      <c r="R234" s="45"/>
      <c r="S234" s="44">
        <f t="shared" si="8"/>
        <v>207911</v>
      </c>
      <c r="T234" s="45"/>
      <c r="U234" s="45">
        <v>6841006</v>
      </c>
      <c r="V234" s="44"/>
      <c r="W234" s="45">
        <f>54955+3100+919852</f>
        <v>977907</v>
      </c>
    </row>
    <row r="235" spans="1:23" s="116" customFormat="1" ht="12.75" customHeight="1">
      <c r="A235" s="44" t="s">
        <v>111</v>
      </c>
      <c r="C235" s="44" t="s">
        <v>80</v>
      </c>
      <c r="D235" s="64"/>
      <c r="E235" s="45">
        <v>1475498</v>
      </c>
      <c r="F235" s="45"/>
      <c r="G235" s="45">
        <v>15872631</v>
      </c>
      <c r="H235" s="45"/>
      <c r="I235" s="45">
        <v>0</v>
      </c>
      <c r="J235" s="45"/>
      <c r="K235" s="45">
        <v>2084254</v>
      </c>
      <c r="L235" s="45"/>
      <c r="M235" s="45">
        <v>13198824</v>
      </c>
      <c r="N235" s="45"/>
      <c r="O235" s="45">
        <v>50813</v>
      </c>
      <c r="P235" s="45"/>
      <c r="Q235" s="45">
        <f>2303729+1918363</f>
        <v>4222092</v>
      </c>
      <c r="R235" s="45"/>
      <c r="S235" s="44">
        <f t="shared" si="8"/>
        <v>1055686</v>
      </c>
      <c r="T235" s="45"/>
      <c r="U235" s="45">
        <v>37959798</v>
      </c>
      <c r="V235" s="44"/>
      <c r="W235" s="45">
        <f>520000+384562</f>
        <v>904562</v>
      </c>
    </row>
    <row r="236" spans="1:23" s="116" customFormat="1" ht="12.75" customHeight="1">
      <c r="A236" s="44" t="s">
        <v>265</v>
      </c>
      <c r="C236" s="44" t="s">
        <v>27</v>
      </c>
      <c r="D236" s="35"/>
      <c r="E236" s="45">
        <v>1525921</v>
      </c>
      <c r="F236" s="45"/>
      <c r="G236" s="45">
        <v>12829743</v>
      </c>
      <c r="H236" s="45"/>
      <c r="I236" s="45">
        <v>185939</v>
      </c>
      <c r="J236" s="45"/>
      <c r="K236" s="45">
        <v>352805</v>
      </c>
      <c r="L236" s="45"/>
      <c r="M236" s="45">
        <v>2179335</v>
      </c>
      <c r="N236" s="45"/>
      <c r="O236" s="45">
        <v>242138</v>
      </c>
      <c r="P236" s="45"/>
      <c r="Q236" s="45">
        <f>267270+192370</f>
        <v>459640</v>
      </c>
      <c r="R236" s="45"/>
      <c r="S236" s="44">
        <f t="shared" si="8"/>
        <v>281943</v>
      </c>
      <c r="T236" s="45"/>
      <c r="U236" s="45">
        <v>18057464</v>
      </c>
      <c r="V236" s="44"/>
      <c r="W236" s="45">
        <f>27898+12495060+533756</f>
        <v>13056714</v>
      </c>
    </row>
    <row r="237" spans="1:23" s="117" customFormat="1" ht="12.75" customHeight="1">
      <c r="A237" s="44" t="s">
        <v>40</v>
      </c>
      <c r="B237" s="116"/>
      <c r="C237" s="47" t="s">
        <v>451</v>
      </c>
      <c r="D237" s="35"/>
      <c r="E237" s="45">
        <v>1476911</v>
      </c>
      <c r="F237" s="45"/>
      <c r="G237" s="45">
        <v>5003983</v>
      </c>
      <c r="H237" s="45"/>
      <c r="I237" s="45">
        <v>0</v>
      </c>
      <c r="J237" s="45"/>
      <c r="K237" s="45">
        <v>1027913</v>
      </c>
      <c r="L237" s="45"/>
      <c r="M237" s="45">
        <v>2583955</v>
      </c>
      <c r="N237" s="45"/>
      <c r="O237" s="45">
        <v>0</v>
      </c>
      <c r="P237" s="45"/>
      <c r="Q237" s="45">
        <v>778155</v>
      </c>
      <c r="R237" s="45"/>
      <c r="S237" s="44">
        <f t="shared" si="8"/>
        <v>1085593</v>
      </c>
      <c r="T237" s="45"/>
      <c r="U237" s="45">
        <v>11956510</v>
      </c>
      <c r="V237" s="44"/>
      <c r="W237" s="45">
        <f>1630000+75000</f>
        <v>1705000</v>
      </c>
    </row>
    <row r="238" spans="1:23" s="116" customFormat="1" ht="12.75" customHeight="1">
      <c r="A238" s="44" t="s">
        <v>266</v>
      </c>
      <c r="C238" s="44" t="s">
        <v>267</v>
      </c>
      <c r="D238" s="35"/>
      <c r="E238" s="45">
        <v>3309165</v>
      </c>
      <c r="F238" s="45"/>
      <c r="G238" s="45">
        <v>0</v>
      </c>
      <c r="H238" s="45"/>
      <c r="I238" s="45">
        <v>0</v>
      </c>
      <c r="J238" s="45"/>
      <c r="K238" s="45">
        <v>586793</v>
      </c>
      <c r="L238" s="45"/>
      <c r="M238" s="45">
        <v>1952346</v>
      </c>
      <c r="N238" s="45"/>
      <c r="O238" s="45">
        <v>0</v>
      </c>
      <c r="P238" s="45"/>
      <c r="Q238" s="45">
        <f>9920+39034</f>
        <v>48954</v>
      </c>
      <c r="R238" s="45"/>
      <c r="S238" s="44">
        <f t="shared" si="8"/>
        <v>271138</v>
      </c>
      <c r="T238" s="45"/>
      <c r="U238" s="45">
        <v>6168396</v>
      </c>
      <c r="V238" s="44"/>
      <c r="W238" s="45">
        <f>3000000+86292+105000+160000</f>
        <v>3351292</v>
      </c>
    </row>
    <row r="239" spans="1:23" s="118" customFormat="1" ht="12.75" customHeight="1">
      <c r="A239" s="44" t="s">
        <v>268</v>
      </c>
      <c r="B239" s="116"/>
      <c r="C239" s="44" t="s">
        <v>269</v>
      </c>
      <c r="D239" s="35"/>
      <c r="E239" s="45">
        <v>2049357</v>
      </c>
      <c r="F239" s="45"/>
      <c r="G239" s="45">
        <v>0</v>
      </c>
      <c r="H239" s="45"/>
      <c r="I239" s="45">
        <v>0</v>
      </c>
      <c r="J239" s="45"/>
      <c r="K239" s="45">
        <v>28805</v>
      </c>
      <c r="L239" s="45"/>
      <c r="M239" s="45">
        <v>961649</v>
      </c>
      <c r="N239" s="45"/>
      <c r="O239" s="45">
        <v>0</v>
      </c>
      <c r="P239" s="45"/>
      <c r="Q239" s="45">
        <f>1824+136587</f>
        <v>138411</v>
      </c>
      <c r="R239" s="45"/>
      <c r="S239" s="44">
        <f t="shared" si="8"/>
        <v>69060</v>
      </c>
      <c r="T239" s="45"/>
      <c r="U239" s="45">
        <v>3247282</v>
      </c>
      <c r="V239" s="44"/>
      <c r="W239" s="45">
        <f>759433+1081527</f>
        <v>1840960</v>
      </c>
    </row>
    <row r="240" spans="1:23" s="116" customFormat="1" ht="12.75" customHeight="1">
      <c r="A240" s="44" t="s">
        <v>270</v>
      </c>
      <c r="C240" s="44" t="s">
        <v>136</v>
      </c>
      <c r="D240" s="35"/>
      <c r="E240" s="45">
        <v>688500</v>
      </c>
      <c r="F240" s="45"/>
      <c r="G240" s="45">
        <v>1013452</v>
      </c>
      <c r="H240" s="45"/>
      <c r="I240" s="45">
        <v>0</v>
      </c>
      <c r="J240" s="45"/>
      <c r="K240" s="45">
        <v>113960</v>
      </c>
      <c r="L240" s="45"/>
      <c r="M240" s="45">
        <v>1200542</v>
      </c>
      <c r="N240" s="45"/>
      <c r="O240" s="45">
        <v>0</v>
      </c>
      <c r="P240" s="45"/>
      <c r="Q240" s="45">
        <f>48913+30875</f>
        <v>79788</v>
      </c>
      <c r="R240" s="45"/>
      <c r="S240" s="44">
        <f t="shared" si="8"/>
        <v>454009</v>
      </c>
      <c r="T240" s="45"/>
      <c r="U240" s="45">
        <v>3550251</v>
      </c>
      <c r="V240" s="44"/>
      <c r="W240" s="45">
        <v>66087</v>
      </c>
    </row>
    <row r="241" spans="1:23" s="118" customFormat="1" ht="12.75" customHeight="1">
      <c r="A241" s="44" t="s">
        <v>271</v>
      </c>
      <c r="B241" s="116"/>
      <c r="C241" s="44" t="s">
        <v>66</v>
      </c>
      <c r="D241" s="35"/>
      <c r="E241" s="45">
        <v>7310143</v>
      </c>
      <c r="F241" s="45"/>
      <c r="G241" s="45">
        <v>0</v>
      </c>
      <c r="H241" s="45"/>
      <c r="I241" s="45">
        <v>0</v>
      </c>
      <c r="J241" s="45"/>
      <c r="K241" s="45">
        <v>488377</v>
      </c>
      <c r="L241" s="45"/>
      <c r="M241" s="45">
        <v>2981070</v>
      </c>
      <c r="N241" s="45"/>
      <c r="O241" s="45">
        <v>107105</v>
      </c>
      <c r="P241" s="45"/>
      <c r="Q241" s="45">
        <f>352330+71987</f>
        <v>424317</v>
      </c>
      <c r="R241" s="45"/>
      <c r="S241" s="44">
        <f t="shared" si="8"/>
        <v>472143</v>
      </c>
      <c r="T241" s="45"/>
      <c r="U241" s="45">
        <v>11783155</v>
      </c>
      <c r="V241" s="44"/>
      <c r="W241" s="45">
        <f>284999+2303286</f>
        <v>2588285</v>
      </c>
    </row>
    <row r="242" spans="1:23" s="116" customFormat="1" ht="12.75" customHeight="1">
      <c r="A242" s="44" t="s">
        <v>272</v>
      </c>
      <c r="C242" s="44" t="s">
        <v>43</v>
      </c>
      <c r="D242" s="35"/>
      <c r="E242" s="45">
        <v>10250347</v>
      </c>
      <c r="F242" s="45"/>
      <c r="G242" s="45">
        <v>35745993</v>
      </c>
      <c r="H242" s="45"/>
      <c r="I242" s="45">
        <v>516475</v>
      </c>
      <c r="J242" s="45"/>
      <c r="K242" s="45">
        <v>4961753</v>
      </c>
      <c r="L242" s="45"/>
      <c r="M242" s="45">
        <v>12981581</v>
      </c>
      <c r="N242" s="45"/>
      <c r="O242" s="45">
        <v>0</v>
      </c>
      <c r="P242" s="45"/>
      <c r="Q242" s="45">
        <f>790783+753569</f>
        <v>1544352</v>
      </c>
      <c r="R242" s="45"/>
      <c r="S242" s="44">
        <f t="shared" si="8"/>
        <v>3785091</v>
      </c>
      <c r="T242" s="45"/>
      <c r="U242" s="45">
        <v>69785592</v>
      </c>
      <c r="V242" s="44"/>
      <c r="W242" s="45">
        <f>7015000+543380+10374+20155971</f>
        <v>27724725</v>
      </c>
    </row>
    <row r="243" spans="1:23" s="116" customFormat="1" ht="12.75" customHeight="1">
      <c r="A243" s="44" t="s">
        <v>273</v>
      </c>
      <c r="C243" s="44" t="s">
        <v>27</v>
      </c>
      <c r="D243" s="35"/>
      <c r="E243" s="45">
        <v>11871691</v>
      </c>
      <c r="F243" s="45"/>
      <c r="G243" s="45">
        <v>19136172</v>
      </c>
      <c r="H243" s="45"/>
      <c r="I243" s="45">
        <f>178209+406204+479845+257883</f>
        <v>1322141</v>
      </c>
      <c r="J243" s="45"/>
      <c r="K243" s="45">
        <v>3454644</v>
      </c>
      <c r="L243" s="45"/>
      <c r="M243" s="45">
        <v>8478667</v>
      </c>
      <c r="N243" s="45"/>
      <c r="O243" s="45">
        <v>285000</v>
      </c>
      <c r="P243" s="45"/>
      <c r="Q243" s="45">
        <f>472444+359933</f>
        <v>832377</v>
      </c>
      <c r="R243" s="45"/>
      <c r="S243" s="44">
        <f t="shared" si="8"/>
        <v>965112</v>
      </c>
      <c r="T243" s="45"/>
      <c r="U243" s="45">
        <v>46345804</v>
      </c>
      <c r="V243" s="44"/>
      <c r="W243" s="45">
        <f>34382+18600000+53940+729550</f>
        <v>19417872</v>
      </c>
    </row>
    <row r="244" spans="1:23" s="116" customFormat="1" ht="12.75" customHeight="1">
      <c r="A244" s="44" t="s">
        <v>274</v>
      </c>
      <c r="C244" s="44" t="s">
        <v>43</v>
      </c>
      <c r="D244" s="35"/>
      <c r="E244" s="45">
        <v>518670</v>
      </c>
      <c r="F244" s="45"/>
      <c r="G244" s="45">
        <v>16814950</v>
      </c>
      <c r="H244" s="45"/>
      <c r="I244" s="45">
        <v>0</v>
      </c>
      <c r="J244" s="45"/>
      <c r="K244" s="45">
        <v>646531</v>
      </c>
      <c r="L244" s="45"/>
      <c r="M244" s="45">
        <v>5168579</v>
      </c>
      <c r="N244" s="45"/>
      <c r="O244" s="45">
        <v>181321</v>
      </c>
      <c r="P244" s="45"/>
      <c r="Q244" s="45">
        <f>553132+332540</f>
        <v>885672</v>
      </c>
      <c r="R244" s="45"/>
      <c r="S244" s="44">
        <f t="shared" si="8"/>
        <v>1058916</v>
      </c>
      <c r="T244" s="45"/>
      <c r="U244" s="45">
        <v>25274639</v>
      </c>
      <c r="V244" s="44"/>
      <c r="W244" s="45">
        <f>41328+104494+2438158</f>
        <v>2583980</v>
      </c>
    </row>
    <row r="245" spans="1:23" s="116" customFormat="1" ht="12.75" customHeight="1">
      <c r="A245" s="44" t="s">
        <v>275</v>
      </c>
      <c r="C245" s="44" t="s">
        <v>92</v>
      </c>
      <c r="D245" s="35"/>
      <c r="E245" s="45">
        <v>2710321</v>
      </c>
      <c r="F245" s="45"/>
      <c r="G245" s="45">
        <v>10524830</v>
      </c>
      <c r="H245" s="45"/>
      <c r="I245" s="45">
        <v>215152</v>
      </c>
      <c r="J245" s="45"/>
      <c r="K245" s="45">
        <v>585272</v>
      </c>
      <c r="L245" s="45"/>
      <c r="M245" s="45">
        <f>2654406+1306095</f>
        <v>3960501</v>
      </c>
      <c r="N245" s="45"/>
      <c r="O245" s="45">
        <v>381985</v>
      </c>
      <c r="P245" s="45"/>
      <c r="Q245" s="45">
        <f>381493+144965</f>
        <v>526458</v>
      </c>
      <c r="R245" s="45"/>
      <c r="S245" s="44">
        <f t="shared" si="8"/>
        <v>359731</v>
      </c>
      <c r="T245" s="45"/>
      <c r="U245" s="45">
        <v>19264250</v>
      </c>
      <c r="V245" s="44"/>
      <c r="W245" s="45">
        <f>55994+80108+212366</f>
        <v>348468</v>
      </c>
    </row>
    <row r="246" spans="1:23" s="116" customFormat="1" ht="12.75" customHeight="1">
      <c r="A246" s="44" t="s">
        <v>276</v>
      </c>
      <c r="C246" s="44" t="s">
        <v>38</v>
      </c>
      <c r="D246" s="35"/>
      <c r="E246" s="45">
        <v>375845</v>
      </c>
      <c r="F246" s="45"/>
      <c r="G246" s="45">
        <v>3101254</v>
      </c>
      <c r="H246" s="45"/>
      <c r="I246" s="45">
        <v>0</v>
      </c>
      <c r="J246" s="45"/>
      <c r="K246" s="45">
        <v>693540</v>
      </c>
      <c r="L246" s="45"/>
      <c r="M246" s="45">
        <v>2848025</v>
      </c>
      <c r="N246" s="45"/>
      <c r="O246" s="45">
        <v>0</v>
      </c>
      <c r="P246" s="45"/>
      <c r="Q246" s="45">
        <f>50995+45573</f>
        <v>96568</v>
      </c>
      <c r="R246" s="45"/>
      <c r="S246" s="44">
        <f t="shared" si="8"/>
        <v>85075</v>
      </c>
      <c r="T246" s="45"/>
      <c r="U246" s="45">
        <v>7200307</v>
      </c>
      <c r="V246" s="44"/>
      <c r="W246" s="45">
        <f>20000+4802+134700</f>
        <v>159502</v>
      </c>
    </row>
    <row r="247" spans="1:23" s="116" customFormat="1" ht="12.75" customHeight="1">
      <c r="A247" s="44" t="s">
        <v>277</v>
      </c>
      <c r="C247" s="44" t="s">
        <v>92</v>
      </c>
      <c r="D247" s="35"/>
      <c r="E247" s="45">
        <v>4353307</v>
      </c>
      <c r="F247" s="45"/>
      <c r="G247" s="45">
        <v>14625589</v>
      </c>
      <c r="H247" s="45"/>
      <c r="I247" s="45">
        <v>0</v>
      </c>
      <c r="J247" s="45"/>
      <c r="K247" s="45">
        <v>1594327</v>
      </c>
      <c r="L247" s="45"/>
      <c r="M247" s="45">
        <v>5205655</v>
      </c>
      <c r="N247" s="45"/>
      <c r="O247" s="45">
        <v>656448</v>
      </c>
      <c r="P247" s="45"/>
      <c r="Q247" s="45">
        <f>2601731+230587</f>
        <v>2832318</v>
      </c>
      <c r="R247" s="45"/>
      <c r="S247" s="44">
        <f t="shared" si="8"/>
        <v>277578</v>
      </c>
      <c r="T247" s="45"/>
      <c r="U247" s="45">
        <v>29545222</v>
      </c>
      <c r="V247" s="44"/>
      <c r="W247" s="45">
        <f>2309060+5235000+41600+41000</f>
        <v>7626660</v>
      </c>
    </row>
    <row r="248" spans="1:23" s="116" customFormat="1" ht="12.75" customHeight="1">
      <c r="A248" s="44" t="s">
        <v>278</v>
      </c>
      <c r="C248" s="44" t="s">
        <v>92</v>
      </c>
      <c r="D248" s="35"/>
      <c r="E248" s="45">
        <v>1852493</v>
      </c>
      <c r="F248" s="45"/>
      <c r="G248" s="45">
        <v>3486159</v>
      </c>
      <c r="H248" s="45"/>
      <c r="I248" s="45">
        <f>41804+88887+69793</f>
        <v>200484</v>
      </c>
      <c r="J248" s="45"/>
      <c r="K248" s="45">
        <v>394386</v>
      </c>
      <c r="L248" s="45"/>
      <c r="M248" s="45">
        <v>2390296</v>
      </c>
      <c r="N248" s="45"/>
      <c r="O248" s="45">
        <v>218211</v>
      </c>
      <c r="P248" s="45"/>
      <c r="Q248" s="45">
        <f>2605722+190820</f>
        <v>2796542</v>
      </c>
      <c r="R248" s="45"/>
      <c r="S248" s="44">
        <f t="shared" si="8"/>
        <v>307878</v>
      </c>
      <c r="T248" s="45"/>
      <c r="U248" s="45">
        <v>11646449</v>
      </c>
      <c r="V248" s="44"/>
      <c r="W248" s="45">
        <f>1250000+437100</f>
        <v>1687100</v>
      </c>
    </row>
    <row r="249" spans="1:23" s="116" customFormat="1" ht="12.75" customHeight="1">
      <c r="A249" s="44" t="s">
        <v>279</v>
      </c>
      <c r="C249" s="44" t="s">
        <v>92</v>
      </c>
      <c r="D249" s="35"/>
      <c r="E249" s="45">
        <v>4062432</v>
      </c>
      <c r="F249" s="45"/>
      <c r="G249" s="45">
        <v>2185643</v>
      </c>
      <c r="H249" s="45"/>
      <c r="I249" s="45">
        <v>202170</v>
      </c>
      <c r="J249" s="45"/>
      <c r="K249" s="45">
        <v>656302</v>
      </c>
      <c r="L249" s="45"/>
      <c r="M249" s="45">
        <v>3834840</v>
      </c>
      <c r="N249" s="45"/>
      <c r="O249" s="45">
        <v>0</v>
      </c>
      <c r="P249" s="45"/>
      <c r="Q249" s="45">
        <f>213765+80172</f>
        <v>293937</v>
      </c>
      <c r="R249" s="45"/>
      <c r="S249" s="44">
        <f t="shared" si="8"/>
        <v>78087</v>
      </c>
      <c r="T249" s="45"/>
      <c r="U249" s="45">
        <v>11313411</v>
      </c>
      <c r="V249" s="44"/>
      <c r="W249" s="45">
        <f>100+2290000+2742216</f>
        <v>5032316</v>
      </c>
    </row>
    <row r="250" spans="1:23" s="116" customFormat="1" ht="12.75" customHeight="1">
      <c r="A250" s="44" t="s">
        <v>280</v>
      </c>
      <c r="C250" s="44" t="s">
        <v>281</v>
      </c>
      <c r="D250" s="35"/>
      <c r="E250" s="45">
        <v>2259741</v>
      </c>
      <c r="F250" s="45"/>
      <c r="G250" s="45">
        <v>4106756</v>
      </c>
      <c r="H250" s="45"/>
      <c r="I250" s="45">
        <v>0</v>
      </c>
      <c r="J250" s="45"/>
      <c r="K250" s="45">
        <v>1739943</v>
      </c>
      <c r="L250" s="45"/>
      <c r="M250" s="45">
        <v>2805362</v>
      </c>
      <c r="N250" s="45"/>
      <c r="O250" s="45">
        <v>375728</v>
      </c>
      <c r="P250" s="45"/>
      <c r="Q250" s="45">
        <f>28158+958645</f>
        <v>986803</v>
      </c>
      <c r="R250" s="45"/>
      <c r="S250" s="44">
        <f t="shared" si="8"/>
        <v>253510</v>
      </c>
      <c r="T250" s="45"/>
      <c r="U250" s="45">
        <v>12527843</v>
      </c>
      <c r="V250" s="44"/>
      <c r="W250" s="45">
        <v>4398434</v>
      </c>
    </row>
    <row r="251" spans="1:23" s="116" customFormat="1" ht="12.75" customHeight="1">
      <c r="A251" s="44" t="s">
        <v>282</v>
      </c>
      <c r="C251" s="44" t="s">
        <v>199</v>
      </c>
      <c r="D251" s="35"/>
      <c r="E251" s="45">
        <v>1189919</v>
      </c>
      <c r="F251" s="45"/>
      <c r="G251" s="45">
        <v>0</v>
      </c>
      <c r="H251" s="45"/>
      <c r="I251" s="45">
        <v>0</v>
      </c>
      <c r="J251" s="45"/>
      <c r="K251" s="45">
        <v>1300388</v>
      </c>
      <c r="L251" s="45"/>
      <c r="M251" s="45">
        <v>5932221</v>
      </c>
      <c r="N251" s="45"/>
      <c r="O251" s="45">
        <v>205259</v>
      </c>
      <c r="P251" s="45"/>
      <c r="Q251" s="45">
        <v>494175</v>
      </c>
      <c r="R251" s="45"/>
      <c r="S251" s="44">
        <f t="shared" si="8"/>
        <v>13166869</v>
      </c>
      <c r="T251" s="45"/>
      <c r="U251" s="45">
        <v>22288831</v>
      </c>
      <c r="V251" s="44"/>
      <c r="W251" s="45">
        <f>6685000+56160+1163000</f>
        <v>7904160</v>
      </c>
    </row>
    <row r="252" spans="1:23" s="116" customFormat="1" ht="12.75" customHeight="1">
      <c r="A252" s="44" t="s">
        <v>283</v>
      </c>
      <c r="C252" s="44" t="s">
        <v>43</v>
      </c>
      <c r="D252" s="35"/>
      <c r="E252" s="45">
        <v>2692486</v>
      </c>
      <c r="F252" s="45"/>
      <c r="G252" s="45">
        <v>16980164</v>
      </c>
      <c r="H252" s="45"/>
      <c r="I252" s="45">
        <v>167732</v>
      </c>
      <c r="J252" s="45"/>
      <c r="K252" s="45">
        <v>3210279</v>
      </c>
      <c r="L252" s="45"/>
      <c r="M252" s="45">
        <v>2399106</v>
      </c>
      <c r="N252" s="45"/>
      <c r="O252" s="45">
        <v>41088</v>
      </c>
      <c r="P252" s="45"/>
      <c r="Q252" s="45">
        <f>329337+198471</f>
        <v>527808</v>
      </c>
      <c r="R252" s="45"/>
      <c r="S252" s="44">
        <f t="shared" si="8"/>
        <v>352082</v>
      </c>
      <c r="T252" s="45"/>
      <c r="U252" s="45">
        <v>26370745</v>
      </c>
      <c r="V252" s="44"/>
      <c r="W252" s="45">
        <v>1705000</v>
      </c>
    </row>
    <row r="253" spans="1:23" s="116" customFormat="1" ht="12.75" customHeight="1">
      <c r="A253" s="44" t="s">
        <v>284</v>
      </c>
      <c r="C253" s="44" t="s">
        <v>45</v>
      </c>
      <c r="D253" s="35"/>
      <c r="E253" s="45">
        <v>6917072</v>
      </c>
      <c r="F253" s="45"/>
      <c r="G253" s="45">
        <v>0</v>
      </c>
      <c r="H253" s="45"/>
      <c r="I253" s="45">
        <v>0</v>
      </c>
      <c r="J253" s="45"/>
      <c r="K253" s="45">
        <v>961939</v>
      </c>
      <c r="L253" s="45"/>
      <c r="M253" s="45">
        <v>2495132</v>
      </c>
      <c r="N253" s="45"/>
      <c r="O253" s="45">
        <v>0</v>
      </c>
      <c r="P253" s="45"/>
      <c r="Q253" s="45">
        <v>13869</v>
      </c>
      <c r="R253" s="45"/>
      <c r="S253" s="44">
        <f t="shared" si="8"/>
        <v>174798</v>
      </c>
      <c r="T253" s="45"/>
      <c r="U253" s="45">
        <v>10562810</v>
      </c>
      <c r="V253" s="44"/>
      <c r="W253" s="45">
        <f>67338+1847436</f>
        <v>1914774</v>
      </c>
    </row>
    <row r="254" spans="1:23" s="116" customFormat="1" ht="12.75" customHeight="1">
      <c r="A254" s="44" t="s">
        <v>285</v>
      </c>
      <c r="C254" s="44" t="s">
        <v>30</v>
      </c>
      <c r="D254" s="35"/>
      <c r="E254" s="45">
        <v>0</v>
      </c>
      <c r="F254" s="45"/>
      <c r="G254" s="45">
        <v>8262780</v>
      </c>
      <c r="H254" s="45"/>
      <c r="I254" s="45">
        <v>1619094</v>
      </c>
      <c r="J254" s="45"/>
      <c r="K254" s="45">
        <v>1766578</v>
      </c>
      <c r="L254" s="45"/>
      <c r="M254" s="45">
        <f>3097393+1522973</f>
        <v>4620366</v>
      </c>
      <c r="N254" s="45"/>
      <c r="O254" s="45">
        <v>0</v>
      </c>
      <c r="P254" s="45"/>
      <c r="Q254" s="45">
        <v>1418432</v>
      </c>
      <c r="R254" s="45"/>
      <c r="S254" s="44">
        <f t="shared" si="8"/>
        <v>1808726</v>
      </c>
      <c r="T254" s="45"/>
      <c r="U254" s="45">
        <v>19495976</v>
      </c>
      <c r="V254" s="44"/>
      <c r="W254" s="45">
        <v>7512071</v>
      </c>
    </row>
    <row r="255" spans="1:23" s="134" customFormat="1" ht="12.75" hidden="1" customHeight="1">
      <c r="A255" s="121" t="s">
        <v>286</v>
      </c>
      <c r="C255" s="121" t="s">
        <v>61</v>
      </c>
      <c r="D255" s="152"/>
      <c r="E255" s="127">
        <v>0</v>
      </c>
      <c r="F255" s="127"/>
      <c r="G255" s="127">
        <v>0</v>
      </c>
      <c r="H255" s="127"/>
      <c r="I255" s="127">
        <v>0</v>
      </c>
      <c r="J255" s="127"/>
      <c r="K255" s="127">
        <v>0</v>
      </c>
      <c r="L255" s="127"/>
      <c r="M255" s="127">
        <v>0</v>
      </c>
      <c r="N255" s="127"/>
      <c r="O255" s="127">
        <v>0</v>
      </c>
      <c r="P255" s="127"/>
      <c r="Q255" s="127">
        <v>0</v>
      </c>
      <c r="R255" s="127"/>
      <c r="S255" s="121">
        <f t="shared" si="8"/>
        <v>0</v>
      </c>
      <c r="T255" s="127"/>
      <c r="U255" s="127">
        <v>0</v>
      </c>
      <c r="V255" s="121"/>
      <c r="W255" s="127">
        <v>0</v>
      </c>
    </row>
    <row r="256" spans="1:23" s="116" customFormat="1" ht="12.75" customHeight="1">
      <c r="A256" s="44" t="s">
        <v>287</v>
      </c>
      <c r="C256" s="44" t="s">
        <v>288</v>
      </c>
      <c r="D256" s="35"/>
      <c r="E256" s="45">
        <v>1815573</v>
      </c>
      <c r="F256" s="45"/>
      <c r="G256" s="45">
        <v>14375838</v>
      </c>
      <c r="H256" s="45"/>
      <c r="I256" s="45">
        <v>0</v>
      </c>
      <c r="J256" s="45"/>
      <c r="K256" s="45">
        <v>2412250</v>
      </c>
      <c r="L256" s="45"/>
      <c r="M256" s="45">
        <v>6582815</v>
      </c>
      <c r="N256" s="45"/>
      <c r="O256" s="45">
        <v>0</v>
      </c>
      <c r="P256" s="45"/>
      <c r="Q256" s="45">
        <f>534747+337306</f>
        <v>872053</v>
      </c>
      <c r="R256" s="45"/>
      <c r="S256" s="44">
        <f t="shared" si="8"/>
        <v>711430</v>
      </c>
      <c r="T256" s="45"/>
      <c r="U256" s="45">
        <v>26769959</v>
      </c>
      <c r="V256" s="44"/>
      <c r="W256" s="45">
        <f>100+1210000+7163545</f>
        <v>8373645</v>
      </c>
    </row>
    <row r="257" spans="1:23" s="49" customFormat="1" ht="12.75" customHeight="1">
      <c r="A257" s="44" t="s">
        <v>471</v>
      </c>
      <c r="B257" s="116"/>
      <c r="C257" s="47"/>
      <c r="D257" s="47"/>
      <c r="F257" s="44"/>
      <c r="H257" s="44"/>
      <c r="J257" s="44"/>
      <c r="L257" s="44"/>
      <c r="N257" s="44"/>
      <c r="P257" s="44"/>
      <c r="R257" s="44"/>
      <c r="S257" s="44"/>
      <c r="T257" s="44"/>
    </row>
    <row r="258" spans="1:23" s="116" customFormat="1" ht="12.75" customHeight="1">
      <c r="A258" s="49"/>
      <c r="B258" s="49"/>
      <c r="C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4"/>
      <c r="T258" s="49"/>
      <c r="U258" s="48"/>
      <c r="V258" s="47"/>
      <c r="W258" s="44"/>
    </row>
    <row r="259" spans="1:23" s="116" customFormat="1" ht="12.75" customHeight="1">
      <c r="A259" s="49"/>
      <c r="C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4"/>
      <c r="T259" s="49"/>
      <c r="U259" s="48"/>
      <c r="V259" s="47"/>
      <c r="W259" s="44"/>
    </row>
    <row r="260" spans="1:23" s="116" customFormat="1" ht="12.75" customHeight="1">
      <c r="A260" s="49"/>
      <c r="C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4"/>
      <c r="T260" s="49"/>
      <c r="U260" s="48"/>
      <c r="V260" s="47"/>
      <c r="W260" s="44"/>
    </row>
    <row r="261" spans="1:23" s="116" customFormat="1" ht="12.75" customHeight="1">
      <c r="A261" s="49"/>
      <c r="C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4"/>
      <c r="T261" s="49"/>
      <c r="U261" s="48"/>
      <c r="V261" s="47"/>
      <c r="W261" s="44"/>
    </row>
    <row r="262" spans="1:23" s="116" customFormat="1" ht="12.75" customHeight="1">
      <c r="A262" s="49"/>
      <c r="C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4"/>
      <c r="T262" s="49"/>
      <c r="U262" s="48"/>
      <c r="V262" s="47"/>
      <c r="W262" s="44"/>
    </row>
    <row r="263" spans="1:23" s="116" customFormat="1" ht="12.75" customHeight="1">
      <c r="A263" s="49"/>
      <c r="C263" s="4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8"/>
      <c r="T263" s="119"/>
      <c r="U263" s="120"/>
      <c r="W263" s="44"/>
    </row>
    <row r="264" spans="1:23" s="116" customFormat="1" ht="12.75" customHeight="1">
      <c r="A264" s="119"/>
      <c r="C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8"/>
      <c r="T264" s="119"/>
      <c r="U264" s="120"/>
      <c r="W264" s="44"/>
    </row>
    <row r="265" spans="1:23" s="116" customFormat="1" ht="12.75" customHeight="1">
      <c r="A265" s="119"/>
      <c r="C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8"/>
      <c r="T265" s="119"/>
      <c r="U265" s="120"/>
      <c r="W265" s="44"/>
    </row>
    <row r="266" spans="1:23" s="116" customFormat="1" ht="12.75" customHeight="1">
      <c r="A266" s="119"/>
      <c r="C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8"/>
      <c r="T266" s="119"/>
      <c r="U266" s="120"/>
      <c r="W266" s="44"/>
    </row>
    <row r="267" spans="1:23" s="116" customFormat="1" ht="12.75" customHeight="1">
      <c r="A267" s="119"/>
      <c r="C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8"/>
      <c r="T267" s="119"/>
      <c r="U267" s="120"/>
      <c r="W267" s="44"/>
    </row>
    <row r="268" spans="1:23" s="116" customFormat="1" ht="12.75" customHeight="1">
      <c r="A268" s="119"/>
      <c r="C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8"/>
      <c r="T268" s="119"/>
      <c r="U268" s="120"/>
      <c r="W268" s="44"/>
    </row>
    <row r="269" spans="1:23" s="116" customFormat="1" ht="12.75" customHeight="1">
      <c r="A269" s="119"/>
      <c r="C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8"/>
      <c r="T269" s="119"/>
      <c r="U269" s="120"/>
      <c r="W269" s="44"/>
    </row>
    <row r="270" spans="1:23" s="116" customFormat="1" ht="12.75" customHeight="1">
      <c r="A270" s="119"/>
      <c r="C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8"/>
      <c r="T270" s="119"/>
      <c r="U270" s="120"/>
      <c r="W270" s="44"/>
    </row>
    <row r="271" spans="1:23" s="116" customFormat="1" ht="12.75" customHeight="1">
      <c r="A271" s="119"/>
      <c r="C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8"/>
      <c r="T271" s="119"/>
      <c r="U271" s="120"/>
      <c r="W271" s="44"/>
    </row>
    <row r="272" spans="1:23" s="116" customFormat="1" ht="12.75" customHeight="1">
      <c r="A272" s="119"/>
      <c r="C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8"/>
      <c r="T272" s="119"/>
      <c r="U272" s="120"/>
      <c r="W272" s="44"/>
    </row>
    <row r="273" spans="1:23" s="116" customFormat="1" ht="12.75" customHeight="1">
      <c r="A273" s="119"/>
      <c r="C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8"/>
      <c r="T273" s="119"/>
      <c r="U273" s="120"/>
      <c r="W273" s="44"/>
    </row>
    <row r="274" spans="1:23" s="116" customFormat="1" ht="12.75" customHeight="1">
      <c r="A274" s="119"/>
      <c r="C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8"/>
      <c r="T274" s="119"/>
      <c r="U274" s="120"/>
      <c r="W274" s="44"/>
    </row>
    <row r="275" spans="1:23" s="116" customFormat="1" ht="12.75" customHeight="1">
      <c r="A275" s="119"/>
      <c r="C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8"/>
      <c r="T275" s="119"/>
      <c r="U275" s="120"/>
      <c r="W275" s="44"/>
    </row>
    <row r="276" spans="1:23" s="116" customFormat="1" ht="12.75" customHeight="1">
      <c r="A276" s="119"/>
      <c r="C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8"/>
      <c r="T276" s="119"/>
      <c r="U276" s="120"/>
      <c r="W276" s="44"/>
    </row>
    <row r="277" spans="1:23" s="116" customFormat="1" ht="12.75" customHeight="1">
      <c r="A277" s="119"/>
      <c r="C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8"/>
      <c r="T277" s="119"/>
      <c r="U277" s="120"/>
      <c r="W277" s="44"/>
    </row>
    <row r="278" spans="1:23" s="116" customFormat="1" ht="12.75" customHeight="1">
      <c r="A278" s="119"/>
      <c r="C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8"/>
      <c r="T278" s="119"/>
      <c r="U278" s="120"/>
      <c r="W278" s="44"/>
    </row>
    <row r="279" spans="1:23" s="116" customFormat="1" ht="12.75" customHeight="1">
      <c r="A279" s="119"/>
      <c r="C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8"/>
      <c r="T279" s="119"/>
      <c r="U279" s="120"/>
      <c r="W279" s="44"/>
    </row>
    <row r="280" spans="1:23" s="116" customFormat="1" ht="12.75" customHeight="1">
      <c r="A280" s="119"/>
      <c r="C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8"/>
      <c r="T280" s="119"/>
      <c r="U280" s="120"/>
      <c r="W280" s="44"/>
    </row>
    <row r="281" spans="1:23" s="116" customFormat="1" ht="12.75" customHeight="1">
      <c r="A281" s="119"/>
      <c r="C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8"/>
      <c r="T281" s="119"/>
      <c r="U281" s="120"/>
      <c r="W281" s="44"/>
    </row>
    <row r="282" spans="1:23" s="116" customFormat="1" ht="12.75" customHeight="1">
      <c r="A282" s="119"/>
      <c r="C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8"/>
      <c r="T282" s="119"/>
      <c r="U282" s="120"/>
      <c r="W282" s="44"/>
    </row>
    <row r="283" spans="1:23" s="116" customFormat="1" ht="12.75" customHeight="1">
      <c r="A283" s="119"/>
      <c r="C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8"/>
      <c r="T283" s="119"/>
      <c r="U283" s="120"/>
      <c r="W283" s="44"/>
    </row>
    <row r="284" spans="1:23" s="116" customFormat="1" ht="12.75" customHeight="1">
      <c r="A284" s="119"/>
      <c r="C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8"/>
      <c r="T284" s="119"/>
      <c r="U284" s="120"/>
      <c r="W284" s="44"/>
    </row>
    <row r="285" spans="1:23" s="116" customFormat="1" ht="12.75" customHeight="1">
      <c r="A285" s="119"/>
      <c r="C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8"/>
      <c r="T285" s="119"/>
      <c r="U285" s="120"/>
      <c r="W285" s="44"/>
    </row>
    <row r="286" spans="1:23" s="116" customFormat="1" ht="12.75" customHeight="1">
      <c r="A286" s="119"/>
      <c r="C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8"/>
      <c r="T286" s="119"/>
      <c r="U286" s="120"/>
      <c r="W286" s="44"/>
    </row>
    <row r="287" spans="1:23" s="116" customFormat="1" ht="12.75" customHeight="1">
      <c r="A287" s="119"/>
      <c r="C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8"/>
      <c r="T287" s="119"/>
      <c r="U287" s="120"/>
      <c r="W287" s="44"/>
    </row>
    <row r="288" spans="1:23" s="116" customFormat="1" ht="12.75" customHeight="1">
      <c r="A288" s="119"/>
      <c r="C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8"/>
      <c r="T288" s="119"/>
      <c r="U288" s="120"/>
      <c r="W288" s="44"/>
    </row>
    <row r="289" spans="1:23" s="116" customFormat="1" ht="12.75" customHeight="1">
      <c r="A289" s="119"/>
      <c r="C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8"/>
      <c r="T289" s="119"/>
      <c r="U289" s="120"/>
      <c r="W289" s="44"/>
    </row>
    <row r="290" spans="1:23" s="116" customFormat="1" ht="12.75" customHeight="1">
      <c r="A290" s="119"/>
      <c r="C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8"/>
      <c r="T290" s="119"/>
      <c r="U290" s="120"/>
      <c r="W290" s="44"/>
    </row>
    <row r="291" spans="1:23" s="116" customFormat="1" ht="12.75" customHeight="1">
      <c r="A291" s="119"/>
      <c r="C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8"/>
      <c r="T291" s="119"/>
      <c r="U291" s="120"/>
      <c r="W291" s="44"/>
    </row>
    <row r="292" spans="1:23" s="116" customFormat="1" ht="12.75" customHeight="1">
      <c r="A292" s="119"/>
      <c r="C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8"/>
      <c r="T292" s="119"/>
      <c r="U292" s="120"/>
      <c r="W292" s="44"/>
    </row>
    <row r="293" spans="1:23" s="116" customFormat="1" ht="12.75" customHeight="1">
      <c r="A293" s="119"/>
      <c r="C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8"/>
      <c r="T293" s="119"/>
      <c r="U293" s="120"/>
      <c r="W293" s="44"/>
    </row>
    <row r="294" spans="1:23" s="116" customFormat="1" ht="12.75" customHeight="1">
      <c r="A294" s="119"/>
      <c r="C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8"/>
      <c r="T294" s="119"/>
      <c r="U294" s="120"/>
      <c r="W294" s="44"/>
    </row>
    <row r="295" spans="1:23" s="116" customFormat="1" ht="12.75" customHeight="1">
      <c r="A295" s="119"/>
      <c r="C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8"/>
      <c r="T295" s="119"/>
      <c r="U295" s="120"/>
      <c r="W295" s="44"/>
    </row>
    <row r="296" spans="1:23" s="116" customFormat="1" ht="12.75" customHeight="1">
      <c r="A296" s="119"/>
      <c r="C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8"/>
      <c r="T296" s="119"/>
      <c r="U296" s="120"/>
      <c r="W296" s="44"/>
    </row>
    <row r="297" spans="1:23" s="116" customFormat="1" ht="12.75" customHeight="1">
      <c r="A297" s="119"/>
      <c r="C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8"/>
      <c r="T297" s="119"/>
      <c r="U297" s="120"/>
      <c r="W297" s="44"/>
    </row>
    <row r="298" spans="1:23" s="116" customFormat="1" ht="12.75" customHeight="1">
      <c r="A298" s="119"/>
      <c r="C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8"/>
      <c r="T298" s="119"/>
      <c r="U298" s="120"/>
      <c r="W298" s="44"/>
    </row>
    <row r="299" spans="1:23" s="116" customFormat="1" ht="12.75" customHeight="1">
      <c r="A299" s="119"/>
      <c r="C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8"/>
      <c r="T299" s="119"/>
      <c r="U299" s="120"/>
      <c r="W299" s="44"/>
    </row>
    <row r="300" spans="1:23" s="116" customFormat="1" ht="12.75" customHeight="1">
      <c r="A300" s="119"/>
      <c r="C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8"/>
      <c r="T300" s="119"/>
      <c r="U300" s="120"/>
      <c r="W300" s="44"/>
    </row>
    <row r="301" spans="1:23" s="116" customFormat="1" ht="12.75" customHeight="1">
      <c r="A301" s="119"/>
      <c r="C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8"/>
      <c r="T301" s="119"/>
      <c r="U301" s="120"/>
      <c r="W301" s="44"/>
    </row>
    <row r="302" spans="1:23" s="116" customFormat="1" ht="12.75" customHeight="1">
      <c r="A302" s="119"/>
      <c r="C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8"/>
      <c r="T302" s="119"/>
      <c r="U302" s="120"/>
      <c r="W302" s="44"/>
    </row>
    <row r="303" spans="1:23" s="116" customFormat="1" ht="12.75" customHeight="1">
      <c r="A303" s="119"/>
      <c r="C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8"/>
      <c r="T303" s="119"/>
      <c r="U303" s="120"/>
      <c r="W303" s="44"/>
    </row>
    <row r="304" spans="1:23" s="116" customFormat="1" ht="12.75" customHeight="1">
      <c r="A304" s="119"/>
      <c r="C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8"/>
      <c r="T304" s="119"/>
      <c r="U304" s="120"/>
      <c r="W304" s="44"/>
    </row>
    <row r="305" spans="1:23" s="116" customFormat="1" ht="12.75" customHeight="1">
      <c r="A305" s="119"/>
      <c r="C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8"/>
      <c r="T305" s="119"/>
      <c r="U305" s="120"/>
      <c r="W305" s="44"/>
    </row>
    <row r="306" spans="1:23" s="116" customFormat="1" ht="12.75" customHeight="1">
      <c r="A306" s="119"/>
      <c r="C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8"/>
      <c r="T306" s="119"/>
      <c r="U306" s="120"/>
      <c r="W306" s="44"/>
    </row>
    <row r="307" spans="1:23" s="116" customFormat="1" ht="12.75" customHeight="1">
      <c r="A307" s="119"/>
      <c r="C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8"/>
      <c r="T307" s="119"/>
      <c r="U307" s="120"/>
      <c r="W307" s="44"/>
    </row>
    <row r="308" spans="1:23" s="116" customFormat="1" ht="12.75" customHeight="1">
      <c r="A308" s="119"/>
      <c r="C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8"/>
      <c r="T308" s="119"/>
      <c r="U308" s="120"/>
      <c r="W308" s="44"/>
    </row>
    <row r="309" spans="1:23" s="116" customFormat="1" ht="12.75" customHeight="1">
      <c r="A309" s="119"/>
      <c r="C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8"/>
      <c r="T309" s="119"/>
      <c r="U309" s="120"/>
      <c r="W309" s="44"/>
    </row>
    <row r="310" spans="1:23" s="116" customFormat="1" ht="12.75" customHeight="1">
      <c r="A310" s="119"/>
      <c r="C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8"/>
      <c r="T310" s="119"/>
      <c r="U310" s="120"/>
      <c r="W310" s="44"/>
    </row>
    <row r="311" spans="1:23" s="116" customFormat="1" ht="12.75" customHeight="1">
      <c r="A311" s="119"/>
      <c r="C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8"/>
      <c r="T311" s="119"/>
      <c r="U311" s="120"/>
      <c r="W311" s="44"/>
    </row>
    <row r="312" spans="1:23" s="116" customFormat="1" ht="12.75" customHeight="1">
      <c r="A312" s="119"/>
      <c r="C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8"/>
      <c r="T312" s="119"/>
      <c r="U312" s="120"/>
      <c r="W312" s="44"/>
    </row>
    <row r="313" spans="1:23" s="116" customFormat="1" ht="12.75" customHeight="1">
      <c r="A313" s="119"/>
      <c r="C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8"/>
      <c r="T313" s="119"/>
      <c r="U313" s="120"/>
      <c r="W313" s="44"/>
    </row>
    <row r="314" spans="1:23" s="116" customFormat="1" ht="12.75" customHeight="1">
      <c r="A314" s="119"/>
      <c r="C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8"/>
      <c r="T314" s="119"/>
      <c r="U314" s="120"/>
      <c r="W314" s="44"/>
    </row>
    <row r="315" spans="1:23" s="116" customFormat="1" ht="12.75" customHeight="1">
      <c r="A315" s="119"/>
      <c r="C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8"/>
      <c r="T315" s="119"/>
      <c r="U315" s="120"/>
      <c r="W315" s="44"/>
    </row>
    <row r="316" spans="1:23" s="116" customFormat="1" ht="12.75" customHeight="1">
      <c r="A316" s="119"/>
      <c r="C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8"/>
      <c r="T316" s="119"/>
      <c r="U316" s="120"/>
      <c r="W316" s="44"/>
    </row>
    <row r="317" spans="1:23" s="116" customFormat="1" ht="12.75" customHeight="1">
      <c r="A317" s="119"/>
      <c r="C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8"/>
      <c r="T317" s="119"/>
      <c r="U317" s="120"/>
      <c r="W317" s="44"/>
    </row>
    <row r="318" spans="1:23" s="116" customFormat="1" ht="12.75" customHeight="1">
      <c r="A318" s="119"/>
      <c r="C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8"/>
      <c r="T318" s="119"/>
      <c r="U318" s="120"/>
      <c r="W318" s="44"/>
    </row>
    <row r="319" spans="1:23" s="116" customFormat="1" ht="12.75" customHeight="1">
      <c r="A319" s="119"/>
      <c r="C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8"/>
      <c r="T319" s="119"/>
      <c r="U319" s="120"/>
      <c r="W319" s="44"/>
    </row>
    <row r="320" spans="1:23" s="116" customFormat="1" ht="12.75" customHeight="1">
      <c r="A320" s="119"/>
      <c r="C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8"/>
      <c r="T320" s="119"/>
      <c r="U320" s="120"/>
      <c r="W320" s="44"/>
    </row>
    <row r="321" spans="1:23" s="116" customFormat="1" ht="12.75" customHeight="1">
      <c r="A321" s="119"/>
      <c r="C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8"/>
      <c r="T321" s="119"/>
      <c r="U321" s="120"/>
      <c r="W321" s="44"/>
    </row>
    <row r="322" spans="1:23" s="116" customFormat="1" ht="12.75" customHeight="1">
      <c r="A322" s="119"/>
      <c r="C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8"/>
      <c r="T322" s="119"/>
      <c r="U322" s="120"/>
      <c r="W322" s="44"/>
    </row>
    <row r="323" spans="1:23" s="116" customFormat="1" ht="12.75" customHeight="1">
      <c r="A323" s="119"/>
      <c r="C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8"/>
      <c r="T323" s="119"/>
      <c r="U323" s="120"/>
      <c r="W323" s="44"/>
    </row>
    <row r="324" spans="1:23" s="116" customFormat="1" ht="12.75" customHeight="1">
      <c r="A324" s="119"/>
      <c r="C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8"/>
      <c r="T324" s="119"/>
      <c r="U324" s="120"/>
      <c r="W324" s="44"/>
    </row>
    <row r="325" spans="1:23" s="116" customFormat="1" ht="12.75" customHeight="1">
      <c r="A325" s="119"/>
      <c r="C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8"/>
      <c r="T325" s="119"/>
      <c r="U325" s="120"/>
      <c r="W325" s="44"/>
    </row>
    <row r="326" spans="1:23" s="116" customFormat="1" ht="12.75" customHeight="1">
      <c r="A326" s="119"/>
      <c r="C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8"/>
      <c r="T326" s="119"/>
      <c r="U326" s="120"/>
      <c r="W326" s="44"/>
    </row>
    <row r="327" spans="1:23" s="116" customFormat="1" ht="12.75" customHeight="1">
      <c r="A327" s="119"/>
      <c r="C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8"/>
      <c r="T327" s="119"/>
      <c r="U327" s="120"/>
      <c r="W327" s="44"/>
    </row>
    <row r="328" spans="1:23" s="116" customFormat="1" ht="12.75" customHeight="1">
      <c r="A328" s="119"/>
      <c r="C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8"/>
      <c r="T328" s="119"/>
      <c r="U328" s="120"/>
      <c r="W328" s="44"/>
    </row>
    <row r="329" spans="1:23" s="116" customFormat="1" ht="12.75" customHeight="1">
      <c r="A329" s="119"/>
      <c r="C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8"/>
      <c r="T329" s="119"/>
      <c r="U329" s="120"/>
      <c r="W329" s="44"/>
    </row>
    <row r="330" spans="1:23" s="116" customFormat="1" ht="12.75" customHeight="1">
      <c r="A330" s="119"/>
      <c r="C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8"/>
      <c r="T330" s="119"/>
      <c r="U330" s="120"/>
      <c r="W330" s="44"/>
    </row>
    <row r="331" spans="1:23" s="116" customFormat="1" ht="12.75" customHeight="1">
      <c r="A331" s="119"/>
      <c r="C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8"/>
      <c r="T331" s="119"/>
      <c r="U331" s="120"/>
      <c r="W331" s="44"/>
    </row>
    <row r="332" spans="1:23" s="116" customFormat="1" ht="12.75" customHeight="1">
      <c r="A332" s="119"/>
      <c r="C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8"/>
      <c r="T332" s="119"/>
      <c r="U332" s="120"/>
      <c r="W332" s="44"/>
    </row>
    <row r="333" spans="1:23" s="116" customFormat="1" ht="12.75" customHeight="1">
      <c r="A333" s="119"/>
      <c r="C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8"/>
      <c r="T333" s="119"/>
      <c r="U333" s="120"/>
      <c r="W333" s="44"/>
    </row>
    <row r="334" spans="1:23" s="116" customFormat="1" ht="12.75" customHeight="1">
      <c r="A334" s="119"/>
      <c r="C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8"/>
      <c r="T334" s="119"/>
      <c r="U334" s="120"/>
      <c r="W334" s="44"/>
    </row>
    <row r="335" spans="1:23" s="116" customFormat="1" ht="12.75" customHeight="1">
      <c r="A335" s="119"/>
      <c r="C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8"/>
      <c r="T335" s="119"/>
      <c r="U335" s="120"/>
      <c r="W335" s="44"/>
    </row>
    <row r="336" spans="1:23" s="116" customFormat="1" ht="12.75" customHeight="1">
      <c r="A336" s="119"/>
      <c r="C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8"/>
      <c r="T336" s="119"/>
      <c r="U336" s="120"/>
      <c r="W336" s="44"/>
    </row>
    <row r="337" spans="1:23" s="116" customFormat="1" ht="12.75" customHeight="1">
      <c r="A337" s="119"/>
      <c r="C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8"/>
      <c r="T337" s="119"/>
      <c r="U337" s="120"/>
      <c r="W337" s="44"/>
    </row>
  </sheetData>
  <phoneticPr fontId="4" type="noConversion"/>
  <printOptions horizontalCentered="1"/>
  <pageMargins left="0.75" right="0.75" top="0.5" bottom="0.5" header="0" footer="0.3"/>
  <pageSetup scale="96" firstPageNumber="72" pageOrder="overThenDown" orientation="portrait" useFirstPageNumber="1" r:id="rId1"/>
  <headerFooter alignWithMargins="0">
    <oddFooter>&amp;C&amp;"Times New Roman,Regular"&amp;11&amp;P</oddFooter>
  </headerFooter>
  <colBreaks count="1" manualBreakCount="1">
    <brk id="11" min="9" max="256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T303"/>
  <sheetViews>
    <sheetView view="pageBreakPreview" zoomScale="75" zoomScaleNormal="100" zoomScaleSheetLayoutView="75" workbookViewId="0">
      <pane xSplit="3" ySplit="8" topLeftCell="D225" activePane="bottomRight" state="frozen"/>
      <selection pane="topRight" activeCell="D1" sqref="D1"/>
      <selection pane="bottomLeft" activeCell="A9" sqref="A9"/>
      <selection pane="bottomRight" activeCell="A4" sqref="A4"/>
    </sheetView>
  </sheetViews>
  <sheetFormatPr defaultColWidth="0" defaultRowHeight="12.75" customHeight="1"/>
  <cols>
    <col min="1" max="1" width="15.140625" style="17" customWidth="1"/>
    <col min="2" max="2" width="1.7109375" customWidth="1"/>
    <col min="3" max="3" width="11.28515625" style="17" customWidth="1"/>
    <col min="4" max="4" width="1.7109375" style="10" customWidth="1"/>
    <col min="5" max="5" width="10.7109375" style="17" customWidth="1"/>
    <col min="6" max="6" width="1.7109375" style="17" customWidth="1"/>
    <col min="7" max="7" width="11.5703125" style="17" bestFit="1" customWidth="1"/>
    <col min="8" max="8" width="1.7109375" style="17" customWidth="1"/>
    <col min="9" max="9" width="10.7109375" style="17" customWidth="1"/>
    <col min="10" max="10" width="1.7109375" style="17" customWidth="1"/>
    <col min="11" max="11" width="10.7109375" style="17" customWidth="1"/>
    <col min="12" max="12" width="1.7109375" style="17" customWidth="1"/>
    <col min="13" max="13" width="10.7109375" style="17" customWidth="1"/>
    <col min="14" max="14" width="1.7109375" style="17" customWidth="1"/>
    <col min="15" max="15" width="10.7109375" style="17" customWidth="1"/>
    <col min="16" max="16" width="1.7109375" style="17" customWidth="1"/>
    <col min="17" max="17" width="11.5703125" style="17" bestFit="1" customWidth="1"/>
    <col min="18" max="18" width="1.7109375" style="17" customWidth="1"/>
    <col min="19" max="19" width="10.7109375" style="17" customWidth="1"/>
    <col min="20" max="20" width="1.7109375" style="17" customWidth="1"/>
    <col min="21" max="21" width="10.7109375" style="17" customWidth="1"/>
    <col min="22" max="22" width="11.7109375" style="17" hidden="1" customWidth="1"/>
    <col min="23" max="23" width="1.7109375" style="60" hidden="1" customWidth="1"/>
    <col min="24" max="24" width="13.42578125" style="17" hidden="1" customWidth="1"/>
    <col min="25" max="25" width="1.7109375" style="10" hidden="1" customWidth="1"/>
    <col min="26" max="26" width="9.85546875" style="17" hidden="1" customWidth="1"/>
    <col min="27" max="27" width="1.7109375" style="17" customWidth="1"/>
    <col min="28" max="28" width="10.7109375" style="17" customWidth="1"/>
    <col min="29" max="29" width="1.7109375" customWidth="1"/>
    <col min="30" max="30" width="10.7109375" style="17" customWidth="1"/>
    <col min="31" max="31" width="1.7109375" customWidth="1"/>
    <col min="32" max="32" width="11.7109375" customWidth="1"/>
    <col min="33" max="33" width="1.7109375" customWidth="1"/>
    <col min="34" max="34" width="12" style="17" bestFit="1" customWidth="1"/>
    <col min="35" max="35" width="1.7109375" style="17" hidden="1" customWidth="1"/>
    <col min="36" max="36" width="10.7109375" style="17" hidden="1" customWidth="1"/>
    <col min="37" max="37" width="1.7109375" style="17" customWidth="1"/>
    <col min="38" max="38" width="12.7109375" style="17" customWidth="1"/>
    <col min="39" max="39" width="1.7109375" style="17" customWidth="1"/>
    <col min="40" max="40" width="12.7109375" style="17" customWidth="1"/>
    <col min="41" max="41" width="1.7109375" style="17" customWidth="1"/>
    <col min="42" max="42" width="12.7109375" style="17" customWidth="1"/>
    <col min="43" max="43" width="1.7109375" style="17" customWidth="1"/>
    <col min="44" max="44" width="11.7109375" style="17" customWidth="1"/>
    <col min="45" max="45" width="10.7109375" style="17" customWidth="1"/>
    <col min="46" max="46" width="9.140625" customWidth="1"/>
    <col min="47" max="16384" width="0" style="10" hidden="1"/>
  </cols>
  <sheetData>
    <row r="1" spans="1:46" s="9" customFormat="1" ht="12.75" customHeight="1">
      <c r="A1" s="23" t="s">
        <v>389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3"/>
      <c r="R1" s="24"/>
      <c r="S1" s="24"/>
      <c r="T1" s="24"/>
      <c r="U1" s="24"/>
      <c r="V1" s="24"/>
      <c r="W1" s="58"/>
      <c r="X1" s="23" t="s">
        <v>389</v>
      </c>
      <c r="AA1" s="24"/>
      <c r="AB1" s="24"/>
      <c r="AD1" s="23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</row>
    <row r="2" spans="1:46" s="9" customFormat="1" ht="12.75" customHeight="1">
      <c r="A2" s="23" t="s">
        <v>500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3"/>
      <c r="R2" s="24"/>
      <c r="S2" s="24"/>
      <c r="T2" s="24"/>
      <c r="U2" s="24"/>
      <c r="V2" s="24"/>
      <c r="W2" s="58"/>
      <c r="X2" s="23" t="s">
        <v>316</v>
      </c>
      <c r="AA2" s="24"/>
      <c r="AB2" s="24"/>
      <c r="AD2" s="2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</row>
    <row r="3" spans="1:46" ht="12.75" customHeight="1">
      <c r="A3" s="24" t="s">
        <v>289</v>
      </c>
      <c r="C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24"/>
      <c r="R3" s="11"/>
      <c r="S3" s="11"/>
      <c r="T3" s="11"/>
      <c r="U3" s="11"/>
      <c r="V3" s="11"/>
      <c r="W3" s="59"/>
      <c r="X3" s="24" t="s">
        <v>289</v>
      </c>
      <c r="AA3" s="11"/>
      <c r="AB3" s="11"/>
      <c r="AD3" s="24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</row>
    <row r="4" spans="1:46" ht="12.75" customHeight="1">
      <c r="A4" s="24"/>
      <c r="C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24"/>
      <c r="R4" s="11"/>
      <c r="S4" s="11"/>
      <c r="T4" s="11"/>
      <c r="U4" s="11"/>
      <c r="V4" s="11"/>
      <c r="W4" s="59"/>
      <c r="X4" s="24"/>
      <c r="AA4" s="11"/>
      <c r="AB4" s="11"/>
      <c r="AD4" s="24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</row>
    <row r="5" spans="1:46" s="47" customFormat="1" ht="12.75" customHeight="1">
      <c r="A5" s="49"/>
      <c r="B5" s="51"/>
      <c r="C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Z5" s="49"/>
      <c r="AA5" s="49"/>
      <c r="AB5" s="49"/>
      <c r="AC5" s="51"/>
      <c r="AD5" s="49"/>
      <c r="AE5" s="51"/>
      <c r="AF5" s="51"/>
      <c r="AG5" s="51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1"/>
    </row>
    <row r="6" spans="1:46" s="97" customFormat="1" ht="12.75" customHeight="1">
      <c r="A6" s="26"/>
      <c r="C6" s="26"/>
      <c r="E6" s="26"/>
      <c r="F6" s="26"/>
      <c r="G6" s="26" t="s">
        <v>396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Z6" s="26"/>
      <c r="AA6" s="26"/>
      <c r="AB6" s="26"/>
      <c r="AD6" s="26"/>
      <c r="AL6" s="26"/>
      <c r="AM6" s="26"/>
      <c r="AN6" s="26" t="s">
        <v>325</v>
      </c>
      <c r="AO6" s="26"/>
      <c r="AP6" s="97" t="s">
        <v>456</v>
      </c>
      <c r="AQ6" s="26"/>
      <c r="AR6" s="26"/>
    </row>
    <row r="7" spans="1:46" s="97" customFormat="1" ht="12.75" customHeight="1">
      <c r="A7" s="26"/>
      <c r="C7" s="26"/>
      <c r="D7" s="26"/>
      <c r="E7" s="26" t="s">
        <v>296</v>
      </c>
      <c r="F7" s="26"/>
      <c r="G7" s="98" t="s">
        <v>422</v>
      </c>
      <c r="H7" s="26"/>
      <c r="I7" s="26" t="s">
        <v>333</v>
      </c>
      <c r="J7" s="26"/>
      <c r="K7" s="26"/>
      <c r="L7" s="26"/>
      <c r="M7" s="26"/>
      <c r="N7" s="26"/>
      <c r="O7" s="26" t="s">
        <v>306</v>
      </c>
      <c r="P7" s="26"/>
      <c r="Q7" s="26" t="s">
        <v>334</v>
      </c>
      <c r="R7" s="26"/>
      <c r="S7" s="26" t="s">
        <v>4</v>
      </c>
      <c r="T7" s="26"/>
      <c r="U7" s="26" t="s">
        <v>327</v>
      </c>
      <c r="V7" s="26"/>
      <c r="W7" s="26"/>
      <c r="X7" s="26"/>
      <c r="Z7" s="26"/>
      <c r="AA7" s="26"/>
      <c r="AB7" s="26"/>
      <c r="AD7" s="26" t="s">
        <v>344</v>
      </c>
      <c r="AF7" s="97" t="s">
        <v>294</v>
      </c>
      <c r="AH7" s="26" t="s">
        <v>6</v>
      </c>
      <c r="AI7" s="26"/>
      <c r="AJ7" s="26" t="s">
        <v>447</v>
      </c>
      <c r="AK7" s="26"/>
      <c r="AL7" s="26" t="s">
        <v>432</v>
      </c>
      <c r="AM7" s="26"/>
      <c r="AN7" s="26" t="s">
        <v>452</v>
      </c>
      <c r="AO7" s="26"/>
      <c r="AP7" s="26" t="s">
        <v>457</v>
      </c>
      <c r="AQ7" s="26"/>
      <c r="AR7" s="26" t="s">
        <v>428</v>
      </c>
      <c r="AS7" s="26"/>
    </row>
    <row r="8" spans="1:46" s="97" customFormat="1" ht="12.75" customHeight="1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26"/>
      <c r="X8" s="99" t="s">
        <v>8</v>
      </c>
      <c r="Z8" s="99" t="s">
        <v>9</v>
      </c>
      <c r="AA8" s="26"/>
      <c r="AB8" s="100" t="s">
        <v>339</v>
      </c>
      <c r="AD8" s="100" t="s">
        <v>340</v>
      </c>
      <c r="AF8" s="16" t="s">
        <v>337</v>
      </c>
      <c r="AH8" s="16" t="s">
        <v>337</v>
      </c>
      <c r="AI8" s="18"/>
      <c r="AJ8" s="16" t="s">
        <v>443</v>
      </c>
      <c r="AK8" s="18"/>
      <c r="AL8" s="99" t="s">
        <v>433</v>
      </c>
      <c r="AM8" s="26"/>
      <c r="AN8" s="99" t="s">
        <v>453</v>
      </c>
      <c r="AO8" s="26"/>
      <c r="AP8" s="99" t="s">
        <v>458</v>
      </c>
      <c r="AQ8" s="26"/>
      <c r="AR8" s="101" t="s">
        <v>429</v>
      </c>
      <c r="AS8" s="18"/>
    </row>
    <row r="9" spans="1:46" s="97" customFormat="1" ht="12.75" customHeight="1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Z9" s="26"/>
      <c r="AA9" s="26"/>
      <c r="AB9" s="26"/>
      <c r="AD9" s="26"/>
      <c r="AH9" s="18"/>
      <c r="AI9" s="18"/>
      <c r="AJ9" s="18"/>
      <c r="AK9" s="18"/>
      <c r="AL9" s="8"/>
      <c r="AM9" s="8"/>
      <c r="AN9" s="8"/>
      <c r="AO9" s="8"/>
      <c r="AP9" s="8"/>
      <c r="AQ9" s="8"/>
      <c r="AR9" s="8"/>
      <c r="AS9" s="18"/>
    </row>
    <row r="10" spans="1:46" s="46" customFormat="1" ht="12.75" hidden="1" customHeight="1">
      <c r="A10" s="64" t="s">
        <v>12</v>
      </c>
      <c r="C10" s="64" t="s">
        <v>13</v>
      </c>
      <c r="E10" s="68">
        <v>0</v>
      </c>
      <c r="F10" s="68"/>
      <c r="G10" s="68">
        <v>0</v>
      </c>
      <c r="H10" s="68"/>
      <c r="I10" s="68">
        <v>0</v>
      </c>
      <c r="J10" s="68"/>
      <c r="K10" s="68">
        <v>0</v>
      </c>
      <c r="L10" s="68"/>
      <c r="M10" s="68">
        <v>0</v>
      </c>
      <c r="N10" s="68"/>
      <c r="O10" s="68">
        <v>0</v>
      </c>
      <c r="P10" s="68"/>
      <c r="Q10" s="68">
        <v>0</v>
      </c>
      <c r="R10" s="68"/>
      <c r="S10" s="68">
        <v>0</v>
      </c>
      <c r="T10" s="68"/>
      <c r="U10" s="68">
        <v>0</v>
      </c>
      <c r="V10" s="68"/>
      <c r="W10" s="68"/>
      <c r="X10" s="64"/>
      <c r="Z10" s="64"/>
      <c r="AA10" s="64"/>
      <c r="AB10" s="68">
        <v>0</v>
      </c>
      <c r="AC10" s="66"/>
      <c r="AD10" s="68">
        <v>0</v>
      </c>
      <c r="AE10" s="66"/>
      <c r="AF10" s="46">
        <v>0</v>
      </c>
      <c r="AG10" s="66"/>
      <c r="AH10" s="68">
        <f t="shared" ref="AH10:AH11" si="0">SUM(E10:AF10)</f>
        <v>0</v>
      </c>
      <c r="AI10" s="68"/>
      <c r="AJ10" s="68">
        <v>0</v>
      </c>
      <c r="AK10" s="68"/>
      <c r="AL10" s="94">
        <v>0</v>
      </c>
      <c r="AM10" s="45"/>
      <c r="AN10" s="45">
        <v>0</v>
      </c>
      <c r="AO10" s="45"/>
      <c r="AP10" s="45">
        <v>0</v>
      </c>
      <c r="AQ10" s="45"/>
      <c r="AR10" s="45">
        <f>+'GVFund Rev'!U10+'GVFund Rev'!W10-'GVFund Exp'!AH10-'GVFund Exp'!AL10+AJ10+AN10+AP10-'GV Fund BS'!S10</f>
        <v>0</v>
      </c>
      <c r="AS10" s="68"/>
    </row>
    <row r="11" spans="1:46" s="44" customFormat="1" ht="12.75" customHeight="1">
      <c r="A11" s="35" t="s">
        <v>14</v>
      </c>
      <c r="C11" s="35" t="s">
        <v>15</v>
      </c>
      <c r="E11" s="94">
        <v>2492289</v>
      </c>
      <c r="F11" s="68"/>
      <c r="G11" s="94">
        <v>7857210</v>
      </c>
      <c r="H11" s="68"/>
      <c r="I11" s="94">
        <v>1676693</v>
      </c>
      <c r="J11" s="68"/>
      <c r="K11" s="94">
        <v>944131</v>
      </c>
      <c r="L11" s="68"/>
      <c r="M11" s="94">
        <v>966818</v>
      </c>
      <c r="N11" s="68"/>
      <c r="O11" s="94">
        <v>657273</v>
      </c>
      <c r="P11" s="68"/>
      <c r="Q11" s="94">
        <v>51936</v>
      </c>
      <c r="R11" s="68"/>
      <c r="S11" s="94">
        <v>1335972</v>
      </c>
      <c r="T11" s="68"/>
      <c r="U11" s="94">
        <v>0</v>
      </c>
      <c r="V11" s="68"/>
      <c r="W11" s="68"/>
      <c r="X11" s="64"/>
      <c r="Y11" s="46"/>
      <c r="Z11" s="64"/>
      <c r="AA11" s="64"/>
      <c r="AB11" s="94">
        <v>418380</v>
      </c>
      <c r="AC11" s="66"/>
      <c r="AD11" s="94">
        <v>87205</v>
      </c>
      <c r="AE11" s="66"/>
      <c r="AF11" s="94">
        <v>0</v>
      </c>
      <c r="AG11" s="66"/>
      <c r="AH11" s="68">
        <f t="shared" si="0"/>
        <v>16487907</v>
      </c>
      <c r="AI11" s="68"/>
      <c r="AJ11" s="68">
        <v>0</v>
      </c>
      <c r="AK11" s="68"/>
      <c r="AL11" s="94">
        <v>1066718</v>
      </c>
      <c r="AM11" s="45"/>
      <c r="AN11" s="45">
        <v>9974672</v>
      </c>
      <c r="AO11" s="45"/>
      <c r="AP11" s="45">
        <v>0</v>
      </c>
      <c r="AQ11" s="45"/>
      <c r="AR11" s="45">
        <f>+'GVFund Rev'!U11+'GVFund Rev'!W11-'GVFund Exp'!AH11-'GVFund Exp'!AL11+AJ11+AN11+AP11-'GV Fund BS'!S11</f>
        <v>0</v>
      </c>
      <c r="AS11" s="48"/>
      <c r="AT11" s="65"/>
    </row>
    <row r="12" spans="1:46" s="44" customFormat="1" ht="12.75" customHeight="1">
      <c r="A12" s="35" t="s">
        <v>16</v>
      </c>
      <c r="C12" s="35" t="s">
        <v>17</v>
      </c>
      <c r="E12" s="45">
        <v>965526</v>
      </c>
      <c r="F12" s="48"/>
      <c r="G12" s="45">
        <v>3356393</v>
      </c>
      <c r="H12" s="48"/>
      <c r="I12" s="45">
        <v>136730</v>
      </c>
      <c r="J12" s="48"/>
      <c r="K12" s="45">
        <v>177478</v>
      </c>
      <c r="L12" s="48"/>
      <c r="M12" s="45">
        <v>1099304</v>
      </c>
      <c r="N12" s="48"/>
      <c r="O12" s="45">
        <v>175803</v>
      </c>
      <c r="P12" s="48"/>
      <c r="Q12" s="45">
        <v>0</v>
      </c>
      <c r="R12" s="48"/>
      <c r="S12" s="45">
        <v>1707790</v>
      </c>
      <c r="T12" s="48"/>
      <c r="U12" s="45">
        <v>0</v>
      </c>
      <c r="V12" s="48"/>
      <c r="W12" s="48"/>
      <c r="X12" s="35"/>
      <c r="Z12" s="35"/>
      <c r="AA12" s="35"/>
      <c r="AB12" s="45">
        <v>305308</v>
      </c>
      <c r="AC12" s="65"/>
      <c r="AD12" s="45">
        <v>116905</v>
      </c>
      <c r="AE12" s="65"/>
      <c r="AF12" s="45">
        <v>0</v>
      </c>
      <c r="AG12" s="65"/>
      <c r="AH12" s="48">
        <f t="shared" ref="AH12:AH69" si="1">SUM(E12:AF12)</f>
        <v>8041237</v>
      </c>
      <c r="AI12" s="48"/>
      <c r="AJ12" s="48">
        <v>0</v>
      </c>
      <c r="AK12" s="48"/>
      <c r="AL12" s="45">
        <v>773461</v>
      </c>
      <c r="AM12" s="45"/>
      <c r="AN12" s="45">
        <v>11022580</v>
      </c>
      <c r="AO12" s="45"/>
      <c r="AP12" s="45">
        <v>0</v>
      </c>
      <c r="AQ12" s="45"/>
      <c r="AR12" s="45">
        <f>+'GVFund Rev'!U12+'GVFund Rev'!W12-'GVFund Exp'!AH12-'GVFund Exp'!AL12+AJ12+AN12+AP12-'GV Fund BS'!S12</f>
        <v>0</v>
      </c>
      <c r="AS12" s="48"/>
    </row>
    <row r="13" spans="1:46" s="44" customFormat="1" ht="12.75" customHeight="1">
      <c r="A13" s="35" t="s">
        <v>18</v>
      </c>
      <c r="C13" s="35" t="s">
        <v>18</v>
      </c>
      <c r="E13" s="45">
        <v>5455386</v>
      </c>
      <c r="F13" s="48"/>
      <c r="G13" s="45">
        <v>6707997</v>
      </c>
      <c r="H13" s="48"/>
      <c r="I13" s="45">
        <v>483674</v>
      </c>
      <c r="J13" s="48"/>
      <c r="K13" s="45">
        <v>325085</v>
      </c>
      <c r="L13" s="48"/>
      <c r="M13" s="45">
        <v>1833595</v>
      </c>
      <c r="N13" s="48"/>
      <c r="O13" s="45">
        <v>1213926</v>
      </c>
      <c r="P13" s="48"/>
      <c r="Q13" s="45">
        <v>0</v>
      </c>
      <c r="R13" s="48"/>
      <c r="S13" s="45">
        <v>861743</v>
      </c>
      <c r="T13" s="48"/>
      <c r="U13" s="45">
        <v>0</v>
      </c>
      <c r="V13" s="48"/>
      <c r="W13" s="48"/>
      <c r="X13" s="35"/>
      <c r="Z13" s="35"/>
      <c r="AA13" s="35"/>
      <c r="AB13" s="45">
        <v>183269</v>
      </c>
      <c r="AC13" s="65"/>
      <c r="AD13" s="45">
        <v>117998</v>
      </c>
      <c r="AE13" s="65"/>
      <c r="AF13" s="45">
        <v>20026</v>
      </c>
      <c r="AG13" s="65"/>
      <c r="AH13" s="48">
        <f t="shared" si="1"/>
        <v>17202699</v>
      </c>
      <c r="AI13" s="48"/>
      <c r="AJ13" s="48">
        <v>0</v>
      </c>
      <c r="AK13" s="48"/>
      <c r="AL13" s="45">
        <v>650906</v>
      </c>
      <c r="AM13" s="45"/>
      <c r="AN13" s="45">
        <v>5473990</v>
      </c>
      <c r="AO13" s="45"/>
      <c r="AP13" s="45">
        <v>0</v>
      </c>
      <c r="AQ13" s="45"/>
      <c r="AR13" s="45">
        <f>+'GVFund Rev'!U13+'GVFund Rev'!W13-'GVFund Exp'!AH13-'GVFund Exp'!AL13+AJ13+AN13+AP13-'GV Fund BS'!S13</f>
        <v>0</v>
      </c>
      <c r="AS13" s="48"/>
    </row>
    <row r="14" spans="1:46" s="44" customFormat="1" ht="12.75" customHeight="1">
      <c r="A14" s="35" t="s">
        <v>19</v>
      </c>
      <c r="C14" s="35" t="s">
        <v>19</v>
      </c>
      <c r="E14" s="45">
        <f>2401156+1105350</f>
        <v>3506506</v>
      </c>
      <c r="F14" s="48"/>
      <c r="G14" s="45">
        <f>3482742+2750100</f>
        <v>6232842</v>
      </c>
      <c r="H14" s="48"/>
      <c r="I14" s="45">
        <v>1318340</v>
      </c>
      <c r="J14" s="48"/>
      <c r="K14" s="45">
        <v>401284</v>
      </c>
      <c r="L14" s="48"/>
      <c r="M14" s="45">
        <v>1067277</v>
      </c>
      <c r="N14" s="48"/>
      <c r="O14" s="45">
        <v>36108</v>
      </c>
      <c r="P14" s="48"/>
      <c r="Q14" s="45">
        <v>1740323</v>
      </c>
      <c r="R14" s="48"/>
      <c r="S14" s="45">
        <v>1482536</v>
      </c>
      <c r="T14" s="48"/>
      <c r="U14" s="45">
        <v>0</v>
      </c>
      <c r="V14" s="48"/>
      <c r="W14" s="48"/>
      <c r="X14" s="35"/>
      <c r="Z14" s="35"/>
      <c r="AA14" s="35"/>
      <c r="AB14" s="45">
        <v>205245</v>
      </c>
      <c r="AC14" s="65"/>
      <c r="AD14" s="45">
        <v>19732</v>
      </c>
      <c r="AE14" s="65"/>
      <c r="AF14" s="45">
        <v>0</v>
      </c>
      <c r="AG14" s="65"/>
      <c r="AH14" s="48">
        <f t="shared" si="1"/>
        <v>16010193</v>
      </c>
      <c r="AI14" s="48"/>
      <c r="AJ14" s="48">
        <v>0</v>
      </c>
      <c r="AK14" s="48"/>
      <c r="AL14" s="45">
        <v>430800</v>
      </c>
      <c r="AM14" s="45"/>
      <c r="AN14" s="45">
        <v>2431032</v>
      </c>
      <c r="AO14" s="45"/>
      <c r="AP14" s="45">
        <v>12282</v>
      </c>
      <c r="AQ14" s="45"/>
      <c r="AR14" s="45">
        <f>+'GVFund Rev'!U14+'GVFund Rev'!W14-'GVFund Exp'!AH14-'GVFund Exp'!AL14+AJ14+AN14+AP14-'GV Fund BS'!S14</f>
        <v>0</v>
      </c>
      <c r="AS14" s="48"/>
    </row>
    <row r="15" spans="1:46" s="44" customFormat="1" ht="12.75" customHeight="1">
      <c r="A15" s="35" t="s">
        <v>20</v>
      </c>
      <c r="C15" s="35" t="s">
        <v>20</v>
      </c>
      <c r="E15" s="45">
        <v>4968751</v>
      </c>
      <c r="F15" s="48"/>
      <c r="G15" s="45">
        <f>3420235+2361581</f>
        <v>5781816</v>
      </c>
      <c r="H15" s="48"/>
      <c r="I15" s="45">
        <v>845284</v>
      </c>
      <c r="J15" s="48"/>
      <c r="K15" s="45">
        <v>0</v>
      </c>
      <c r="L15" s="48"/>
      <c r="M15" s="45">
        <v>3905531</v>
      </c>
      <c r="N15" s="48"/>
      <c r="O15" s="45">
        <v>1465755</v>
      </c>
      <c r="P15" s="48"/>
      <c r="Q15" s="45">
        <v>0</v>
      </c>
      <c r="R15" s="48"/>
      <c r="S15" s="45">
        <v>5815686</v>
      </c>
      <c r="T15" s="48"/>
      <c r="U15" s="45">
        <v>0</v>
      </c>
      <c r="V15" s="48"/>
      <c r="W15" s="48"/>
      <c r="X15" s="35"/>
      <c r="Z15" s="35"/>
      <c r="AA15" s="35"/>
      <c r="AB15" s="45">
        <v>3610000</v>
      </c>
      <c r="AC15" s="65"/>
      <c r="AD15" s="45">
        <v>242478</v>
      </c>
      <c r="AE15" s="65"/>
      <c r="AF15" s="45">
        <v>50435</v>
      </c>
      <c r="AG15" s="65"/>
      <c r="AH15" s="48">
        <f t="shared" si="1"/>
        <v>26685736</v>
      </c>
      <c r="AI15" s="48"/>
      <c r="AJ15" s="48">
        <v>0</v>
      </c>
      <c r="AK15" s="48"/>
      <c r="AL15" s="45">
        <v>605615</v>
      </c>
      <c r="AM15" s="45"/>
      <c r="AN15" s="45">
        <v>6487974</v>
      </c>
      <c r="AO15" s="45"/>
      <c r="AP15" s="45">
        <v>0</v>
      </c>
      <c r="AQ15" s="45"/>
      <c r="AR15" s="45">
        <f>+'GVFund Rev'!U15+'GVFund Rev'!W15-'GVFund Exp'!AH15-'GVFund Exp'!AL15+AJ15+AN15+AP15-'GV Fund BS'!S15</f>
        <v>0</v>
      </c>
      <c r="AS15" s="48"/>
    </row>
    <row r="16" spans="1:46" s="44" customFormat="1" ht="12.75" customHeight="1">
      <c r="A16" s="64" t="s">
        <v>21</v>
      </c>
      <c r="B16" s="46"/>
      <c r="C16" s="64" t="s">
        <v>22</v>
      </c>
      <c r="D16" s="46"/>
      <c r="E16" s="45">
        <v>2319370</v>
      </c>
      <c r="F16" s="48"/>
      <c r="G16" s="45">
        <v>6869828</v>
      </c>
      <c r="H16" s="48"/>
      <c r="I16" s="45">
        <v>935260</v>
      </c>
      <c r="J16" s="48"/>
      <c r="K16" s="45">
        <v>0</v>
      </c>
      <c r="L16" s="48"/>
      <c r="M16" s="45">
        <v>2808135</v>
      </c>
      <c r="N16" s="48"/>
      <c r="O16" s="45">
        <v>1367526</v>
      </c>
      <c r="P16" s="48"/>
      <c r="Q16" s="45">
        <v>1913</v>
      </c>
      <c r="R16" s="48"/>
      <c r="S16" s="45">
        <v>2123975</v>
      </c>
      <c r="T16" s="48"/>
      <c r="U16" s="45">
        <v>0</v>
      </c>
      <c r="V16" s="48"/>
      <c r="W16" s="48"/>
      <c r="X16" s="35"/>
      <c r="Z16" s="35"/>
      <c r="AA16" s="35"/>
      <c r="AB16" s="45">
        <v>707902</v>
      </c>
      <c r="AC16" s="65"/>
      <c r="AD16" s="45">
        <v>451966</v>
      </c>
      <c r="AE16" s="65"/>
      <c r="AF16" s="45">
        <v>0</v>
      </c>
      <c r="AG16" s="65"/>
      <c r="AH16" s="48">
        <f t="shared" si="1"/>
        <v>17585875</v>
      </c>
      <c r="AI16" s="48"/>
      <c r="AJ16" s="48">
        <v>0</v>
      </c>
      <c r="AK16" s="48"/>
      <c r="AL16" s="45">
        <v>2222409</v>
      </c>
      <c r="AM16" s="45"/>
      <c r="AN16" s="45">
        <v>13435344</v>
      </c>
      <c r="AO16" s="45"/>
      <c r="AP16" s="45">
        <v>0</v>
      </c>
      <c r="AQ16" s="45"/>
      <c r="AR16" s="45">
        <f>+'GVFund Rev'!U16+'GVFund Rev'!W16-'GVFund Exp'!AH16-'GVFund Exp'!AL16+AJ16+AN16+AP16-'GV Fund BS'!S16</f>
        <v>0</v>
      </c>
      <c r="AS16" s="48"/>
    </row>
    <row r="17" spans="1:45" s="44" customFormat="1" ht="12.75" customHeight="1">
      <c r="A17" s="35" t="s">
        <v>23</v>
      </c>
      <c r="C17" s="35" t="s">
        <v>17</v>
      </c>
      <c r="E17" s="45">
        <v>3451160</v>
      </c>
      <c r="F17" s="48"/>
      <c r="G17" s="45">
        <v>7834770</v>
      </c>
      <c r="H17" s="48"/>
      <c r="I17" s="45">
        <v>1204080</v>
      </c>
      <c r="J17" s="48"/>
      <c r="K17" s="45">
        <v>0</v>
      </c>
      <c r="L17" s="48"/>
      <c r="M17" s="45">
        <v>2035160</v>
      </c>
      <c r="N17" s="48"/>
      <c r="O17" s="45">
        <v>840942</v>
      </c>
      <c r="P17" s="48"/>
      <c r="Q17" s="45">
        <v>15286</v>
      </c>
      <c r="R17" s="48"/>
      <c r="S17" s="45">
        <v>11799587</v>
      </c>
      <c r="T17" s="48"/>
      <c r="U17" s="45">
        <v>0</v>
      </c>
      <c r="V17" s="48"/>
      <c r="W17" s="48"/>
      <c r="X17" s="35"/>
      <c r="Z17" s="35"/>
      <c r="AA17" s="35"/>
      <c r="AB17" s="45">
        <v>7326169</v>
      </c>
      <c r="AC17" s="65"/>
      <c r="AD17" s="45">
        <v>2191887</v>
      </c>
      <c r="AE17" s="65"/>
      <c r="AF17" s="45">
        <v>0</v>
      </c>
      <c r="AG17" s="65"/>
      <c r="AH17" s="48">
        <f t="shared" si="1"/>
        <v>36699041</v>
      </c>
      <c r="AI17" s="48"/>
      <c r="AJ17" s="48">
        <v>0</v>
      </c>
      <c r="AK17" s="48"/>
      <c r="AL17" s="45">
        <v>11177647</v>
      </c>
      <c r="AM17" s="45"/>
      <c r="AN17" s="45">
        <v>16766509</v>
      </c>
      <c r="AO17" s="45"/>
      <c r="AP17" s="45">
        <v>0</v>
      </c>
      <c r="AQ17" s="45"/>
      <c r="AR17" s="45">
        <f>+'GVFund Rev'!U17+'GVFund Rev'!W17-'GVFund Exp'!AH17-'GVFund Exp'!AL17+AJ17+AN17+AP17-'GV Fund BS'!S17</f>
        <v>0</v>
      </c>
      <c r="AS17" s="48"/>
    </row>
    <row r="18" spans="1:45" s="44" customFormat="1" ht="12.75" hidden="1" customHeight="1">
      <c r="A18" s="35" t="s">
        <v>24</v>
      </c>
      <c r="C18" s="35" t="s">
        <v>17</v>
      </c>
      <c r="E18" s="45">
        <v>0</v>
      </c>
      <c r="F18" s="48"/>
      <c r="G18" s="45">
        <v>0</v>
      </c>
      <c r="H18" s="48"/>
      <c r="I18" s="45">
        <v>0</v>
      </c>
      <c r="J18" s="48"/>
      <c r="K18" s="45">
        <v>0</v>
      </c>
      <c r="L18" s="48"/>
      <c r="M18" s="45">
        <v>0</v>
      </c>
      <c r="N18" s="48"/>
      <c r="O18" s="45">
        <v>0</v>
      </c>
      <c r="P18" s="48"/>
      <c r="Q18" s="45">
        <v>0</v>
      </c>
      <c r="R18" s="48"/>
      <c r="S18" s="45">
        <v>0</v>
      </c>
      <c r="T18" s="48"/>
      <c r="U18" s="45">
        <v>0</v>
      </c>
      <c r="V18" s="48"/>
      <c r="W18" s="48"/>
      <c r="X18" s="35"/>
      <c r="Z18" s="35"/>
      <c r="AA18" s="35"/>
      <c r="AB18" s="45">
        <v>0</v>
      </c>
      <c r="AC18" s="65"/>
      <c r="AD18" s="45">
        <v>0</v>
      </c>
      <c r="AE18" s="65"/>
      <c r="AF18" s="45">
        <v>0</v>
      </c>
      <c r="AG18" s="65"/>
      <c r="AH18" s="48">
        <f t="shared" si="1"/>
        <v>0</v>
      </c>
      <c r="AI18" s="48"/>
      <c r="AJ18" s="48">
        <v>0</v>
      </c>
      <c r="AK18" s="48"/>
      <c r="AL18" s="45">
        <v>0</v>
      </c>
      <c r="AM18" s="45"/>
      <c r="AN18" s="45">
        <v>0</v>
      </c>
      <c r="AO18" s="45"/>
      <c r="AP18" s="45">
        <v>0</v>
      </c>
      <c r="AQ18" s="45"/>
      <c r="AR18" s="45">
        <f>+'GVFund Rev'!U18+'GVFund Rev'!W18-'GVFund Exp'!AH18-'GVFund Exp'!AL18+AJ18+AN18+AP18-'GV Fund BS'!S18</f>
        <v>0</v>
      </c>
      <c r="AS18" s="48"/>
    </row>
    <row r="19" spans="1:45" s="44" customFormat="1" ht="12.75" customHeight="1">
      <c r="A19" s="35" t="s">
        <v>25</v>
      </c>
      <c r="C19" s="35" t="s">
        <v>13</v>
      </c>
      <c r="E19" s="45">
        <v>4017338</v>
      </c>
      <c r="F19" s="48"/>
      <c r="G19" s="45">
        <v>9223191</v>
      </c>
      <c r="H19" s="48"/>
      <c r="I19" s="45">
        <v>2967737</v>
      </c>
      <c r="J19" s="48"/>
      <c r="K19" s="45">
        <v>971656</v>
      </c>
      <c r="L19" s="48"/>
      <c r="M19" s="45">
        <v>1417513</v>
      </c>
      <c r="N19" s="48"/>
      <c r="O19" s="45">
        <v>1068312</v>
      </c>
      <c r="P19" s="48"/>
      <c r="Q19" s="45">
        <v>0</v>
      </c>
      <c r="R19" s="48"/>
      <c r="S19" s="45">
        <v>1268654</v>
      </c>
      <c r="T19" s="48"/>
      <c r="U19" s="45">
        <v>0</v>
      </c>
      <c r="V19" s="48"/>
      <c r="W19" s="48"/>
      <c r="X19" s="35"/>
      <c r="Z19" s="35"/>
      <c r="AA19" s="35"/>
      <c r="AB19" s="45">
        <v>1129672</v>
      </c>
      <c r="AC19" s="65"/>
      <c r="AD19" s="45">
        <v>258650</v>
      </c>
      <c r="AE19" s="65"/>
      <c r="AF19" s="45">
        <v>0</v>
      </c>
      <c r="AG19" s="65"/>
      <c r="AH19" s="48">
        <f t="shared" si="1"/>
        <v>22322723</v>
      </c>
      <c r="AI19" s="48"/>
      <c r="AJ19" s="48">
        <v>0</v>
      </c>
      <c r="AK19" s="48"/>
      <c r="AL19" s="45">
        <v>1779079</v>
      </c>
      <c r="AM19" s="45"/>
      <c r="AN19" s="45">
        <v>5433622</v>
      </c>
      <c r="AO19" s="45"/>
      <c r="AP19" s="45">
        <v>0</v>
      </c>
      <c r="AQ19" s="45"/>
      <c r="AR19" s="45">
        <f>+'GVFund Rev'!U19+'GVFund Rev'!W19-'GVFund Exp'!AH19-'GVFund Exp'!AL19+AJ19+AN19+AP19-'GV Fund BS'!S19</f>
        <v>0</v>
      </c>
      <c r="AS19" s="48"/>
    </row>
    <row r="20" spans="1:45" s="44" customFormat="1" ht="12.75" customHeight="1">
      <c r="A20" s="35" t="s">
        <v>26</v>
      </c>
      <c r="C20" s="35" t="s">
        <v>27</v>
      </c>
      <c r="E20" s="45">
        <v>2807988</v>
      </c>
      <c r="F20" s="48"/>
      <c r="G20" s="45">
        <v>6856422</v>
      </c>
      <c r="H20" s="48"/>
      <c r="I20" s="45">
        <v>737614</v>
      </c>
      <c r="J20" s="48"/>
      <c r="K20" s="45">
        <v>291196</v>
      </c>
      <c r="L20" s="48"/>
      <c r="M20" s="45">
        <v>1953659</v>
      </c>
      <c r="N20" s="48"/>
      <c r="O20" s="45">
        <v>944571</v>
      </c>
      <c r="P20" s="48"/>
      <c r="Q20" s="45">
        <v>1782344</v>
      </c>
      <c r="R20" s="48"/>
      <c r="S20" s="45">
        <v>998068</v>
      </c>
      <c r="T20" s="48"/>
      <c r="U20" s="45">
        <v>0</v>
      </c>
      <c r="V20" s="48"/>
      <c r="W20" s="48"/>
      <c r="X20" s="35"/>
      <c r="Z20" s="35"/>
      <c r="AA20" s="35"/>
      <c r="AB20" s="45">
        <v>1435000</v>
      </c>
      <c r="AC20" s="65"/>
      <c r="AD20" s="45">
        <v>417454</v>
      </c>
      <c r="AE20" s="65"/>
      <c r="AF20" s="45">
        <v>0</v>
      </c>
      <c r="AG20" s="65"/>
      <c r="AH20" s="48">
        <f t="shared" si="1"/>
        <v>18224316</v>
      </c>
      <c r="AI20" s="48"/>
      <c r="AJ20" s="48">
        <v>0</v>
      </c>
      <c r="AK20" s="48"/>
      <c r="AL20" s="45">
        <f>1216250-470000+1353266-104808</f>
        <v>1994708</v>
      </c>
      <c r="AM20" s="45"/>
      <c r="AN20" s="45">
        <v>14046972</v>
      </c>
      <c r="AO20" s="45"/>
      <c r="AP20" s="45">
        <v>0</v>
      </c>
      <c r="AQ20" s="45"/>
      <c r="AR20" s="45">
        <f>+'GVFund Rev'!U20+'GVFund Rev'!W20-'GVFund Exp'!AH20-'GVFund Exp'!AL20+AJ20+AN20+AP20-'GV Fund BS'!S20</f>
        <v>0</v>
      </c>
      <c r="AS20" s="48"/>
    </row>
    <row r="21" spans="1:45" s="44" customFormat="1" ht="12.75" customHeight="1">
      <c r="A21" s="35" t="s">
        <v>28</v>
      </c>
      <c r="C21" s="35" t="s">
        <v>27</v>
      </c>
      <c r="E21" s="45">
        <v>4398424</v>
      </c>
      <c r="F21" s="48"/>
      <c r="G21" s="45">
        <f>7726739+6244404</f>
        <v>13971143</v>
      </c>
      <c r="H21" s="48"/>
      <c r="I21" s="45">
        <v>907177</v>
      </c>
      <c r="J21" s="48"/>
      <c r="K21" s="45">
        <v>583933</v>
      </c>
      <c r="L21" s="48"/>
      <c r="M21" s="45">
        <v>8067990</v>
      </c>
      <c r="N21" s="48"/>
      <c r="O21" s="45">
        <v>2254874</v>
      </c>
      <c r="P21" s="48"/>
      <c r="Q21" s="45">
        <v>0</v>
      </c>
      <c r="R21" s="48"/>
      <c r="S21" s="45">
        <v>8630423</v>
      </c>
      <c r="T21" s="48"/>
      <c r="U21" s="45">
        <v>0</v>
      </c>
      <c r="V21" s="48"/>
      <c r="W21" s="48"/>
      <c r="X21" s="35"/>
      <c r="Z21" s="35"/>
      <c r="AA21" s="35"/>
      <c r="AB21" s="45">
        <v>1290000</v>
      </c>
      <c r="AC21" s="65"/>
      <c r="AD21" s="45">
        <v>729137</v>
      </c>
      <c r="AE21" s="65"/>
      <c r="AF21" s="45">
        <v>173098</v>
      </c>
      <c r="AG21" s="65"/>
      <c r="AH21" s="48">
        <f t="shared" si="1"/>
        <v>41006199</v>
      </c>
      <c r="AI21" s="48"/>
      <c r="AJ21" s="48">
        <v>0</v>
      </c>
      <c r="AK21" s="48"/>
      <c r="AL21" s="45">
        <f>4871983+2537923</f>
        <v>7409906</v>
      </c>
      <c r="AM21" s="45"/>
      <c r="AN21" s="45">
        <v>31974453</v>
      </c>
      <c r="AO21" s="45"/>
      <c r="AP21" s="45">
        <v>0</v>
      </c>
      <c r="AQ21" s="45"/>
      <c r="AR21" s="45">
        <f>+'GVFund Rev'!U21+'GVFund Rev'!W21-'GVFund Exp'!AH21-'GVFund Exp'!AL21+AJ21+AN21+AP21-'GV Fund BS'!S21</f>
        <v>0</v>
      </c>
      <c r="AS21" s="48"/>
    </row>
    <row r="22" spans="1:45" s="44" customFormat="1" ht="12.75" customHeight="1">
      <c r="A22" s="35" t="s">
        <v>29</v>
      </c>
      <c r="C22" s="35" t="s">
        <v>30</v>
      </c>
      <c r="E22" s="45">
        <v>2187161</v>
      </c>
      <c r="F22" s="48"/>
      <c r="G22" s="45">
        <v>7556590</v>
      </c>
      <c r="H22" s="48"/>
      <c r="I22" s="45">
        <v>619451</v>
      </c>
      <c r="J22" s="48"/>
      <c r="K22" s="45">
        <v>122884</v>
      </c>
      <c r="L22" s="48"/>
      <c r="M22" s="45">
        <v>5472195</v>
      </c>
      <c r="N22" s="48"/>
      <c r="O22" s="45">
        <v>1442917</v>
      </c>
      <c r="P22" s="48"/>
      <c r="Q22" s="45">
        <v>89176</v>
      </c>
      <c r="R22" s="48"/>
      <c r="S22" s="45">
        <v>6011745</v>
      </c>
      <c r="T22" s="48"/>
      <c r="U22" s="45">
        <v>0</v>
      </c>
      <c r="V22" s="48"/>
      <c r="W22" s="48"/>
      <c r="X22" s="35"/>
      <c r="Z22" s="35"/>
      <c r="AA22" s="35"/>
      <c r="AB22" s="45">
        <v>662221</v>
      </c>
      <c r="AC22" s="65"/>
      <c r="AD22" s="45">
        <v>661676</v>
      </c>
      <c r="AE22" s="65"/>
      <c r="AF22" s="45">
        <v>0</v>
      </c>
      <c r="AG22" s="65"/>
      <c r="AH22" s="48">
        <f t="shared" si="1"/>
        <v>24826016</v>
      </c>
      <c r="AI22" s="48"/>
      <c r="AJ22" s="48">
        <v>0</v>
      </c>
      <c r="AK22" s="48"/>
      <c r="AL22" s="45">
        <v>1072303</v>
      </c>
      <c r="AM22" s="45"/>
      <c r="AN22" s="45">
        <v>9989515</v>
      </c>
      <c r="AO22" s="45"/>
      <c r="AP22" s="45">
        <v>7277</v>
      </c>
      <c r="AQ22" s="45"/>
      <c r="AR22" s="45">
        <f>+'GVFund Rev'!U22+'GVFund Rev'!W22-'GVFund Exp'!AH22-'GVFund Exp'!AL22+AJ22+AN22+AP22-'GV Fund BS'!S22</f>
        <v>0</v>
      </c>
      <c r="AS22" s="48"/>
    </row>
    <row r="23" spans="1:45" s="44" customFormat="1" ht="12.75" customHeight="1">
      <c r="A23" s="35" t="s">
        <v>31</v>
      </c>
      <c r="C23" s="35" t="s">
        <v>27</v>
      </c>
      <c r="E23" s="45">
        <v>4432001</v>
      </c>
      <c r="F23" s="48"/>
      <c r="G23" s="45">
        <f>5081196+3637500</f>
        <v>8718696</v>
      </c>
      <c r="H23" s="48"/>
      <c r="I23" s="45">
        <v>1255407</v>
      </c>
      <c r="J23" s="48"/>
      <c r="K23" s="45">
        <v>175806</v>
      </c>
      <c r="L23" s="48"/>
      <c r="M23" s="45">
        <v>2200388</v>
      </c>
      <c r="N23" s="48"/>
      <c r="O23" s="45">
        <v>1686229</v>
      </c>
      <c r="P23" s="48"/>
      <c r="Q23" s="45">
        <v>1054778</v>
      </c>
      <c r="R23" s="48"/>
      <c r="S23" s="45">
        <v>1841744</v>
      </c>
      <c r="T23" s="48"/>
      <c r="U23" s="45">
        <v>0</v>
      </c>
      <c r="V23" s="48"/>
      <c r="W23" s="48"/>
      <c r="X23" s="35"/>
      <c r="Z23" s="35"/>
      <c r="AA23" s="35"/>
      <c r="AB23" s="45">
        <v>690481</v>
      </c>
      <c r="AC23" s="65"/>
      <c r="AD23" s="45">
        <v>466198</v>
      </c>
      <c r="AE23" s="65"/>
      <c r="AF23" s="45">
        <v>55200</v>
      </c>
      <c r="AG23" s="65"/>
      <c r="AH23" s="48">
        <f t="shared" si="1"/>
        <v>22576928</v>
      </c>
      <c r="AI23" s="48"/>
      <c r="AJ23" s="48">
        <v>0</v>
      </c>
      <c r="AK23" s="48"/>
      <c r="AL23" s="45">
        <v>3858052</v>
      </c>
      <c r="AM23" s="45"/>
      <c r="AN23" s="45">
        <v>12365443</v>
      </c>
      <c r="AO23" s="45"/>
      <c r="AP23" s="45">
        <v>0</v>
      </c>
      <c r="AQ23" s="45"/>
      <c r="AR23" s="45">
        <f>+'GVFund Rev'!U23+'GVFund Rev'!W23-'GVFund Exp'!AH23-'GVFund Exp'!AL23+AJ23+AN23+AP23-'GV Fund BS'!S23</f>
        <v>0</v>
      </c>
      <c r="AS23" s="48"/>
    </row>
    <row r="24" spans="1:45" s="44" customFormat="1" ht="12.75" customHeight="1">
      <c r="A24" s="35" t="s">
        <v>32</v>
      </c>
      <c r="C24" s="35" t="s">
        <v>27</v>
      </c>
      <c r="E24" s="45">
        <v>3390610</v>
      </c>
      <c r="F24" s="48"/>
      <c r="G24" s="45">
        <v>10609823</v>
      </c>
      <c r="H24" s="48"/>
      <c r="I24" s="45">
        <v>359760</v>
      </c>
      <c r="J24" s="48"/>
      <c r="K24" s="45">
        <v>351236</v>
      </c>
      <c r="L24" s="48"/>
      <c r="M24" s="45">
        <v>1187180</v>
      </c>
      <c r="N24" s="48"/>
      <c r="O24" s="45">
        <v>1232115</v>
      </c>
      <c r="P24" s="48"/>
      <c r="Q24" s="45">
        <v>736020</v>
      </c>
      <c r="R24" s="48"/>
      <c r="S24" s="45">
        <v>413423</v>
      </c>
      <c r="T24" s="48"/>
      <c r="U24" s="45">
        <v>0</v>
      </c>
      <c r="V24" s="48"/>
      <c r="W24" s="48"/>
      <c r="X24" s="35"/>
      <c r="Z24" s="35"/>
      <c r="AA24" s="35"/>
      <c r="AB24" s="45">
        <v>776249</v>
      </c>
      <c r="AC24" s="65"/>
      <c r="AD24" s="45">
        <v>185726</v>
      </c>
      <c r="AE24" s="65"/>
      <c r="AF24" s="45">
        <v>0</v>
      </c>
      <c r="AG24" s="65"/>
      <c r="AH24" s="48">
        <f t="shared" si="1"/>
        <v>19242142</v>
      </c>
      <c r="AI24" s="48"/>
      <c r="AJ24" s="48">
        <v>0</v>
      </c>
      <c r="AK24" s="48"/>
      <c r="AL24" s="45">
        <v>2796000</v>
      </c>
      <c r="AM24" s="45"/>
      <c r="AN24" s="45">
        <v>6081593</v>
      </c>
      <c r="AO24" s="45"/>
      <c r="AP24" s="45">
        <v>0</v>
      </c>
      <c r="AQ24" s="45"/>
      <c r="AR24" s="45">
        <f>+'GVFund Rev'!U24+'GVFund Rev'!W24-'GVFund Exp'!AH24-'GVFund Exp'!AL24+AJ24+AN24+AP24-'GV Fund BS'!S24</f>
        <v>0</v>
      </c>
      <c r="AS24" s="48"/>
    </row>
    <row r="25" spans="1:45" s="44" customFormat="1" ht="12.75" customHeight="1">
      <c r="A25" s="35" t="s">
        <v>34</v>
      </c>
      <c r="C25" s="35" t="s">
        <v>30</v>
      </c>
      <c r="E25" s="45">
        <v>442454</v>
      </c>
      <c r="F25" s="48"/>
      <c r="G25" s="45">
        <v>2639780</v>
      </c>
      <c r="H25" s="48"/>
      <c r="I25" s="45">
        <v>80889</v>
      </c>
      <c r="J25" s="48"/>
      <c r="K25" s="45">
        <v>0</v>
      </c>
      <c r="L25" s="48"/>
      <c r="M25" s="45">
        <v>404016</v>
      </c>
      <c r="N25" s="48"/>
      <c r="O25" s="45">
        <v>14755</v>
      </c>
      <c r="P25" s="48"/>
      <c r="Q25" s="45">
        <v>0</v>
      </c>
      <c r="R25" s="48"/>
      <c r="S25" s="45">
        <v>709388</v>
      </c>
      <c r="T25" s="48"/>
      <c r="U25" s="45">
        <v>0</v>
      </c>
      <c r="V25" s="48"/>
      <c r="W25" s="48"/>
      <c r="X25" s="35"/>
      <c r="Z25" s="35"/>
      <c r="AA25" s="35"/>
      <c r="AB25" s="45">
        <v>0</v>
      </c>
      <c r="AC25" s="65"/>
      <c r="AD25" s="45">
        <v>0</v>
      </c>
      <c r="AE25" s="65"/>
      <c r="AF25" s="45">
        <v>0</v>
      </c>
      <c r="AG25" s="65"/>
      <c r="AH25" s="48">
        <f t="shared" si="1"/>
        <v>4291282</v>
      </c>
      <c r="AI25" s="48"/>
      <c r="AJ25" s="48">
        <v>0</v>
      </c>
      <c r="AK25" s="48"/>
      <c r="AL25" s="45">
        <v>650000</v>
      </c>
      <c r="AM25" s="45"/>
      <c r="AN25" s="45">
        <v>3064446</v>
      </c>
      <c r="AO25" s="45"/>
      <c r="AP25" s="45">
        <v>0</v>
      </c>
      <c r="AQ25" s="45"/>
      <c r="AR25" s="45">
        <f>+'GVFund Rev'!U25+'GVFund Rev'!W25-'GVFund Exp'!AH25-'GVFund Exp'!AL25+AJ25+AN25+AP25-'GV Fund BS'!S25</f>
        <v>0</v>
      </c>
      <c r="AS25" s="48"/>
    </row>
    <row r="26" spans="1:45" s="44" customFormat="1" ht="12.75" customHeight="1">
      <c r="A26" s="35" t="s">
        <v>35</v>
      </c>
      <c r="C26" s="35" t="s">
        <v>36</v>
      </c>
      <c r="E26" s="45">
        <f>1704594+674550</f>
        <v>2379144</v>
      </c>
      <c r="F26" s="48"/>
      <c r="G26" s="45">
        <v>3968574</v>
      </c>
      <c r="H26" s="48"/>
      <c r="I26" s="45">
        <v>1544728</v>
      </c>
      <c r="J26" s="48"/>
      <c r="K26" s="45">
        <v>223673</v>
      </c>
      <c r="L26" s="48"/>
      <c r="M26" s="45">
        <v>971391</v>
      </c>
      <c r="N26" s="48"/>
      <c r="O26" s="45">
        <v>546234</v>
      </c>
      <c r="P26" s="48"/>
      <c r="Q26" s="45">
        <v>159944</v>
      </c>
      <c r="R26" s="48"/>
      <c r="S26" s="45">
        <v>1160500</v>
      </c>
      <c r="T26" s="48"/>
      <c r="U26" s="45">
        <v>0</v>
      </c>
      <c r="V26" s="48"/>
      <c r="W26" s="48"/>
      <c r="X26" s="35"/>
      <c r="Z26" s="35"/>
      <c r="AA26" s="35"/>
      <c r="AB26" s="45">
        <v>105000</v>
      </c>
      <c r="AC26" s="65"/>
      <c r="AD26" s="45">
        <v>41958</v>
      </c>
      <c r="AE26" s="65"/>
      <c r="AF26" s="45">
        <v>0</v>
      </c>
      <c r="AG26" s="65"/>
      <c r="AH26" s="48">
        <f t="shared" si="1"/>
        <v>11101146</v>
      </c>
      <c r="AI26" s="48"/>
      <c r="AJ26" s="48">
        <v>0</v>
      </c>
      <c r="AK26" s="48"/>
      <c r="AL26" s="45">
        <v>901624</v>
      </c>
      <c r="AM26" s="45"/>
      <c r="AN26" s="45">
        <v>7405176</v>
      </c>
      <c r="AO26" s="45"/>
      <c r="AP26" s="45">
        <v>0</v>
      </c>
      <c r="AQ26" s="45"/>
      <c r="AR26" s="45">
        <f>+'GVFund Rev'!U26+'GVFund Rev'!W26-'GVFund Exp'!AH26-'GVFund Exp'!AL26+AJ26+AN26+AP26-'GV Fund BS'!S26</f>
        <v>0</v>
      </c>
      <c r="AS26" s="48"/>
    </row>
    <row r="27" spans="1:45" s="44" customFormat="1" ht="12.75" customHeight="1">
      <c r="A27" s="35" t="s">
        <v>37</v>
      </c>
      <c r="C27" s="35" t="s">
        <v>38</v>
      </c>
      <c r="E27" s="45">
        <f>1708781+278360</f>
        <v>1987141</v>
      </c>
      <c r="F27" s="48"/>
      <c r="G27" s="45">
        <v>2138199</v>
      </c>
      <c r="H27" s="48"/>
      <c r="I27" s="45">
        <v>28196</v>
      </c>
      <c r="J27" s="48"/>
      <c r="K27" s="45">
        <v>113875</v>
      </c>
      <c r="L27" s="48"/>
      <c r="M27" s="45">
        <v>876157</v>
      </c>
      <c r="N27" s="48"/>
      <c r="O27" s="45">
        <v>446903</v>
      </c>
      <c r="P27" s="48"/>
      <c r="Q27" s="45">
        <v>0</v>
      </c>
      <c r="R27" s="48"/>
      <c r="S27" s="45">
        <v>0</v>
      </c>
      <c r="T27" s="48"/>
      <c r="U27" s="45">
        <v>0</v>
      </c>
      <c r="V27" s="48"/>
      <c r="W27" s="48"/>
      <c r="X27" s="35"/>
      <c r="Z27" s="35"/>
      <c r="AA27" s="35"/>
      <c r="AB27" s="45">
        <v>95000</v>
      </c>
      <c r="AC27" s="65"/>
      <c r="AD27" s="45">
        <v>71640</v>
      </c>
      <c r="AE27" s="65"/>
      <c r="AF27" s="45">
        <v>0</v>
      </c>
      <c r="AG27" s="65"/>
      <c r="AH27" s="48">
        <f t="shared" si="1"/>
        <v>5757111</v>
      </c>
      <c r="AI27" s="48"/>
      <c r="AJ27" s="48">
        <v>0</v>
      </c>
      <c r="AK27" s="48"/>
      <c r="AL27" s="45">
        <v>592253</v>
      </c>
      <c r="AM27" s="45"/>
      <c r="AN27" s="45">
        <v>3854692</v>
      </c>
      <c r="AO27" s="45"/>
      <c r="AP27" s="45">
        <v>-4755</v>
      </c>
      <c r="AQ27" s="45"/>
      <c r="AR27" s="45">
        <f>+'GVFund Rev'!U27+'GVFund Rev'!W27-'GVFund Exp'!AH27-'GVFund Exp'!AL27+AJ27+AN27+AP27-'GV Fund BS'!S27</f>
        <v>0</v>
      </c>
      <c r="AS27" s="48"/>
    </row>
    <row r="28" spans="1:45" s="44" customFormat="1" ht="12.75" customHeight="1">
      <c r="A28" s="35" t="s">
        <v>39</v>
      </c>
      <c r="C28" s="35" t="s">
        <v>40</v>
      </c>
      <c r="E28" s="45">
        <v>628520</v>
      </c>
      <c r="F28" s="48"/>
      <c r="G28" s="45">
        <f>1064390+167985</f>
        <v>1232375</v>
      </c>
      <c r="H28" s="48"/>
      <c r="I28" s="45">
        <v>132913</v>
      </c>
      <c r="J28" s="48"/>
      <c r="K28" s="45">
        <v>41547</v>
      </c>
      <c r="L28" s="48"/>
      <c r="M28" s="45">
        <v>509556</v>
      </c>
      <c r="N28" s="48"/>
      <c r="O28" s="45">
        <f>50740+87848+58904</f>
        <v>197492</v>
      </c>
      <c r="P28" s="48"/>
      <c r="Q28" s="45">
        <v>0</v>
      </c>
      <c r="R28" s="48"/>
      <c r="S28" s="45">
        <v>92255</v>
      </c>
      <c r="T28" s="48"/>
      <c r="U28" s="45">
        <v>0</v>
      </c>
      <c r="V28" s="48"/>
      <c r="W28" s="48"/>
      <c r="X28" s="35"/>
      <c r="Z28" s="35"/>
      <c r="AA28" s="35"/>
      <c r="AB28" s="45">
        <v>117319</v>
      </c>
      <c r="AC28" s="65"/>
      <c r="AD28" s="45">
        <v>41746</v>
      </c>
      <c r="AE28" s="65"/>
      <c r="AF28" s="45">
        <v>0</v>
      </c>
      <c r="AG28" s="65"/>
      <c r="AH28" s="48">
        <f t="shared" si="1"/>
        <v>2993723</v>
      </c>
      <c r="AI28" s="48"/>
      <c r="AJ28" s="48">
        <v>0</v>
      </c>
      <c r="AK28" s="48"/>
      <c r="AL28" s="45">
        <v>190000</v>
      </c>
      <c r="AM28" s="45"/>
      <c r="AN28" s="45">
        <v>1913288</v>
      </c>
      <c r="AO28" s="45"/>
      <c r="AP28" s="45">
        <v>0</v>
      </c>
      <c r="AQ28" s="45"/>
      <c r="AR28" s="45">
        <f>+'GVFund Rev'!U28+'GVFund Rev'!W28-'GVFund Exp'!AH28-'GVFund Exp'!AL28+AJ28+AN28+AP28-'GV Fund BS'!S28</f>
        <v>0</v>
      </c>
      <c r="AS28" s="48"/>
    </row>
    <row r="29" spans="1:45" s="44" customFormat="1" ht="12.75" customHeight="1">
      <c r="A29" s="35" t="s">
        <v>41</v>
      </c>
      <c r="C29" s="35" t="s">
        <v>27</v>
      </c>
      <c r="E29" s="45">
        <v>6791331</v>
      </c>
      <c r="F29" s="48"/>
      <c r="G29" s="45">
        <v>6663889</v>
      </c>
      <c r="H29" s="48"/>
      <c r="I29" s="45">
        <v>503772</v>
      </c>
      <c r="J29" s="48"/>
      <c r="K29" s="45">
        <v>211300</v>
      </c>
      <c r="L29" s="48"/>
      <c r="M29" s="45">
        <v>890006</v>
      </c>
      <c r="N29" s="48"/>
      <c r="O29" s="45">
        <v>1544300</v>
      </c>
      <c r="P29" s="48"/>
      <c r="Q29" s="45">
        <v>1327127</v>
      </c>
      <c r="R29" s="48"/>
      <c r="S29" s="45">
        <v>3195787</v>
      </c>
      <c r="T29" s="48"/>
      <c r="U29" s="45">
        <v>0</v>
      </c>
      <c r="V29" s="48"/>
      <c r="W29" s="48"/>
      <c r="X29" s="35"/>
      <c r="Z29" s="35"/>
      <c r="AA29" s="35"/>
      <c r="AB29" s="45">
        <v>7241978</v>
      </c>
      <c r="AC29" s="65"/>
      <c r="AD29" s="45">
        <v>540254</v>
      </c>
      <c r="AE29" s="65"/>
      <c r="AF29" s="45">
        <v>83663</v>
      </c>
      <c r="AG29" s="65"/>
      <c r="AH29" s="48">
        <f t="shared" si="1"/>
        <v>28993407</v>
      </c>
      <c r="AI29" s="48"/>
      <c r="AJ29" s="48">
        <v>0</v>
      </c>
      <c r="AK29" s="48"/>
      <c r="AL29" s="45">
        <f>34143+2788670</f>
        <v>2822813</v>
      </c>
      <c r="AM29" s="45"/>
      <c r="AN29" s="45">
        <v>7957985</v>
      </c>
      <c r="AO29" s="45"/>
      <c r="AP29" s="45">
        <v>0</v>
      </c>
      <c r="AQ29" s="45"/>
      <c r="AR29" s="45">
        <f>+'GVFund Rev'!U29+'GVFund Rev'!W29-'GVFund Exp'!AH29-'GVFund Exp'!AL29+AJ29+AN29+AP29-'GV Fund BS'!S29</f>
        <v>0</v>
      </c>
      <c r="AS29" s="48"/>
    </row>
    <row r="30" spans="1:45" s="44" customFormat="1" ht="12.75" customHeight="1">
      <c r="A30" s="35" t="s">
        <v>42</v>
      </c>
      <c r="C30" s="35" t="s">
        <v>43</v>
      </c>
      <c r="E30" s="45">
        <v>3305695</v>
      </c>
      <c r="F30" s="48"/>
      <c r="G30" s="45">
        <v>5671535</v>
      </c>
      <c r="H30" s="48"/>
      <c r="I30" s="45">
        <v>569279</v>
      </c>
      <c r="J30" s="48"/>
      <c r="K30" s="45">
        <v>91789</v>
      </c>
      <c r="L30" s="48"/>
      <c r="M30" s="45">
        <v>860167</v>
      </c>
      <c r="N30" s="48"/>
      <c r="O30" s="45">
        <v>1262028</v>
      </c>
      <c r="P30" s="48"/>
      <c r="Q30" s="45">
        <v>0</v>
      </c>
      <c r="R30" s="48"/>
      <c r="S30" s="45">
        <v>5084109</v>
      </c>
      <c r="T30" s="48"/>
      <c r="U30" s="45">
        <v>36796</v>
      </c>
      <c r="V30" s="48"/>
      <c r="W30" s="48"/>
      <c r="X30" s="35"/>
      <c r="Z30" s="35"/>
      <c r="AA30" s="35"/>
      <c r="AB30" s="45">
        <v>869978</v>
      </c>
      <c r="AC30" s="65"/>
      <c r="AD30" s="45">
        <v>647839</v>
      </c>
      <c r="AE30" s="65"/>
      <c r="AF30" s="45">
        <v>164250</v>
      </c>
      <c r="AG30" s="65"/>
      <c r="AH30" s="48">
        <f t="shared" si="1"/>
        <v>18563465</v>
      </c>
      <c r="AI30" s="48"/>
      <c r="AJ30" s="48">
        <v>0</v>
      </c>
      <c r="AK30" s="48"/>
      <c r="AL30" s="45">
        <v>7950635</v>
      </c>
      <c r="AM30" s="45"/>
      <c r="AN30" s="45">
        <v>7727336</v>
      </c>
      <c r="AO30" s="45"/>
      <c r="AP30" s="45">
        <v>0</v>
      </c>
      <c r="AQ30" s="45"/>
      <c r="AR30" s="45">
        <f>+'GVFund Rev'!U30+'GVFund Rev'!W30-'GVFund Exp'!AH30-'GVFund Exp'!AL30+AJ30+AN30+AP30-'GV Fund BS'!S30</f>
        <v>0</v>
      </c>
      <c r="AS30" s="48"/>
    </row>
    <row r="31" spans="1:45" s="44" customFormat="1" ht="12.75" customHeight="1">
      <c r="A31" s="35" t="s">
        <v>44</v>
      </c>
      <c r="C31" s="35" t="s">
        <v>45</v>
      </c>
      <c r="E31" s="45">
        <v>7846087</v>
      </c>
      <c r="F31" s="48"/>
      <c r="G31" s="45">
        <v>10230976</v>
      </c>
      <c r="H31" s="48"/>
      <c r="I31" s="45">
        <v>1601674</v>
      </c>
      <c r="J31" s="48"/>
      <c r="K31" s="45">
        <v>0</v>
      </c>
      <c r="L31" s="48"/>
      <c r="M31" s="45">
        <v>3500677</v>
      </c>
      <c r="N31" s="48"/>
      <c r="O31" s="45">
        <v>3823146</v>
      </c>
      <c r="P31" s="48"/>
      <c r="Q31" s="45">
        <v>114224</v>
      </c>
      <c r="R31" s="48"/>
      <c r="S31" s="45">
        <v>2689388</v>
      </c>
      <c r="T31" s="48"/>
      <c r="U31" s="45">
        <v>0</v>
      </c>
      <c r="V31" s="48"/>
      <c r="W31" s="48"/>
      <c r="X31" s="35"/>
      <c r="Z31" s="35"/>
      <c r="AA31" s="35"/>
      <c r="AB31" s="45">
        <v>2588598</v>
      </c>
      <c r="AC31" s="65"/>
      <c r="AD31" s="45">
        <v>1955738</v>
      </c>
      <c r="AE31" s="65"/>
      <c r="AF31" s="45">
        <v>0</v>
      </c>
      <c r="AG31" s="65"/>
      <c r="AH31" s="48">
        <f t="shared" si="1"/>
        <v>34350508</v>
      </c>
      <c r="AI31" s="48"/>
      <c r="AJ31" s="48">
        <v>0</v>
      </c>
      <c r="AK31" s="48"/>
      <c r="AL31" s="45">
        <v>12342103</v>
      </c>
      <c r="AM31" s="45"/>
      <c r="AN31" s="45">
        <v>21011132</v>
      </c>
      <c r="AO31" s="45"/>
      <c r="AP31" s="45">
        <v>-69036</v>
      </c>
      <c r="AQ31" s="45"/>
      <c r="AR31" s="45">
        <f>+'GVFund Rev'!U31+'GVFund Rev'!W31-'GVFund Exp'!AH31-'GVFund Exp'!AL31+AJ31+AN31+AP31-'GV Fund BS'!S31</f>
        <v>0</v>
      </c>
      <c r="AS31" s="48"/>
    </row>
    <row r="32" spans="1:45" s="44" customFormat="1" ht="12.75" customHeight="1">
      <c r="A32" s="35" t="s">
        <v>46</v>
      </c>
      <c r="C32" s="35" t="s">
        <v>47</v>
      </c>
      <c r="E32" s="45">
        <f>1544946+3260792</f>
        <v>4805738</v>
      </c>
      <c r="F32" s="48"/>
      <c r="G32" s="45">
        <f>5515163+5251951+97855</f>
        <v>10864969</v>
      </c>
      <c r="H32" s="48"/>
      <c r="I32" s="45">
        <v>1291636</v>
      </c>
      <c r="J32" s="48"/>
      <c r="K32" s="45">
        <v>80662</v>
      </c>
      <c r="L32" s="48"/>
      <c r="M32" s="45">
        <v>7057427</v>
      </c>
      <c r="N32" s="48"/>
      <c r="O32" s="45">
        <v>1896829</v>
      </c>
      <c r="P32" s="48"/>
      <c r="Q32" s="45">
        <v>649966</v>
      </c>
      <c r="R32" s="48"/>
      <c r="S32" s="45">
        <v>10762247</v>
      </c>
      <c r="T32" s="48"/>
      <c r="U32" s="45">
        <v>0</v>
      </c>
      <c r="V32" s="48"/>
      <c r="W32" s="48"/>
      <c r="X32" s="35"/>
      <c r="Z32" s="35"/>
      <c r="AA32" s="35"/>
      <c r="AB32" s="45">
        <v>2959883</v>
      </c>
      <c r="AC32" s="65"/>
      <c r="AD32" s="45">
        <v>941320</v>
      </c>
      <c r="AE32" s="65"/>
      <c r="AF32" s="45">
        <v>0</v>
      </c>
      <c r="AG32" s="65"/>
      <c r="AH32" s="48">
        <f t="shared" si="1"/>
        <v>41310677</v>
      </c>
      <c r="AI32" s="48"/>
      <c r="AJ32" s="48">
        <v>0</v>
      </c>
      <c r="AK32" s="48"/>
      <c r="AL32" s="45">
        <v>1063628</v>
      </c>
      <c r="AM32" s="45"/>
      <c r="AN32" s="45">
        <v>14061909</v>
      </c>
      <c r="AO32" s="45"/>
      <c r="AP32" s="45">
        <v>0</v>
      </c>
      <c r="AQ32" s="45"/>
      <c r="AR32" s="45">
        <f>+'GVFund Rev'!U32+'GVFund Rev'!W32-'GVFund Exp'!AH32-'GVFund Exp'!AL32+AJ32+AN32+AP32-'GV Fund BS'!S32</f>
        <v>0</v>
      </c>
      <c r="AS32" s="48"/>
    </row>
    <row r="33" spans="1:45" s="44" customFormat="1" ht="12.75" customHeight="1">
      <c r="A33" s="35" t="s">
        <v>48</v>
      </c>
      <c r="C33" s="35" t="s">
        <v>27</v>
      </c>
      <c r="E33" s="45">
        <f>5541484+208078</f>
        <v>5749562</v>
      </c>
      <c r="F33" s="48"/>
      <c r="G33" s="45">
        <f>4036285+2390618</f>
        <v>6426903</v>
      </c>
      <c r="H33" s="48"/>
      <c r="I33" s="45">
        <v>813415</v>
      </c>
      <c r="J33" s="48"/>
      <c r="K33" s="45">
        <v>1105458</v>
      </c>
      <c r="L33" s="48"/>
      <c r="M33" s="45">
        <v>3460310</v>
      </c>
      <c r="N33" s="48"/>
      <c r="O33" s="45">
        <v>1846298</v>
      </c>
      <c r="P33" s="48"/>
      <c r="Q33" s="45">
        <v>1432297</v>
      </c>
      <c r="R33" s="48"/>
      <c r="S33" s="45">
        <v>1332610</v>
      </c>
      <c r="T33" s="48"/>
      <c r="U33" s="45">
        <v>0</v>
      </c>
      <c r="V33" s="48"/>
      <c r="W33" s="48"/>
      <c r="X33" s="35"/>
      <c r="Z33" s="35"/>
      <c r="AA33" s="35"/>
      <c r="AB33" s="45">
        <v>1138884</v>
      </c>
      <c r="AC33" s="65"/>
      <c r="AD33" s="45">
        <v>604565</v>
      </c>
      <c r="AE33" s="65"/>
      <c r="AF33" s="45">
        <v>0</v>
      </c>
      <c r="AG33" s="65"/>
      <c r="AH33" s="48">
        <f t="shared" si="1"/>
        <v>23910302</v>
      </c>
      <c r="AI33" s="48"/>
      <c r="AJ33" s="48">
        <v>0</v>
      </c>
      <c r="AK33" s="48"/>
      <c r="AL33" s="45">
        <v>2447956</v>
      </c>
      <c r="AM33" s="45"/>
      <c r="AN33" s="45">
        <v>11004414</v>
      </c>
      <c r="AO33" s="45"/>
      <c r="AP33" s="45">
        <v>0</v>
      </c>
      <c r="AQ33" s="45"/>
      <c r="AR33" s="45">
        <f>+'GVFund Rev'!U33+'GVFund Rev'!W33-'GVFund Exp'!AH33-'GVFund Exp'!AL33+AJ33+AN33+AP33-'GV Fund BS'!S33</f>
        <v>0</v>
      </c>
      <c r="AS33" s="48"/>
    </row>
    <row r="34" spans="1:45" s="44" customFormat="1" ht="12.75" customHeight="1">
      <c r="A34" s="35" t="s">
        <v>49</v>
      </c>
      <c r="C34" s="35" t="s">
        <v>27</v>
      </c>
      <c r="E34" s="45">
        <v>4000881</v>
      </c>
      <c r="F34" s="48"/>
      <c r="G34" s="45">
        <v>6768988</v>
      </c>
      <c r="H34" s="48"/>
      <c r="I34" s="45">
        <v>341455</v>
      </c>
      <c r="J34" s="48"/>
      <c r="K34" s="45">
        <v>285220</v>
      </c>
      <c r="L34" s="48"/>
      <c r="M34" s="45">
        <v>1374427</v>
      </c>
      <c r="N34" s="48"/>
      <c r="O34" s="45">
        <v>892215</v>
      </c>
      <c r="P34" s="48"/>
      <c r="Q34" s="45">
        <v>934767</v>
      </c>
      <c r="R34" s="48"/>
      <c r="S34" s="45">
        <v>2482477</v>
      </c>
      <c r="T34" s="48"/>
      <c r="U34" s="45">
        <v>0</v>
      </c>
      <c r="V34" s="48"/>
      <c r="W34" s="48"/>
      <c r="X34" s="35"/>
      <c r="Z34" s="35"/>
      <c r="AA34" s="35"/>
      <c r="AB34" s="45">
        <v>1263423</v>
      </c>
      <c r="AC34" s="65"/>
      <c r="AD34" s="45">
        <v>487541</v>
      </c>
      <c r="AE34" s="65"/>
      <c r="AF34" s="45">
        <v>0</v>
      </c>
      <c r="AG34" s="65"/>
      <c r="AH34" s="48">
        <f t="shared" si="1"/>
        <v>18831394</v>
      </c>
      <c r="AI34" s="48"/>
      <c r="AJ34" s="48">
        <v>0</v>
      </c>
      <c r="AK34" s="48"/>
      <c r="AL34" s="45">
        <v>1344823</v>
      </c>
      <c r="AM34" s="45"/>
      <c r="AN34" s="45">
        <v>6005426</v>
      </c>
      <c r="AO34" s="45"/>
      <c r="AP34" s="45">
        <v>0</v>
      </c>
      <c r="AQ34" s="45"/>
      <c r="AR34" s="45">
        <f>+'GVFund Rev'!U34+'GVFund Rev'!W34-'GVFund Exp'!AH34-'GVFund Exp'!AL34+AJ34+AN34+AP34-'GV Fund BS'!S34</f>
        <v>0</v>
      </c>
      <c r="AS34" s="48"/>
    </row>
    <row r="35" spans="1:45" s="44" customFormat="1" ht="12.75" customHeight="1">
      <c r="A35" s="35" t="s">
        <v>50</v>
      </c>
      <c r="C35" s="35" t="s">
        <v>27</v>
      </c>
      <c r="E35" s="45">
        <v>4826362</v>
      </c>
      <c r="F35" s="48"/>
      <c r="G35" s="45">
        <f>6789836+4798911</f>
        <v>11588747</v>
      </c>
      <c r="H35" s="48"/>
      <c r="I35" s="45">
        <v>1168046</v>
      </c>
      <c r="J35" s="48"/>
      <c r="K35" s="45">
        <v>433317</v>
      </c>
      <c r="L35" s="48"/>
      <c r="M35" s="45">
        <v>1560812</v>
      </c>
      <c r="N35" s="48"/>
      <c r="O35" s="45">
        <v>2176888</v>
      </c>
      <c r="P35" s="48"/>
      <c r="Q35" s="45">
        <v>2942100</v>
      </c>
      <c r="R35" s="48"/>
      <c r="S35" s="45">
        <v>5420568</v>
      </c>
      <c r="T35" s="48"/>
      <c r="U35" s="45">
        <v>0</v>
      </c>
      <c r="V35" s="48"/>
      <c r="W35" s="48"/>
      <c r="X35" s="35"/>
      <c r="Z35" s="35"/>
      <c r="AA35" s="35"/>
      <c r="AB35" s="45">
        <v>228733</v>
      </c>
      <c r="AC35" s="65"/>
      <c r="AD35" s="45">
        <v>53477</v>
      </c>
      <c r="AE35" s="65"/>
      <c r="AF35" s="45">
        <v>0</v>
      </c>
      <c r="AG35" s="65"/>
      <c r="AH35" s="48">
        <f t="shared" si="1"/>
        <v>30399050</v>
      </c>
      <c r="AI35" s="48"/>
      <c r="AJ35" s="48">
        <v>0</v>
      </c>
      <c r="AK35" s="48"/>
      <c r="AL35" s="45">
        <v>3423113</v>
      </c>
      <c r="AM35" s="45"/>
      <c r="AN35" s="45">
        <v>16730716</v>
      </c>
      <c r="AO35" s="45"/>
      <c r="AP35" s="45">
        <v>0</v>
      </c>
      <c r="AQ35" s="45"/>
      <c r="AR35" s="45">
        <f>+'GVFund Rev'!U35+'GVFund Rev'!W35-'GVFund Exp'!AH35-'GVFund Exp'!AL35+AJ35+AN35+AP35-'GV Fund BS'!S35</f>
        <v>0</v>
      </c>
      <c r="AS35" s="48"/>
    </row>
    <row r="36" spans="1:45" s="44" customFormat="1" ht="12.75" customHeight="1">
      <c r="A36" s="35" t="s">
        <v>51</v>
      </c>
      <c r="C36" s="35" t="s">
        <v>27</v>
      </c>
      <c r="E36" s="45">
        <v>2474237</v>
      </c>
      <c r="F36" s="48"/>
      <c r="G36" s="45">
        <v>7729531</v>
      </c>
      <c r="H36" s="48"/>
      <c r="I36" s="45">
        <v>801511</v>
      </c>
      <c r="J36" s="48"/>
      <c r="K36" s="45">
        <v>0</v>
      </c>
      <c r="L36" s="48"/>
      <c r="M36" s="45">
        <v>627981</v>
      </c>
      <c r="N36" s="48"/>
      <c r="O36" s="45">
        <v>1522613</v>
      </c>
      <c r="P36" s="48"/>
      <c r="Q36" s="45">
        <v>2038735</v>
      </c>
      <c r="R36" s="48"/>
      <c r="S36" s="45">
        <v>455840</v>
      </c>
      <c r="T36" s="48"/>
      <c r="U36" s="45">
        <v>0</v>
      </c>
      <c r="V36" s="48"/>
      <c r="W36" s="48"/>
      <c r="X36" s="35"/>
      <c r="Z36" s="35"/>
      <c r="AA36" s="35"/>
      <c r="AB36" s="45">
        <v>879056</v>
      </c>
      <c r="AC36" s="65"/>
      <c r="AD36" s="45">
        <v>422074</v>
      </c>
      <c r="AE36" s="65"/>
      <c r="AF36" s="45">
        <v>0</v>
      </c>
      <c r="AG36" s="65"/>
      <c r="AH36" s="48">
        <f t="shared" si="1"/>
        <v>16951578</v>
      </c>
      <c r="AI36" s="48"/>
      <c r="AJ36" s="48">
        <v>0</v>
      </c>
      <c r="AK36" s="48"/>
      <c r="AL36" s="45">
        <f>1815000+1225440</f>
        <v>3040440</v>
      </c>
      <c r="AM36" s="45"/>
      <c r="AN36" s="45">
        <v>8735611</v>
      </c>
      <c r="AO36" s="45"/>
      <c r="AP36" s="45">
        <v>0</v>
      </c>
      <c r="AQ36" s="45"/>
      <c r="AR36" s="45">
        <f>+'GVFund Rev'!U36+'GVFund Rev'!W36-'GVFund Exp'!AH36-'GVFund Exp'!AL36+AJ36+AN36+AP36-'GV Fund BS'!S36</f>
        <v>0</v>
      </c>
      <c r="AS36" s="48"/>
    </row>
    <row r="37" spans="1:45" s="44" customFormat="1" ht="12.75" customHeight="1">
      <c r="A37" s="35" t="s">
        <v>462</v>
      </c>
      <c r="C37" s="35" t="s">
        <v>66</v>
      </c>
      <c r="E37" s="45">
        <v>962157</v>
      </c>
      <c r="F37" s="48"/>
      <c r="G37" s="45">
        <v>1897508</v>
      </c>
      <c r="H37" s="48"/>
      <c r="I37" s="45">
        <v>0</v>
      </c>
      <c r="J37" s="48"/>
      <c r="K37" s="45">
        <v>0</v>
      </c>
      <c r="L37" s="48"/>
      <c r="M37" s="45">
        <v>623055</v>
      </c>
      <c r="N37" s="48"/>
      <c r="O37" s="45">
        <v>120718</v>
      </c>
      <c r="P37" s="48"/>
      <c r="Q37" s="45">
        <v>0</v>
      </c>
      <c r="R37" s="48"/>
      <c r="S37" s="45">
        <v>517305</v>
      </c>
      <c r="T37" s="48"/>
      <c r="U37" s="45">
        <v>0</v>
      </c>
      <c r="V37" s="48"/>
      <c r="W37" s="48"/>
      <c r="X37" s="35"/>
      <c r="Z37" s="35"/>
      <c r="AA37" s="35"/>
      <c r="AB37" s="45">
        <v>1224607</v>
      </c>
      <c r="AC37" s="65"/>
      <c r="AD37" s="45">
        <v>71132</v>
      </c>
      <c r="AE37" s="65"/>
      <c r="AF37" s="45">
        <v>11108</v>
      </c>
      <c r="AG37" s="65"/>
      <c r="AH37" s="48">
        <f t="shared" si="1"/>
        <v>5427590</v>
      </c>
      <c r="AI37" s="48"/>
      <c r="AJ37" s="48">
        <v>0</v>
      </c>
      <c r="AK37" s="48"/>
      <c r="AL37" s="45">
        <v>854801</v>
      </c>
      <c r="AM37" s="45"/>
      <c r="AN37" s="45">
        <v>2120643</v>
      </c>
      <c r="AO37" s="45"/>
      <c r="AP37" s="45">
        <v>0</v>
      </c>
      <c r="AQ37" s="45"/>
      <c r="AR37" s="45">
        <f>+'GVFund Rev'!U37+'GVFund Rev'!W37-'GVFund Exp'!AH37-'GVFund Exp'!AL37+AJ37+AN37+AP37-'GV Fund BS'!S37</f>
        <v>0</v>
      </c>
      <c r="AS37" s="48"/>
    </row>
    <row r="38" spans="1:45" s="44" customFormat="1" ht="12.75" customHeight="1">
      <c r="A38" s="35" t="s">
        <v>52</v>
      </c>
      <c r="C38" s="35" t="s">
        <v>53</v>
      </c>
      <c r="E38" s="45">
        <v>2967077</v>
      </c>
      <c r="F38" s="48"/>
      <c r="G38" s="45">
        <v>9438748</v>
      </c>
      <c r="H38" s="48"/>
      <c r="I38" s="45">
        <v>2023900</v>
      </c>
      <c r="J38" s="48"/>
      <c r="K38" s="45">
        <v>5906</v>
      </c>
      <c r="L38" s="48"/>
      <c r="M38" s="45">
        <v>2452466</v>
      </c>
      <c r="N38" s="48"/>
      <c r="O38" s="45">
        <v>1468151</v>
      </c>
      <c r="P38" s="48"/>
      <c r="Q38" s="45">
        <v>0</v>
      </c>
      <c r="R38" s="48"/>
      <c r="S38" s="45">
        <v>1261930</v>
      </c>
      <c r="T38" s="48"/>
      <c r="U38" s="45">
        <v>0</v>
      </c>
      <c r="V38" s="48"/>
      <c r="W38" s="48"/>
      <c r="X38" s="35"/>
      <c r="Z38" s="35"/>
      <c r="AA38" s="35"/>
      <c r="AB38" s="45">
        <v>934653</v>
      </c>
      <c r="AC38" s="65"/>
      <c r="AD38" s="45">
        <v>375208</v>
      </c>
      <c r="AE38" s="65"/>
      <c r="AF38" s="45">
        <v>0</v>
      </c>
      <c r="AG38" s="65"/>
      <c r="AH38" s="48">
        <f t="shared" si="1"/>
        <v>20928039</v>
      </c>
      <c r="AI38" s="48"/>
      <c r="AJ38" s="48">
        <v>0</v>
      </c>
      <c r="AK38" s="48"/>
      <c r="AL38" s="45">
        <v>22827</v>
      </c>
      <c r="AM38" s="45"/>
      <c r="AN38" s="45">
        <v>8353392</v>
      </c>
      <c r="AO38" s="45"/>
      <c r="AP38" s="45">
        <v>0</v>
      </c>
      <c r="AQ38" s="45"/>
      <c r="AR38" s="45">
        <f>+'GVFund Rev'!U38+'GVFund Rev'!W38-'GVFund Exp'!AH38-'GVFund Exp'!AL38+AJ38+AN38+AP38-'GV Fund BS'!S38</f>
        <v>0</v>
      </c>
      <c r="AS38" s="48"/>
    </row>
    <row r="39" spans="1:45" s="44" customFormat="1" ht="12.75" customHeight="1">
      <c r="A39" s="35" t="s">
        <v>54</v>
      </c>
      <c r="C39" s="35" t="s">
        <v>55</v>
      </c>
      <c r="E39" s="45">
        <v>2943363</v>
      </c>
      <c r="F39" s="48"/>
      <c r="G39" s="45">
        <v>2915098</v>
      </c>
      <c r="H39" s="48"/>
      <c r="I39" s="45">
        <v>305114</v>
      </c>
      <c r="J39" s="48"/>
      <c r="K39" s="45">
        <v>97259</v>
      </c>
      <c r="L39" s="48"/>
      <c r="M39" s="45">
        <v>877145</v>
      </c>
      <c r="N39" s="48"/>
      <c r="O39" s="45">
        <v>935310</v>
      </c>
      <c r="P39" s="48"/>
      <c r="Q39" s="45">
        <v>0</v>
      </c>
      <c r="R39" s="48"/>
      <c r="S39" s="45">
        <v>3025501</v>
      </c>
      <c r="T39" s="48"/>
      <c r="U39" s="45">
        <v>0</v>
      </c>
      <c r="V39" s="48"/>
      <c r="W39" s="48"/>
      <c r="X39" s="35"/>
      <c r="Z39" s="35"/>
      <c r="AA39" s="35"/>
      <c r="AB39" s="45">
        <v>2100000</v>
      </c>
      <c r="AC39" s="65"/>
      <c r="AD39" s="45">
        <v>32153</v>
      </c>
      <c r="AE39" s="65"/>
      <c r="AF39" s="45">
        <v>0</v>
      </c>
      <c r="AG39" s="65"/>
      <c r="AH39" s="48">
        <f t="shared" si="1"/>
        <v>13230943</v>
      </c>
      <c r="AI39" s="48"/>
      <c r="AJ39" s="48">
        <v>0</v>
      </c>
      <c r="AK39" s="48"/>
      <c r="AL39" s="45">
        <v>2366006</v>
      </c>
      <c r="AM39" s="45"/>
      <c r="AN39" s="45">
        <v>15775918</v>
      </c>
      <c r="AO39" s="45"/>
      <c r="AP39" s="45">
        <v>4492</v>
      </c>
      <c r="AQ39" s="45"/>
      <c r="AR39" s="45">
        <f>+'GVFund Rev'!U39+'GVFund Rev'!W39-'GVFund Exp'!AH39-'GVFund Exp'!AL39+AJ39+AN39+AP39-'GV Fund BS'!S39</f>
        <v>0</v>
      </c>
      <c r="AS39" s="48"/>
    </row>
    <row r="40" spans="1:45" s="44" customFormat="1" ht="12.75" customHeight="1">
      <c r="A40" s="35" t="s">
        <v>56</v>
      </c>
      <c r="C40" s="35" t="s">
        <v>57</v>
      </c>
      <c r="E40" s="45">
        <v>1428286</v>
      </c>
      <c r="F40" s="48"/>
      <c r="G40" s="45">
        <f>2209631+1441798+225413</f>
        <v>3876842</v>
      </c>
      <c r="H40" s="48"/>
      <c r="I40" s="45">
        <v>222094</v>
      </c>
      <c r="J40" s="48"/>
      <c r="K40" s="45">
        <v>363868</v>
      </c>
      <c r="L40" s="48"/>
      <c r="M40" s="45">
        <v>3811552</v>
      </c>
      <c r="N40" s="48"/>
      <c r="O40" s="45">
        <v>147771</v>
      </c>
      <c r="P40" s="48"/>
      <c r="Q40" s="45">
        <v>385451</v>
      </c>
      <c r="R40" s="48"/>
      <c r="S40" s="45">
        <v>0</v>
      </c>
      <c r="T40" s="48"/>
      <c r="U40" s="45">
        <v>0</v>
      </c>
      <c r="V40" s="48"/>
      <c r="W40" s="48"/>
      <c r="X40" s="35"/>
      <c r="Z40" s="35"/>
      <c r="AA40" s="35"/>
      <c r="AB40" s="45">
        <v>37822</v>
      </c>
      <c r="AC40" s="65"/>
      <c r="AD40" s="45">
        <v>23606</v>
      </c>
      <c r="AE40" s="65"/>
      <c r="AF40" s="45">
        <v>0</v>
      </c>
      <c r="AG40" s="65"/>
      <c r="AH40" s="48">
        <f t="shared" si="1"/>
        <v>10297292</v>
      </c>
      <c r="AI40" s="48"/>
      <c r="AJ40" s="48">
        <v>0</v>
      </c>
      <c r="AK40" s="48"/>
      <c r="AL40" s="45">
        <v>291916</v>
      </c>
      <c r="AM40" s="45"/>
      <c r="AN40" s="45">
        <v>4103486</v>
      </c>
      <c r="AO40" s="45"/>
      <c r="AP40" s="45">
        <v>0</v>
      </c>
      <c r="AQ40" s="45"/>
      <c r="AR40" s="45">
        <f>+'GVFund Rev'!U40+'GVFund Rev'!W40-'GVFund Exp'!AH40-'GVFund Exp'!AL40+AJ40+AN40+AP40-'GV Fund BS'!S40</f>
        <v>0</v>
      </c>
      <c r="AS40" s="48"/>
    </row>
    <row r="41" spans="1:45" s="44" customFormat="1" ht="12.75" customHeight="1">
      <c r="A41" s="35" t="s">
        <v>58</v>
      </c>
      <c r="C41" s="35" t="s">
        <v>59</v>
      </c>
      <c r="E41" s="45">
        <v>3049108</v>
      </c>
      <c r="F41" s="48"/>
      <c r="G41" s="45">
        <v>4407746</v>
      </c>
      <c r="H41" s="48"/>
      <c r="I41" s="45">
        <v>674804</v>
      </c>
      <c r="J41" s="48"/>
      <c r="K41" s="45">
        <v>242946</v>
      </c>
      <c r="L41" s="48"/>
      <c r="M41" s="45">
        <v>1242260</v>
      </c>
      <c r="N41" s="48"/>
      <c r="O41" s="45">
        <v>796104</v>
      </c>
      <c r="P41" s="48"/>
      <c r="Q41" s="45">
        <v>0</v>
      </c>
      <c r="R41" s="48"/>
      <c r="S41" s="45">
        <v>3812092</v>
      </c>
      <c r="T41" s="48"/>
      <c r="U41" s="45">
        <v>0</v>
      </c>
      <c r="V41" s="48"/>
      <c r="W41" s="48"/>
      <c r="X41" s="35"/>
      <c r="Z41" s="35"/>
      <c r="AA41" s="35"/>
      <c r="AB41" s="45">
        <v>187520</v>
      </c>
      <c r="AC41" s="65"/>
      <c r="AD41" s="45">
        <v>210193</v>
      </c>
      <c r="AE41" s="65"/>
      <c r="AF41" s="45">
        <v>0</v>
      </c>
      <c r="AG41" s="65"/>
      <c r="AH41" s="48">
        <f t="shared" si="1"/>
        <v>14622773</v>
      </c>
      <c r="AI41" s="48"/>
      <c r="AJ41" s="48">
        <v>0</v>
      </c>
      <c r="AK41" s="48"/>
      <c r="AL41" s="45">
        <v>943688</v>
      </c>
      <c r="AM41" s="45"/>
      <c r="AN41" s="45">
        <v>7658938</v>
      </c>
      <c r="AO41" s="45"/>
      <c r="AP41" s="45">
        <v>0</v>
      </c>
      <c r="AQ41" s="45"/>
      <c r="AR41" s="45">
        <f>+'GVFund Rev'!U41+'GVFund Rev'!W41-'GVFund Exp'!AH41-'GVFund Exp'!AL41+AJ41+AN41+AP41-'GV Fund BS'!S41</f>
        <v>0</v>
      </c>
      <c r="AS41" s="48"/>
    </row>
    <row r="42" spans="1:45" s="44" customFormat="1" ht="12.75" customHeight="1">
      <c r="A42" s="44" t="s">
        <v>476</v>
      </c>
      <c r="C42" s="35" t="s">
        <v>15</v>
      </c>
      <c r="E42" s="45">
        <v>665059</v>
      </c>
      <c r="F42" s="48"/>
      <c r="G42" s="45">
        <v>1298905</v>
      </c>
      <c r="H42" s="48"/>
      <c r="I42" s="45">
        <v>5293</v>
      </c>
      <c r="J42" s="48"/>
      <c r="K42" s="45">
        <v>0</v>
      </c>
      <c r="L42" s="48"/>
      <c r="M42" s="45">
        <v>706411</v>
      </c>
      <c r="N42" s="48"/>
      <c r="O42" s="45">
        <v>92181</v>
      </c>
      <c r="P42" s="48"/>
      <c r="Q42" s="45">
        <v>0</v>
      </c>
      <c r="R42" s="48"/>
      <c r="S42" s="45">
        <v>384551</v>
      </c>
      <c r="T42" s="48"/>
      <c r="U42" s="45">
        <v>0</v>
      </c>
      <c r="V42" s="48"/>
      <c r="W42" s="48"/>
      <c r="X42" s="35"/>
      <c r="Z42" s="35"/>
      <c r="AA42" s="35"/>
      <c r="AB42" s="45">
        <v>124812</v>
      </c>
      <c r="AC42" s="65"/>
      <c r="AD42" s="45">
        <v>37542</v>
      </c>
      <c r="AE42" s="65"/>
      <c r="AF42" s="45">
        <v>0</v>
      </c>
      <c r="AG42" s="65"/>
      <c r="AH42" s="48">
        <f t="shared" si="1"/>
        <v>3314754</v>
      </c>
      <c r="AI42" s="48"/>
      <c r="AJ42" s="48">
        <v>0</v>
      </c>
      <c r="AK42" s="48"/>
      <c r="AL42" s="45">
        <v>1551536</v>
      </c>
      <c r="AM42" s="45"/>
      <c r="AN42" s="45">
        <v>1110085</v>
      </c>
      <c r="AO42" s="45"/>
      <c r="AP42" s="45">
        <v>0</v>
      </c>
      <c r="AQ42" s="45"/>
      <c r="AR42" s="45">
        <f>+'GVFund Rev'!U42+'GVFund Rev'!W42-'GVFund Exp'!AH42-'GVFund Exp'!AL42+AJ42+AN42+AP42-'GV Fund BS'!S42</f>
        <v>0</v>
      </c>
      <c r="AS42" s="48"/>
    </row>
    <row r="43" spans="1:45" s="44" customFormat="1" ht="12.75" customHeight="1">
      <c r="A43" s="35" t="s">
        <v>60</v>
      </c>
      <c r="C43" s="35" t="s">
        <v>61</v>
      </c>
      <c r="E43" s="45">
        <v>821883</v>
      </c>
      <c r="F43" s="48"/>
      <c r="G43" s="45">
        <v>2278105</v>
      </c>
      <c r="H43" s="48"/>
      <c r="I43" s="45">
        <v>92522</v>
      </c>
      <c r="J43" s="48"/>
      <c r="K43" s="45">
        <v>54474</v>
      </c>
      <c r="L43" s="48"/>
      <c r="M43" s="45">
        <v>724771</v>
      </c>
      <c r="N43" s="48"/>
      <c r="O43" s="45">
        <v>84123</v>
      </c>
      <c r="P43" s="48"/>
      <c r="Q43" s="45">
        <v>759</v>
      </c>
      <c r="R43" s="48"/>
      <c r="S43" s="45">
        <v>453840</v>
      </c>
      <c r="T43" s="48"/>
      <c r="U43" s="45">
        <v>0</v>
      </c>
      <c r="V43" s="48"/>
      <c r="W43" s="48"/>
      <c r="X43" s="35"/>
      <c r="Z43" s="35"/>
      <c r="AA43" s="35"/>
      <c r="AB43" s="45">
        <v>24918</v>
      </c>
      <c r="AC43" s="65"/>
      <c r="AD43" s="45">
        <v>59416</v>
      </c>
      <c r="AE43" s="65"/>
      <c r="AF43" s="45">
        <v>0</v>
      </c>
      <c r="AG43" s="65"/>
      <c r="AH43" s="48">
        <f t="shared" si="1"/>
        <v>4594811</v>
      </c>
      <c r="AI43" s="48"/>
      <c r="AJ43" s="48">
        <v>0</v>
      </c>
      <c r="AK43" s="48"/>
      <c r="AL43" s="45">
        <v>125875</v>
      </c>
      <c r="AM43" s="45"/>
      <c r="AN43" s="45">
        <v>3889731</v>
      </c>
      <c r="AO43" s="45"/>
      <c r="AP43" s="45">
        <v>0</v>
      </c>
      <c r="AQ43" s="45"/>
      <c r="AR43" s="45">
        <f>+'GVFund Rev'!U43+'GVFund Rev'!W43-'GVFund Exp'!AH43-'GVFund Exp'!AL43+AJ43+AN43+AP43-'GV Fund BS'!S43</f>
        <v>0</v>
      </c>
      <c r="AS43" s="48"/>
    </row>
    <row r="44" spans="1:45" s="44" customFormat="1" ht="12.75" customHeight="1">
      <c r="A44" s="44" t="s">
        <v>62</v>
      </c>
      <c r="C44" s="35" t="s">
        <v>15</v>
      </c>
      <c r="E44" s="45">
        <v>16961740</v>
      </c>
      <c r="F44" s="48"/>
      <c r="G44" s="45">
        <v>35892847</v>
      </c>
      <c r="H44" s="48"/>
      <c r="I44" s="45">
        <v>9176385</v>
      </c>
      <c r="J44" s="48"/>
      <c r="K44" s="45">
        <v>6631976</v>
      </c>
      <c r="L44" s="48"/>
      <c r="M44" s="45">
        <v>3730733</v>
      </c>
      <c r="N44" s="48"/>
      <c r="O44" s="45">
        <v>2243340</v>
      </c>
      <c r="P44" s="48"/>
      <c r="Q44" s="45">
        <v>0</v>
      </c>
      <c r="R44" s="48"/>
      <c r="S44" s="45">
        <v>13286944</v>
      </c>
      <c r="T44" s="48"/>
      <c r="U44" s="45">
        <v>0</v>
      </c>
      <c r="V44" s="48"/>
      <c r="W44" s="48"/>
      <c r="X44" s="35"/>
      <c r="Z44" s="35"/>
      <c r="AA44" s="35"/>
      <c r="AB44" s="45">
        <v>3159790</v>
      </c>
      <c r="AC44" s="65"/>
      <c r="AD44" s="45">
        <v>815188</v>
      </c>
      <c r="AE44" s="65"/>
      <c r="AF44" s="45">
        <v>0</v>
      </c>
      <c r="AG44" s="65"/>
      <c r="AH44" s="48">
        <f t="shared" si="1"/>
        <v>91898943</v>
      </c>
      <c r="AI44" s="48"/>
      <c r="AJ44" s="48">
        <v>0</v>
      </c>
      <c r="AK44" s="48"/>
      <c r="AL44" s="45">
        <v>40000</v>
      </c>
      <c r="AM44" s="45"/>
      <c r="AN44" s="45">
        <v>29365101</v>
      </c>
      <c r="AO44" s="45"/>
      <c r="AP44" s="45">
        <v>0</v>
      </c>
      <c r="AQ44" s="45"/>
      <c r="AR44" s="45">
        <f>+'GVFund Rev'!U44+'GVFund Rev'!W44-'GVFund Exp'!AH44-'GVFund Exp'!AL44+AJ44+AN44+AP44-'GV Fund BS'!S44</f>
        <v>0</v>
      </c>
      <c r="AS44" s="48"/>
    </row>
    <row r="45" spans="1:45" s="44" customFormat="1" ht="12.75" customHeight="1">
      <c r="A45" s="35" t="s">
        <v>485</v>
      </c>
      <c r="C45" s="35" t="s">
        <v>111</v>
      </c>
      <c r="E45" s="45">
        <v>578078</v>
      </c>
      <c r="F45" s="48"/>
      <c r="G45" s="45">
        <v>738707</v>
      </c>
      <c r="H45" s="48"/>
      <c r="I45" s="45">
        <v>127001</v>
      </c>
      <c r="J45" s="48"/>
      <c r="K45" s="45">
        <v>0</v>
      </c>
      <c r="L45" s="48"/>
      <c r="M45" s="45">
        <v>768444</v>
      </c>
      <c r="N45" s="48"/>
      <c r="O45" s="45">
        <v>5626</v>
      </c>
      <c r="P45" s="48"/>
      <c r="Q45" s="45">
        <v>0</v>
      </c>
      <c r="R45" s="48"/>
      <c r="S45" s="45">
        <v>155326</v>
      </c>
      <c r="T45" s="48"/>
      <c r="U45" s="45">
        <v>0</v>
      </c>
      <c r="V45" s="48"/>
      <c r="W45" s="48"/>
      <c r="X45" s="35"/>
      <c r="Z45" s="35"/>
      <c r="AA45" s="35"/>
      <c r="AB45" s="45">
        <v>1620619</v>
      </c>
      <c r="AC45" s="65"/>
      <c r="AD45" s="45">
        <v>108251</v>
      </c>
      <c r="AE45" s="65"/>
      <c r="AF45" s="45">
        <v>0</v>
      </c>
      <c r="AG45" s="65"/>
      <c r="AH45" s="48">
        <f t="shared" si="1"/>
        <v>4102052</v>
      </c>
      <c r="AI45" s="48"/>
      <c r="AJ45" s="48">
        <v>0</v>
      </c>
      <c r="AK45" s="48"/>
      <c r="AL45" s="45">
        <v>174500</v>
      </c>
      <c r="AM45" s="45"/>
      <c r="AN45" s="45">
        <v>1078870</v>
      </c>
      <c r="AO45" s="45"/>
      <c r="AP45" s="45">
        <v>0</v>
      </c>
      <c r="AQ45" s="45"/>
      <c r="AR45" s="45">
        <f>+'GVFund Rev'!U45+'GVFund Rev'!W45-'GVFund Exp'!AH45-'GVFund Exp'!AL45+AJ45+AN45+AP45-'GV Fund BS'!S45</f>
        <v>0</v>
      </c>
      <c r="AS45" s="48"/>
    </row>
    <row r="46" spans="1:45" s="44" customFormat="1" ht="12.75" customHeight="1">
      <c r="A46" s="35" t="s">
        <v>63</v>
      </c>
      <c r="C46" s="35" t="s">
        <v>64</v>
      </c>
      <c r="E46" s="45">
        <v>1262808</v>
      </c>
      <c r="F46" s="48"/>
      <c r="G46" s="45">
        <v>3219686</v>
      </c>
      <c r="H46" s="48"/>
      <c r="I46" s="45">
        <v>321877</v>
      </c>
      <c r="J46" s="48"/>
      <c r="K46" s="45">
        <v>79768</v>
      </c>
      <c r="L46" s="48"/>
      <c r="M46" s="45">
        <v>2123225</v>
      </c>
      <c r="N46" s="48"/>
      <c r="O46" s="45">
        <v>911727</v>
      </c>
      <c r="P46" s="48"/>
      <c r="Q46" s="45">
        <v>689490</v>
      </c>
      <c r="R46" s="48"/>
      <c r="S46" s="45">
        <v>0</v>
      </c>
      <c r="T46" s="48"/>
      <c r="U46" s="45">
        <v>209011</v>
      </c>
      <c r="V46" s="48"/>
      <c r="W46" s="48"/>
      <c r="X46" s="35"/>
      <c r="Z46" s="35"/>
      <c r="AA46" s="35"/>
      <c r="AB46" s="45">
        <v>90632</v>
      </c>
      <c r="AC46" s="65"/>
      <c r="AD46" s="45">
        <v>433734</v>
      </c>
      <c r="AE46" s="65"/>
      <c r="AF46" s="45">
        <v>233183</v>
      </c>
      <c r="AG46" s="65"/>
      <c r="AH46" s="48">
        <f t="shared" si="1"/>
        <v>9575141</v>
      </c>
      <c r="AI46" s="48"/>
      <c r="AJ46" s="48">
        <v>0</v>
      </c>
      <c r="AK46" s="48"/>
      <c r="AL46" s="45">
        <f>1100000+945220</f>
        <v>2045220</v>
      </c>
      <c r="AM46" s="45"/>
      <c r="AN46" s="45">
        <v>-446014</v>
      </c>
      <c r="AO46" s="45"/>
      <c r="AP46" s="45">
        <v>0</v>
      </c>
      <c r="AQ46" s="45"/>
      <c r="AR46" s="45">
        <f>+'GVFund Rev'!U46+'GVFund Rev'!W46-'GVFund Exp'!AH46-'GVFund Exp'!AL46+AJ46+AN46+AP46-'GV Fund BS'!S46</f>
        <v>0</v>
      </c>
      <c r="AS46" s="48"/>
    </row>
    <row r="47" spans="1:45" s="44" customFormat="1" ht="12.75" customHeight="1">
      <c r="A47" s="35" t="s">
        <v>65</v>
      </c>
      <c r="C47" s="35" t="s">
        <v>66</v>
      </c>
      <c r="E47" s="45">
        <v>4357833</v>
      </c>
      <c r="F47" s="48"/>
      <c r="G47" s="45">
        <v>6060143</v>
      </c>
      <c r="H47" s="48"/>
      <c r="I47" s="45">
        <v>289572</v>
      </c>
      <c r="J47" s="48"/>
      <c r="K47" s="45">
        <v>0</v>
      </c>
      <c r="L47" s="48"/>
      <c r="M47" s="45">
        <v>2759094</v>
      </c>
      <c r="N47" s="48"/>
      <c r="O47" s="45">
        <v>251645</v>
      </c>
      <c r="P47" s="48"/>
      <c r="Q47" s="45">
        <v>0</v>
      </c>
      <c r="R47" s="48"/>
      <c r="S47" s="45">
        <v>4179368</v>
      </c>
      <c r="T47" s="48"/>
      <c r="U47" s="45">
        <v>0</v>
      </c>
      <c r="V47" s="48"/>
      <c r="W47" s="48"/>
      <c r="X47" s="35"/>
      <c r="Z47" s="35"/>
      <c r="AA47" s="35"/>
      <c r="AB47" s="45">
        <v>352196</v>
      </c>
      <c r="AC47" s="65"/>
      <c r="AD47" s="45">
        <v>396992</v>
      </c>
      <c r="AE47" s="65"/>
      <c r="AF47" s="45">
        <v>0</v>
      </c>
      <c r="AG47" s="65"/>
      <c r="AH47" s="48">
        <f t="shared" si="1"/>
        <v>18646843</v>
      </c>
      <c r="AI47" s="48"/>
      <c r="AJ47" s="48">
        <v>0</v>
      </c>
      <c r="AK47" s="48"/>
      <c r="AL47" s="45">
        <v>3849000</v>
      </c>
      <c r="AM47" s="45"/>
      <c r="AN47" s="45">
        <v>17045851</v>
      </c>
      <c r="AO47" s="45"/>
      <c r="AP47" s="45">
        <v>-78052</v>
      </c>
      <c r="AQ47" s="45"/>
      <c r="AR47" s="45">
        <f>+'GVFund Rev'!U47+'GVFund Rev'!W47-'GVFund Exp'!AH47-'GVFund Exp'!AL47+AJ47+AN47+AP47-'GV Fund BS'!S47</f>
        <v>0</v>
      </c>
      <c r="AS47" s="48"/>
    </row>
    <row r="48" spans="1:45" s="44" customFormat="1" ht="12.75" customHeight="1">
      <c r="A48" s="35" t="s">
        <v>67</v>
      </c>
      <c r="C48" s="35" t="s">
        <v>375</v>
      </c>
      <c r="E48" s="45">
        <v>3331927</v>
      </c>
      <c r="F48" s="48"/>
      <c r="G48" s="45">
        <v>2831042</v>
      </c>
      <c r="H48" s="48"/>
      <c r="I48" s="45">
        <v>304452</v>
      </c>
      <c r="J48" s="48"/>
      <c r="K48" s="45">
        <v>83761</v>
      </c>
      <c r="L48" s="48"/>
      <c r="M48" s="45">
        <v>1312445</v>
      </c>
      <c r="N48" s="48"/>
      <c r="O48" s="45">
        <v>228622</v>
      </c>
      <c r="P48" s="48"/>
      <c r="Q48" s="45">
        <v>0</v>
      </c>
      <c r="R48" s="48"/>
      <c r="S48" s="45">
        <v>952408</v>
      </c>
      <c r="T48" s="48"/>
      <c r="U48" s="45">
        <v>0</v>
      </c>
      <c r="V48" s="48"/>
      <c r="W48" s="48"/>
      <c r="X48" s="35"/>
      <c r="Z48" s="35"/>
      <c r="AA48" s="35"/>
      <c r="AB48" s="45">
        <v>231304</v>
      </c>
      <c r="AC48" s="65"/>
      <c r="AD48" s="45">
        <v>40118</v>
      </c>
      <c r="AE48" s="65"/>
      <c r="AF48" s="45">
        <v>0</v>
      </c>
      <c r="AG48" s="65"/>
      <c r="AH48" s="48">
        <f t="shared" si="1"/>
        <v>9316079</v>
      </c>
      <c r="AI48" s="48"/>
      <c r="AJ48" s="48">
        <v>0</v>
      </c>
      <c r="AK48" s="48"/>
      <c r="AL48" s="45">
        <v>1217121</v>
      </c>
      <c r="AM48" s="45"/>
      <c r="AN48" s="45">
        <v>5146951</v>
      </c>
      <c r="AO48" s="45"/>
      <c r="AP48" s="45">
        <v>0</v>
      </c>
      <c r="AQ48" s="45"/>
      <c r="AR48" s="45">
        <f>+'GVFund Rev'!U48+'GVFund Rev'!W48-'GVFund Exp'!AH48-'GVFund Exp'!AL48+AJ48+AN48+AP48-'GV Fund BS'!S48</f>
        <v>0</v>
      </c>
      <c r="AS48" s="48"/>
    </row>
    <row r="49" spans="1:45" s="44" customFormat="1" ht="12.75" customHeight="1">
      <c r="A49" s="35" t="s">
        <v>68</v>
      </c>
      <c r="C49" s="35" t="s">
        <v>45</v>
      </c>
      <c r="E49" s="45">
        <v>1473098</v>
      </c>
      <c r="F49" s="48"/>
      <c r="G49" s="45">
        <v>2015393</v>
      </c>
      <c r="H49" s="48"/>
      <c r="I49" s="45">
        <v>30236</v>
      </c>
      <c r="J49" s="48"/>
      <c r="K49" s="45">
        <v>22359</v>
      </c>
      <c r="L49" s="48"/>
      <c r="M49" s="45">
        <v>748760</v>
      </c>
      <c r="N49" s="48"/>
      <c r="O49" s="45">
        <v>108250</v>
      </c>
      <c r="P49" s="48"/>
      <c r="Q49" s="45">
        <v>359732</v>
      </c>
      <c r="R49" s="48"/>
      <c r="S49" s="45">
        <v>91694</v>
      </c>
      <c r="T49" s="48"/>
      <c r="U49" s="45">
        <v>0</v>
      </c>
      <c r="V49" s="48"/>
      <c r="W49" s="48"/>
      <c r="X49" s="35"/>
      <c r="Z49" s="35"/>
      <c r="AA49" s="35"/>
      <c r="AB49" s="45">
        <v>42414</v>
      </c>
      <c r="AC49" s="65"/>
      <c r="AD49" s="45">
        <v>3223</v>
      </c>
      <c r="AE49" s="65"/>
      <c r="AF49" s="45">
        <v>0</v>
      </c>
      <c r="AG49" s="65"/>
      <c r="AH49" s="48">
        <f t="shared" si="1"/>
        <v>4895159</v>
      </c>
      <c r="AI49" s="48"/>
      <c r="AJ49" s="48">
        <v>0</v>
      </c>
      <c r="AK49" s="48"/>
      <c r="AL49" s="45">
        <v>63055</v>
      </c>
      <c r="AM49" s="45"/>
      <c r="AN49" s="45">
        <v>1196718</v>
      </c>
      <c r="AO49" s="45"/>
      <c r="AP49" s="45">
        <v>5490</v>
      </c>
      <c r="AQ49" s="45"/>
      <c r="AR49" s="45">
        <f>+'GVFund Rev'!U49+'GVFund Rev'!W49-'GVFund Exp'!AH49-'GVFund Exp'!AL49+AJ49+AN49+AP49-'GV Fund BS'!S49</f>
        <v>0</v>
      </c>
      <c r="AS49" s="48"/>
    </row>
    <row r="50" spans="1:45" s="44" customFormat="1" ht="12.75" customHeight="1">
      <c r="A50" s="35" t="s">
        <v>69</v>
      </c>
      <c r="C50" s="35" t="s">
        <v>70</v>
      </c>
      <c r="E50" s="45">
        <v>5850739</v>
      </c>
      <c r="F50" s="48"/>
      <c r="G50" s="45">
        <f>5617250+5051759</f>
        <v>10669009</v>
      </c>
      <c r="H50" s="48"/>
      <c r="I50" s="45">
        <v>859783</v>
      </c>
      <c r="J50" s="48"/>
      <c r="K50" s="45">
        <v>0</v>
      </c>
      <c r="L50" s="48"/>
      <c r="M50" s="45">
        <v>6090170</v>
      </c>
      <c r="N50" s="48"/>
      <c r="O50" s="45">
        <v>783079</v>
      </c>
      <c r="P50" s="48"/>
      <c r="Q50" s="45">
        <v>843424</v>
      </c>
      <c r="R50" s="48"/>
      <c r="S50" s="45">
        <v>1277088</v>
      </c>
      <c r="T50" s="48"/>
      <c r="U50" s="45">
        <v>0</v>
      </c>
      <c r="V50" s="48"/>
      <c r="W50" s="48"/>
      <c r="X50" s="35"/>
      <c r="Z50" s="35"/>
      <c r="AA50" s="35"/>
      <c r="AB50" s="45">
        <v>1164204</v>
      </c>
      <c r="AC50" s="65"/>
      <c r="AD50" s="45">
        <v>134923</v>
      </c>
      <c r="AE50" s="65"/>
      <c r="AF50" s="45">
        <v>0</v>
      </c>
      <c r="AG50" s="65"/>
      <c r="AH50" s="48">
        <f t="shared" si="1"/>
        <v>27672419</v>
      </c>
      <c r="AI50" s="48"/>
      <c r="AJ50" s="48">
        <v>0</v>
      </c>
      <c r="AK50" s="48"/>
      <c r="AL50" s="45">
        <v>2901007</v>
      </c>
      <c r="AM50" s="45"/>
      <c r="AN50" s="45">
        <v>3800080</v>
      </c>
      <c r="AO50" s="45"/>
      <c r="AP50" s="45">
        <v>0</v>
      </c>
      <c r="AQ50" s="45"/>
      <c r="AR50" s="45">
        <f>+'GVFund Rev'!U50+'GVFund Rev'!W50-'GVFund Exp'!AH50-'GVFund Exp'!AL50+AJ50+AN50+AP50-'GV Fund BS'!S50</f>
        <v>0</v>
      </c>
      <c r="AS50" s="48"/>
    </row>
    <row r="51" spans="1:45" s="44" customFormat="1" ht="12.75" customHeight="1">
      <c r="A51" s="35" t="s">
        <v>71</v>
      </c>
      <c r="C51" s="35" t="s">
        <v>45</v>
      </c>
      <c r="E51" s="45">
        <v>62216000</v>
      </c>
      <c r="F51" s="48"/>
      <c r="G51" s="45">
        <v>177738000</v>
      </c>
      <c r="H51" s="48"/>
      <c r="I51" s="45">
        <v>10446000</v>
      </c>
      <c r="J51" s="48"/>
      <c r="K51" s="45">
        <v>33898000</v>
      </c>
      <c r="L51" s="48"/>
      <c r="M51" s="45">
        <v>7488000</v>
      </c>
      <c r="N51" s="48"/>
      <c r="O51" s="45">
        <v>28324000</v>
      </c>
      <c r="P51" s="48"/>
      <c r="Q51" s="45">
        <f>40398000+35514000+92418000</f>
        <v>168330000</v>
      </c>
      <c r="R51" s="48"/>
      <c r="S51" s="45">
        <v>171781000</v>
      </c>
      <c r="T51" s="48"/>
      <c r="U51" s="45">
        <v>0</v>
      </c>
      <c r="V51" s="48"/>
      <c r="W51" s="48"/>
      <c r="X51" s="35"/>
      <c r="Z51" s="35"/>
      <c r="AA51" s="35"/>
      <c r="AB51" s="45">
        <v>38367000</v>
      </c>
      <c r="AC51" s="65"/>
      <c r="AD51" s="45">
        <v>22878000</v>
      </c>
      <c r="AE51" s="65"/>
      <c r="AF51" s="45">
        <v>743000</v>
      </c>
      <c r="AG51" s="65"/>
      <c r="AH51" s="48">
        <f t="shared" si="1"/>
        <v>722209000</v>
      </c>
      <c r="AI51" s="48"/>
      <c r="AJ51" s="48">
        <v>0</v>
      </c>
      <c r="AK51" s="48"/>
      <c r="AL51" s="45">
        <f>10810000+81815000</f>
        <v>92625000</v>
      </c>
      <c r="AM51" s="45"/>
      <c r="AN51" s="45">
        <v>424853000</v>
      </c>
      <c r="AO51" s="45"/>
      <c r="AP51" s="45">
        <v>0</v>
      </c>
      <c r="AQ51" s="45"/>
      <c r="AR51" s="45">
        <f>+'GVFund Rev'!U51+'GVFund Rev'!W51-'GVFund Exp'!AH51-'GVFund Exp'!AL51+AJ51+AN51+AP51-'GV Fund BS'!S51</f>
        <v>0</v>
      </c>
      <c r="AS51" s="48"/>
    </row>
    <row r="52" spans="1:45" s="44" customFormat="1" ht="12.75" customHeight="1">
      <c r="A52" s="44" t="s">
        <v>463</v>
      </c>
      <c r="C52" s="44" t="s">
        <v>464</v>
      </c>
      <c r="E52" s="45">
        <v>2707061</v>
      </c>
      <c r="F52" s="48"/>
      <c r="G52" s="45">
        <f>2533900+1500473+196463</f>
        <v>4230836</v>
      </c>
      <c r="H52" s="48"/>
      <c r="I52" s="45">
        <f>9952+634119</f>
        <v>644071</v>
      </c>
      <c r="J52" s="48"/>
      <c r="K52" s="45">
        <v>183508</v>
      </c>
      <c r="L52" s="48"/>
      <c r="M52" s="45">
        <v>897004</v>
      </c>
      <c r="N52" s="48"/>
      <c r="O52" s="45">
        <f>73525+19545+25523</f>
        <v>118593</v>
      </c>
      <c r="P52" s="48"/>
      <c r="Q52" s="45">
        <v>0</v>
      </c>
      <c r="R52" s="48"/>
      <c r="S52" s="45">
        <v>1617772</v>
      </c>
      <c r="T52" s="48"/>
      <c r="U52" s="45">
        <v>0</v>
      </c>
      <c r="V52" s="48"/>
      <c r="W52" s="48"/>
      <c r="X52" s="35"/>
      <c r="Z52" s="35"/>
      <c r="AA52" s="35"/>
      <c r="AB52" s="45">
        <v>353033</v>
      </c>
      <c r="AC52" s="65"/>
      <c r="AD52" s="45">
        <v>222860</v>
      </c>
      <c r="AE52" s="65"/>
      <c r="AF52" s="45">
        <v>0</v>
      </c>
      <c r="AG52" s="65"/>
      <c r="AH52" s="48">
        <f t="shared" si="1"/>
        <v>10974738</v>
      </c>
      <c r="AI52" s="48"/>
      <c r="AJ52" s="48">
        <v>0</v>
      </c>
      <c r="AK52" s="48"/>
      <c r="AL52" s="45">
        <v>45932</v>
      </c>
      <c r="AM52" s="45"/>
      <c r="AN52" s="45">
        <v>4616981</v>
      </c>
      <c r="AO52" s="45"/>
      <c r="AP52" s="45">
        <v>0</v>
      </c>
      <c r="AQ52" s="45"/>
      <c r="AR52" s="45">
        <f>+'GVFund Rev'!U52+'GVFund Rev'!W52-'GVFund Exp'!AH52-'GVFund Exp'!AL52+AJ52+AN52+AP52-'GV Fund BS'!S52</f>
        <v>0</v>
      </c>
      <c r="AS52" s="48"/>
    </row>
    <row r="53" spans="1:45" s="44" customFormat="1" ht="12.75" customHeight="1">
      <c r="A53" s="35" t="s">
        <v>72</v>
      </c>
      <c r="C53" s="35" t="s">
        <v>66</v>
      </c>
      <c r="E53" s="45">
        <v>5532657</v>
      </c>
      <c r="F53" s="48"/>
      <c r="G53" s="45">
        <v>3139635</v>
      </c>
      <c r="H53" s="48"/>
      <c r="I53" s="45">
        <v>7935</v>
      </c>
      <c r="J53" s="48"/>
      <c r="K53" s="45">
        <v>4576</v>
      </c>
      <c r="L53" s="48"/>
      <c r="M53" s="45">
        <v>1020519</v>
      </c>
      <c r="N53" s="48"/>
      <c r="O53" s="45">
        <v>0</v>
      </c>
      <c r="P53" s="48"/>
      <c r="Q53" s="45">
        <v>0</v>
      </c>
      <c r="R53" s="48"/>
      <c r="S53" s="45">
        <v>0</v>
      </c>
      <c r="T53" s="48"/>
      <c r="U53" s="45">
        <v>0</v>
      </c>
      <c r="V53" s="48"/>
      <c r="W53" s="48"/>
      <c r="X53" s="35"/>
      <c r="Z53" s="35"/>
      <c r="AA53" s="35"/>
      <c r="AB53" s="45">
        <v>273999</v>
      </c>
      <c r="AC53" s="65"/>
      <c r="AD53" s="45">
        <v>216766</v>
      </c>
      <c r="AE53" s="65"/>
      <c r="AF53" s="45">
        <v>76506</v>
      </c>
      <c r="AG53" s="65"/>
      <c r="AH53" s="48">
        <f t="shared" si="1"/>
        <v>10272593</v>
      </c>
      <c r="AI53" s="48"/>
      <c r="AJ53" s="48">
        <v>0</v>
      </c>
      <c r="AK53" s="48"/>
      <c r="AL53" s="45">
        <v>697408</v>
      </c>
      <c r="AM53" s="45"/>
      <c r="AN53" s="45">
        <v>3006022</v>
      </c>
      <c r="AO53" s="45"/>
      <c r="AP53" s="45">
        <v>0</v>
      </c>
      <c r="AQ53" s="45"/>
      <c r="AR53" s="45">
        <f>+'GVFund Rev'!U53+'GVFund Rev'!W53-'GVFund Exp'!AH53-'GVFund Exp'!AL53+AJ53+AN53+AP53-'GV Fund BS'!S53</f>
        <v>0</v>
      </c>
      <c r="AS53" s="48"/>
    </row>
    <row r="54" spans="1:45" s="44" customFormat="1" ht="12.75" customHeight="1">
      <c r="A54" s="35" t="s">
        <v>342</v>
      </c>
      <c r="C54" s="35" t="s">
        <v>27</v>
      </c>
      <c r="E54" s="45">
        <v>80865000</v>
      </c>
      <c r="F54" s="48"/>
      <c r="G54" s="45">
        <v>308321000</v>
      </c>
      <c r="H54" s="48"/>
      <c r="I54" s="45">
        <f>70437000+24635000</f>
        <v>95072000</v>
      </c>
      <c r="J54" s="48"/>
      <c r="K54" s="45">
        <v>19229000</v>
      </c>
      <c r="L54" s="48"/>
      <c r="M54" s="45">
        <v>53567000</v>
      </c>
      <c r="N54" s="48"/>
      <c r="O54" s="45">
        <v>37822000</v>
      </c>
      <c r="P54" s="48"/>
      <c r="Q54" s="45">
        <f>17401000+11490000</f>
        <v>28891000</v>
      </c>
      <c r="R54" s="48"/>
      <c r="S54" s="45">
        <v>56227000</v>
      </c>
      <c r="T54" s="48"/>
      <c r="U54" s="45">
        <v>0</v>
      </c>
      <c r="V54" s="48"/>
      <c r="W54" s="48"/>
      <c r="X54" s="35"/>
      <c r="Z54" s="35"/>
      <c r="AA54" s="35"/>
      <c r="AB54" s="45">
        <v>48223000</v>
      </c>
      <c r="AC54" s="65"/>
      <c r="AD54" s="45">
        <v>28682000</v>
      </c>
      <c r="AE54" s="65"/>
      <c r="AF54" s="45">
        <f>18722000+795000</f>
        <v>19517000</v>
      </c>
      <c r="AG54" s="65"/>
      <c r="AH54" s="48">
        <f t="shared" si="1"/>
        <v>776416000</v>
      </c>
      <c r="AI54" s="48"/>
      <c r="AJ54" s="48">
        <v>0</v>
      </c>
      <c r="AK54" s="48"/>
      <c r="AL54" s="45">
        <f>3201000+88152000+237000+108390000</f>
        <v>199980000</v>
      </c>
      <c r="AM54" s="45"/>
      <c r="AN54" s="45">
        <v>364261000</v>
      </c>
      <c r="AO54" s="45"/>
      <c r="AP54" s="45">
        <v>0</v>
      </c>
      <c r="AQ54" s="45"/>
      <c r="AR54" s="45">
        <f>+'GVFund Rev'!U54+'GVFund Rev'!W54-'GVFund Exp'!AH54-'GVFund Exp'!AL54+AJ54+AN54+AP54-'GV Fund BS'!S54</f>
        <v>0</v>
      </c>
      <c r="AS54" s="48"/>
    </row>
    <row r="55" spans="1:45" s="44" customFormat="1" ht="12.75" customHeight="1">
      <c r="A55" s="35" t="s">
        <v>74</v>
      </c>
      <c r="C55" s="35" t="s">
        <v>27</v>
      </c>
      <c r="E55" s="45">
        <v>15330156</v>
      </c>
      <c r="F55" s="48"/>
      <c r="G55" s="45">
        <v>18400270</v>
      </c>
      <c r="H55" s="48"/>
      <c r="I55" s="45">
        <v>6302268</v>
      </c>
      <c r="J55" s="48"/>
      <c r="K55" s="45">
        <v>360312</v>
      </c>
      <c r="L55" s="48"/>
      <c r="M55" s="45">
        <v>3069299</v>
      </c>
      <c r="N55" s="48"/>
      <c r="O55" s="45">
        <v>2767008</v>
      </c>
      <c r="P55" s="48"/>
      <c r="Q55" s="45">
        <v>2134046</v>
      </c>
      <c r="R55" s="48"/>
      <c r="S55" s="45">
        <v>6274534</v>
      </c>
      <c r="T55" s="48"/>
      <c r="U55" s="45">
        <v>0</v>
      </c>
      <c r="V55" s="48"/>
      <c r="W55" s="48"/>
      <c r="X55" s="35"/>
      <c r="Z55" s="35"/>
      <c r="AA55" s="35"/>
      <c r="AB55" s="45">
        <v>1859529</v>
      </c>
      <c r="AC55" s="65"/>
      <c r="AD55" s="45">
        <v>627819</v>
      </c>
      <c r="AE55" s="65"/>
      <c r="AF55" s="45">
        <v>0</v>
      </c>
      <c r="AG55" s="65"/>
      <c r="AH55" s="48">
        <f t="shared" si="1"/>
        <v>57125241</v>
      </c>
      <c r="AI55" s="48"/>
      <c r="AJ55" s="48">
        <v>0</v>
      </c>
      <c r="AK55" s="48"/>
      <c r="AL55" s="45">
        <v>3836779</v>
      </c>
      <c r="AM55" s="45"/>
      <c r="AN55" s="45">
        <v>16427178</v>
      </c>
      <c r="AO55" s="45"/>
      <c r="AP55" s="45">
        <v>0</v>
      </c>
      <c r="AQ55" s="45"/>
      <c r="AR55" s="45">
        <f>+'GVFund Rev'!U55+'GVFund Rev'!W55-'GVFund Exp'!AH55-'GVFund Exp'!AL55+AJ55+AN55+AP55-'GV Fund BS'!S55</f>
        <v>0</v>
      </c>
      <c r="AS55" s="48"/>
    </row>
    <row r="56" spans="1:45" s="46" customFormat="1" ht="12.75" customHeight="1">
      <c r="A56" s="35" t="s">
        <v>75</v>
      </c>
      <c r="B56" s="44"/>
      <c r="C56" s="35" t="s">
        <v>76</v>
      </c>
      <c r="D56" s="44"/>
      <c r="E56" s="45">
        <v>1003248</v>
      </c>
      <c r="F56" s="48"/>
      <c r="G56" s="45">
        <v>1812494</v>
      </c>
      <c r="H56" s="48"/>
      <c r="I56" s="45">
        <v>351656</v>
      </c>
      <c r="J56" s="48"/>
      <c r="K56" s="45">
        <v>470866</v>
      </c>
      <c r="L56" s="48"/>
      <c r="M56" s="45">
        <v>301478</v>
      </c>
      <c r="N56" s="48"/>
      <c r="O56" s="45">
        <v>234799</v>
      </c>
      <c r="P56" s="48"/>
      <c r="Q56" s="45">
        <v>0</v>
      </c>
      <c r="R56" s="48"/>
      <c r="S56" s="45">
        <v>708345</v>
      </c>
      <c r="T56" s="48"/>
      <c r="U56" s="45">
        <v>0</v>
      </c>
      <c r="V56" s="48"/>
      <c r="W56" s="48"/>
      <c r="X56" s="35"/>
      <c r="Y56" s="44"/>
      <c r="Z56" s="35"/>
      <c r="AA56" s="35"/>
      <c r="AB56" s="45">
        <v>2277546</v>
      </c>
      <c r="AC56" s="65"/>
      <c r="AD56" s="45">
        <v>209608</v>
      </c>
      <c r="AE56" s="65"/>
      <c r="AF56" s="45">
        <v>0</v>
      </c>
      <c r="AG56" s="65"/>
      <c r="AH56" s="48">
        <f t="shared" si="1"/>
        <v>7370040</v>
      </c>
      <c r="AI56" s="48"/>
      <c r="AJ56" s="48">
        <v>0</v>
      </c>
      <c r="AK56" s="48"/>
      <c r="AL56" s="45">
        <v>667213</v>
      </c>
      <c r="AM56" s="45"/>
      <c r="AN56" s="45">
        <v>1577787</v>
      </c>
      <c r="AO56" s="45"/>
      <c r="AP56" s="45">
        <v>0</v>
      </c>
      <c r="AQ56" s="45"/>
      <c r="AR56" s="45">
        <f>+'GVFund Rev'!U56+'GVFund Rev'!W56-'GVFund Exp'!AH56-'GVFund Exp'!AL56+AJ56+AN56+AP56-'GV Fund BS'!S56</f>
        <v>0</v>
      </c>
      <c r="AS56" s="48"/>
    </row>
    <row r="57" spans="1:45" s="44" customFormat="1" ht="12.75" customHeight="1">
      <c r="A57" s="35" t="s">
        <v>77</v>
      </c>
      <c r="C57" s="35" t="s">
        <v>43</v>
      </c>
      <c r="E57" s="45">
        <v>120767000</v>
      </c>
      <c r="F57" s="48"/>
      <c r="G57" s="45">
        <v>484103000</v>
      </c>
      <c r="H57" s="48"/>
      <c r="I57" s="45">
        <v>68323000</v>
      </c>
      <c r="J57" s="48"/>
      <c r="K57" s="45">
        <v>40734000</v>
      </c>
      <c r="L57" s="48"/>
      <c r="M57" s="45">
        <v>93969000</v>
      </c>
      <c r="N57" s="48"/>
      <c r="O57" s="45">
        <v>115071000</v>
      </c>
      <c r="P57" s="48"/>
      <c r="Q57" s="45">
        <v>0</v>
      </c>
      <c r="R57" s="48"/>
      <c r="S57" s="45">
        <v>111972000</v>
      </c>
      <c r="T57" s="48"/>
      <c r="U57" s="45">
        <v>0</v>
      </c>
      <c r="V57" s="48"/>
      <c r="W57" s="48"/>
      <c r="X57" s="35"/>
      <c r="Z57" s="35"/>
      <c r="AA57" s="35"/>
      <c r="AB57" s="45">
        <v>90270000</v>
      </c>
      <c r="AC57" s="65"/>
      <c r="AD57" s="45">
        <v>40386000</v>
      </c>
      <c r="AE57" s="65"/>
      <c r="AF57" s="45">
        <v>0</v>
      </c>
      <c r="AG57" s="65"/>
      <c r="AH57" s="48">
        <f t="shared" si="1"/>
        <v>1165595000</v>
      </c>
      <c r="AI57" s="48"/>
      <c r="AJ57" s="48">
        <v>0</v>
      </c>
      <c r="AK57" s="48"/>
      <c r="AL57" s="45">
        <f>73289000+44427000</f>
        <v>117716000</v>
      </c>
      <c r="AM57" s="45"/>
      <c r="AN57" s="45">
        <v>338116000</v>
      </c>
      <c r="AO57" s="45"/>
      <c r="AP57" s="45">
        <v>0</v>
      </c>
      <c r="AQ57" s="45"/>
      <c r="AR57" s="45">
        <f>+'GVFund Rev'!U57+'GVFund Rev'!W57-'GVFund Exp'!AH57-'GVFund Exp'!AL57+AJ57+AN57+AP57-'GV Fund BS'!S57</f>
        <v>0</v>
      </c>
      <c r="AS57" s="48"/>
    </row>
    <row r="58" spans="1:45" s="44" customFormat="1" ht="12.75" customHeight="1">
      <c r="A58" s="35" t="s">
        <v>94</v>
      </c>
      <c r="C58" s="35" t="s">
        <v>94</v>
      </c>
      <c r="E58" s="45">
        <v>405551</v>
      </c>
      <c r="F58" s="48"/>
      <c r="G58" s="45">
        <v>1420673</v>
      </c>
      <c r="H58" s="48"/>
      <c r="I58" s="45">
        <v>0</v>
      </c>
      <c r="J58" s="48"/>
      <c r="K58" s="45">
        <v>146768</v>
      </c>
      <c r="L58" s="48"/>
      <c r="M58" s="45">
        <v>286775</v>
      </c>
      <c r="N58" s="48"/>
      <c r="O58" s="45">
        <v>311428</v>
      </c>
      <c r="P58" s="48"/>
      <c r="Q58" s="45">
        <v>0</v>
      </c>
      <c r="R58" s="48"/>
      <c r="S58" s="45">
        <v>1148139</v>
      </c>
      <c r="T58" s="48"/>
      <c r="U58" s="45">
        <v>0</v>
      </c>
      <c r="V58" s="48"/>
      <c r="W58" s="48"/>
      <c r="X58" s="35"/>
      <c r="Z58" s="35"/>
      <c r="AA58" s="35"/>
      <c r="AB58" s="45">
        <v>0</v>
      </c>
      <c r="AC58" s="65"/>
      <c r="AD58" s="45">
        <v>1375</v>
      </c>
      <c r="AE58" s="65"/>
      <c r="AF58" s="45">
        <v>0</v>
      </c>
      <c r="AG58" s="65"/>
      <c r="AH58" s="48">
        <f t="shared" si="1"/>
        <v>3720709</v>
      </c>
      <c r="AI58" s="48"/>
      <c r="AJ58" s="48">
        <v>0</v>
      </c>
      <c r="AK58" s="48"/>
      <c r="AL58" s="45">
        <v>1789552</v>
      </c>
      <c r="AM58" s="45"/>
      <c r="AN58" s="45">
        <v>1945644</v>
      </c>
      <c r="AO58" s="45"/>
      <c r="AP58" s="45">
        <v>1211</v>
      </c>
      <c r="AQ58" s="45"/>
      <c r="AR58" s="45">
        <f>+'GVFund Rev'!U58+'GVFund Rev'!W58-'GVFund Exp'!AH58-'GVFund Exp'!AL58+AJ58+AN58+AP58-'GV Fund BS'!S58</f>
        <v>0</v>
      </c>
      <c r="AS58" s="48"/>
    </row>
    <row r="59" spans="1:45" s="44" customFormat="1" ht="12.75" customHeight="1">
      <c r="A59" s="35" t="s">
        <v>78</v>
      </c>
      <c r="C59" s="35" t="s">
        <v>19</v>
      </c>
      <c r="E59" s="45">
        <v>1205449</v>
      </c>
      <c r="F59" s="48"/>
      <c r="G59" s="45">
        <v>3205587</v>
      </c>
      <c r="H59" s="48"/>
      <c r="I59" s="45">
        <v>302117</v>
      </c>
      <c r="J59" s="48"/>
      <c r="K59" s="45">
        <v>312852</v>
      </c>
      <c r="L59" s="48"/>
      <c r="M59" s="45">
        <v>1090117</v>
      </c>
      <c r="N59" s="48"/>
      <c r="O59" s="45">
        <v>113391</v>
      </c>
      <c r="P59" s="48"/>
      <c r="Q59" s="45">
        <v>109837</v>
      </c>
      <c r="R59" s="48"/>
      <c r="S59" s="45">
        <v>538330</v>
      </c>
      <c r="T59" s="48"/>
      <c r="U59" s="45">
        <v>0</v>
      </c>
      <c r="V59" s="48"/>
      <c r="W59" s="48"/>
      <c r="X59" s="35"/>
      <c r="Z59" s="35"/>
      <c r="AA59" s="35"/>
      <c r="AB59" s="45">
        <v>439156</v>
      </c>
      <c r="AC59" s="65"/>
      <c r="AD59" s="45">
        <v>127253</v>
      </c>
      <c r="AE59" s="65"/>
      <c r="AF59" s="45">
        <v>26000</v>
      </c>
      <c r="AG59" s="65"/>
      <c r="AH59" s="48">
        <f t="shared" si="1"/>
        <v>7470089</v>
      </c>
      <c r="AI59" s="48"/>
      <c r="AJ59" s="48">
        <v>0</v>
      </c>
      <c r="AK59" s="48"/>
      <c r="AL59" s="45">
        <f>125000+60750</f>
        <v>185750</v>
      </c>
      <c r="AM59" s="45"/>
      <c r="AN59" s="45">
        <v>2452326</v>
      </c>
      <c r="AO59" s="45"/>
      <c r="AP59" s="45">
        <v>0</v>
      </c>
      <c r="AQ59" s="45"/>
      <c r="AR59" s="45">
        <f>+'GVFund Rev'!U59+'GVFund Rev'!W59-'GVFund Exp'!AH59-'GVFund Exp'!AL59+AJ59+AN59+AP59-'GV Fund BS'!S59</f>
        <v>0</v>
      </c>
      <c r="AS59" s="48"/>
    </row>
    <row r="60" spans="1:45" s="44" customFormat="1" ht="12.75" customHeight="1">
      <c r="A60" s="35" t="s">
        <v>79</v>
      </c>
      <c r="C60" s="35" t="s">
        <v>80</v>
      </c>
      <c r="E60" s="45">
        <v>814649</v>
      </c>
      <c r="F60" s="48"/>
      <c r="G60" s="45">
        <v>2439336</v>
      </c>
      <c r="H60" s="48"/>
      <c r="I60" s="45">
        <v>52122</v>
      </c>
      <c r="J60" s="48"/>
      <c r="K60" s="45">
        <v>0</v>
      </c>
      <c r="L60" s="48"/>
      <c r="M60" s="45">
        <v>473056</v>
      </c>
      <c r="N60" s="48"/>
      <c r="O60" s="45">
        <v>30237</v>
      </c>
      <c r="P60" s="48"/>
      <c r="Q60" s="45">
        <v>29590</v>
      </c>
      <c r="R60" s="48"/>
      <c r="S60" s="45">
        <v>0</v>
      </c>
      <c r="T60" s="48"/>
      <c r="U60" s="45">
        <v>0</v>
      </c>
      <c r="V60" s="48"/>
      <c r="W60" s="48"/>
      <c r="X60" s="35"/>
      <c r="Z60" s="35"/>
      <c r="AA60" s="35"/>
      <c r="AB60" s="45">
        <v>0</v>
      </c>
      <c r="AC60" s="65"/>
      <c r="AD60" s="45">
        <v>0</v>
      </c>
      <c r="AE60" s="65"/>
      <c r="AF60" s="45">
        <v>0</v>
      </c>
      <c r="AG60" s="65"/>
      <c r="AH60" s="48">
        <f t="shared" si="1"/>
        <v>3838990</v>
      </c>
      <c r="AI60" s="48"/>
      <c r="AJ60" s="48">
        <v>0</v>
      </c>
      <c r="AK60" s="48"/>
      <c r="AL60" s="45">
        <v>136000</v>
      </c>
      <c r="AM60" s="45"/>
      <c r="AN60" s="45">
        <v>1851330</v>
      </c>
      <c r="AO60" s="45"/>
      <c r="AP60" s="45">
        <v>0</v>
      </c>
      <c r="AQ60" s="45"/>
      <c r="AR60" s="45">
        <f>+'GVFund Rev'!U60+'GVFund Rev'!W60-'GVFund Exp'!AH60-'GVFund Exp'!AL60+AJ60+AN60+AP60-'GV Fund BS'!S61</f>
        <v>0</v>
      </c>
      <c r="AS60" s="48"/>
    </row>
    <row r="61" spans="1:45" s="44" customFormat="1" ht="12.75" customHeight="1">
      <c r="A61" s="35" t="s">
        <v>81</v>
      </c>
      <c r="C61" s="35" t="s">
        <v>81</v>
      </c>
      <c r="E61" s="45">
        <v>1965058</v>
      </c>
      <c r="F61" s="48"/>
      <c r="G61" s="45">
        <v>3234390</v>
      </c>
      <c r="H61" s="48"/>
      <c r="I61" s="45">
        <v>15176</v>
      </c>
      <c r="J61" s="48"/>
      <c r="K61" s="45">
        <v>1181523</v>
      </c>
      <c r="L61" s="48"/>
      <c r="M61" s="45">
        <v>804440</v>
      </c>
      <c r="N61" s="48"/>
      <c r="O61" s="45">
        <v>171977</v>
      </c>
      <c r="P61" s="48"/>
      <c r="Q61" s="45">
        <v>1147454</v>
      </c>
      <c r="R61" s="48"/>
      <c r="S61" s="45">
        <v>145949</v>
      </c>
      <c r="T61" s="48"/>
      <c r="U61" s="45">
        <v>0</v>
      </c>
      <c r="V61" s="48"/>
      <c r="W61" s="48"/>
      <c r="X61" s="35"/>
      <c r="Z61" s="35"/>
      <c r="AA61" s="35"/>
      <c r="AB61" s="45">
        <v>335791</v>
      </c>
      <c r="AC61" s="65"/>
      <c r="AD61" s="45">
        <v>12378</v>
      </c>
      <c r="AE61" s="65"/>
      <c r="AF61" s="45">
        <v>0</v>
      </c>
      <c r="AG61" s="65"/>
      <c r="AH61" s="48">
        <f t="shared" si="1"/>
        <v>9014136</v>
      </c>
      <c r="AI61" s="48"/>
      <c r="AJ61" s="48">
        <v>0</v>
      </c>
      <c r="AK61" s="48"/>
      <c r="AL61" s="45">
        <v>0</v>
      </c>
      <c r="AM61" s="45"/>
      <c r="AN61" s="45">
        <v>1857357</v>
      </c>
      <c r="AO61" s="45"/>
      <c r="AP61" s="45">
        <v>0</v>
      </c>
      <c r="AQ61" s="45"/>
      <c r="AR61" s="45">
        <f>+'GVFund Rev'!U62+'GVFund Rev'!W62-'GVFund Exp'!AH61-'GVFund Exp'!AL61+AJ61+AN61+AP61-'GV Fund BS'!S62</f>
        <v>0</v>
      </c>
      <c r="AS61" s="48"/>
    </row>
    <row r="62" spans="1:45" s="121" customFormat="1" ht="12.75" hidden="1" customHeight="1">
      <c r="A62" s="122" t="s">
        <v>465</v>
      </c>
      <c r="B62" s="122"/>
      <c r="C62" s="122" t="s">
        <v>57</v>
      </c>
      <c r="E62" s="127">
        <v>0</v>
      </c>
      <c r="F62" s="130"/>
      <c r="G62" s="127">
        <v>0</v>
      </c>
      <c r="H62" s="130"/>
      <c r="I62" s="127">
        <v>0</v>
      </c>
      <c r="J62" s="130"/>
      <c r="K62" s="127">
        <v>0</v>
      </c>
      <c r="L62" s="130"/>
      <c r="M62" s="127">
        <v>0</v>
      </c>
      <c r="N62" s="130"/>
      <c r="O62" s="127">
        <v>0</v>
      </c>
      <c r="P62" s="130"/>
      <c r="Q62" s="127">
        <v>0</v>
      </c>
      <c r="R62" s="130"/>
      <c r="S62" s="127">
        <v>0</v>
      </c>
      <c r="T62" s="130"/>
      <c r="U62" s="127">
        <v>0</v>
      </c>
      <c r="V62" s="130"/>
      <c r="W62" s="130"/>
      <c r="X62" s="126"/>
      <c r="Z62" s="126"/>
      <c r="AA62" s="126"/>
      <c r="AB62" s="127">
        <v>0</v>
      </c>
      <c r="AC62" s="125"/>
      <c r="AD62" s="127">
        <v>0</v>
      </c>
      <c r="AE62" s="125"/>
      <c r="AF62" s="127">
        <v>0</v>
      </c>
      <c r="AG62" s="125"/>
      <c r="AH62" s="130">
        <f t="shared" si="1"/>
        <v>0</v>
      </c>
      <c r="AI62" s="130"/>
      <c r="AJ62" s="130">
        <v>0</v>
      </c>
      <c r="AK62" s="130"/>
      <c r="AL62" s="127">
        <v>0</v>
      </c>
      <c r="AM62" s="127"/>
      <c r="AN62" s="127">
        <v>0</v>
      </c>
      <c r="AO62" s="127"/>
      <c r="AP62" s="127">
        <v>0</v>
      </c>
      <c r="AQ62" s="127"/>
      <c r="AR62" s="127">
        <f>+'GVFund Rev'!U63+'GVFund Rev'!W63-'GVFund Exp'!AH62-'GVFund Exp'!AL62+AJ62+AN62+AP62-'GV Fund BS'!S63</f>
        <v>0</v>
      </c>
      <c r="AS62" s="130"/>
    </row>
    <row r="63" spans="1:45" s="46" customFormat="1" ht="12.75" customHeight="1">
      <c r="A63" s="35" t="s">
        <v>82</v>
      </c>
      <c r="B63" s="44"/>
      <c r="C63" s="35" t="s">
        <v>13</v>
      </c>
      <c r="D63" s="44"/>
      <c r="E63" s="45">
        <v>6797451</v>
      </c>
      <c r="F63" s="48"/>
      <c r="G63" s="45">
        <v>19798139</v>
      </c>
      <c r="H63" s="48"/>
      <c r="I63" s="45">
        <v>2422133</v>
      </c>
      <c r="J63" s="48"/>
      <c r="K63" s="45">
        <v>0</v>
      </c>
      <c r="L63" s="48"/>
      <c r="M63" s="45">
        <v>3629866</v>
      </c>
      <c r="N63" s="48"/>
      <c r="O63" s="45">
        <v>2100748</v>
      </c>
      <c r="P63" s="48"/>
      <c r="Q63" s="45">
        <v>0</v>
      </c>
      <c r="R63" s="48"/>
      <c r="S63" s="45">
        <v>7808944</v>
      </c>
      <c r="T63" s="48"/>
      <c r="U63" s="45">
        <v>0</v>
      </c>
      <c r="V63" s="48"/>
      <c r="W63" s="48"/>
      <c r="X63" s="35"/>
      <c r="Y63" s="44"/>
      <c r="Z63" s="35"/>
      <c r="AA63" s="35"/>
      <c r="AB63" s="45">
        <v>1289820</v>
      </c>
      <c r="AC63" s="65"/>
      <c r="AD63" s="45">
        <v>471807</v>
      </c>
      <c r="AE63" s="65"/>
      <c r="AF63" s="45">
        <v>0</v>
      </c>
      <c r="AG63" s="65"/>
      <c r="AH63" s="48">
        <f t="shared" si="1"/>
        <v>44318908</v>
      </c>
      <c r="AI63" s="48"/>
      <c r="AJ63" s="48">
        <v>0</v>
      </c>
      <c r="AK63" s="48"/>
      <c r="AL63" s="45">
        <v>25247635</v>
      </c>
      <c r="AM63" s="45"/>
      <c r="AN63" s="45">
        <v>15201198</v>
      </c>
      <c r="AO63" s="45"/>
      <c r="AP63" s="45">
        <f>-120885-2703</f>
        <v>-123588</v>
      </c>
      <c r="AQ63" s="45"/>
      <c r="AR63" s="45">
        <f>+'GVFund Rev'!U64+'GVFund Rev'!W64-'GVFund Exp'!AH63-'GVFund Exp'!AL63+AJ63+AN63+AP63-'GV Fund BS'!S64</f>
        <v>0</v>
      </c>
      <c r="AS63" s="48"/>
    </row>
    <row r="64" spans="1:45" s="46" customFormat="1" ht="12.75" customHeight="1">
      <c r="A64" s="35" t="s">
        <v>83</v>
      </c>
      <c r="B64" s="44"/>
      <c r="C64" s="35" t="s">
        <v>66</v>
      </c>
      <c r="D64" s="44"/>
      <c r="E64" s="45">
        <v>15536916</v>
      </c>
      <c r="F64" s="48"/>
      <c r="G64" s="45">
        <v>95698192</v>
      </c>
      <c r="H64" s="48"/>
      <c r="I64" s="45">
        <f>26873157+13900769</f>
        <v>40773926</v>
      </c>
      <c r="J64" s="48"/>
      <c r="K64" s="45">
        <v>2512611</v>
      </c>
      <c r="L64" s="48"/>
      <c r="M64" s="45">
        <v>4117582</v>
      </c>
      <c r="N64" s="48"/>
      <c r="O64" s="45">
        <v>0</v>
      </c>
      <c r="P64" s="48"/>
      <c r="Q64" s="45">
        <v>41347850</v>
      </c>
      <c r="R64" s="48"/>
      <c r="S64" s="45">
        <v>18226238</v>
      </c>
      <c r="T64" s="48"/>
      <c r="U64" s="45">
        <v>0</v>
      </c>
      <c r="V64" s="48"/>
      <c r="W64" s="48"/>
      <c r="X64" s="35"/>
      <c r="Y64" s="44"/>
      <c r="Z64" s="35"/>
      <c r="AA64" s="35"/>
      <c r="AB64" s="45">
        <v>8030000</v>
      </c>
      <c r="AC64" s="65"/>
      <c r="AD64" s="45">
        <v>3828281</v>
      </c>
      <c r="AE64" s="65"/>
      <c r="AF64" s="45">
        <v>137068</v>
      </c>
      <c r="AG64" s="65"/>
      <c r="AH64" s="48">
        <f t="shared" si="1"/>
        <v>230208664</v>
      </c>
      <c r="AI64" s="48"/>
      <c r="AJ64" s="48">
        <v>0</v>
      </c>
      <c r="AK64" s="48"/>
      <c r="AL64" s="45">
        <v>12488042</v>
      </c>
      <c r="AM64" s="45"/>
      <c r="AN64" s="45">
        <v>106535267</v>
      </c>
      <c r="AO64" s="45"/>
      <c r="AP64" s="45">
        <v>0</v>
      </c>
      <c r="AQ64" s="45"/>
      <c r="AR64" s="45">
        <f>+'GVFund Rev'!U65+'GVFund Rev'!W65-'GVFund Exp'!AH64-'GVFund Exp'!AL64+AJ64+AN64+AP64-'GV Fund BS'!S65</f>
        <v>0</v>
      </c>
      <c r="AS64" s="48"/>
    </row>
    <row r="65" spans="1:46" s="44" customFormat="1" ht="12.75" customHeight="1">
      <c r="A65" s="35" t="s">
        <v>84</v>
      </c>
      <c r="C65" s="35" t="s">
        <v>45</v>
      </c>
      <c r="E65" s="45">
        <v>1245073</v>
      </c>
      <c r="F65" s="48"/>
      <c r="G65" s="45">
        <v>1200750</v>
      </c>
      <c r="H65" s="48"/>
      <c r="I65" s="45">
        <v>6985</v>
      </c>
      <c r="J65" s="48"/>
      <c r="K65" s="45">
        <v>0</v>
      </c>
      <c r="L65" s="48"/>
      <c r="M65" s="45">
        <v>940584</v>
      </c>
      <c r="N65" s="48"/>
      <c r="O65" s="45">
        <v>45957</v>
      </c>
      <c r="P65" s="48"/>
      <c r="Q65" s="45">
        <v>0</v>
      </c>
      <c r="R65" s="48"/>
      <c r="S65" s="45">
        <v>145986</v>
      </c>
      <c r="T65" s="48"/>
      <c r="U65" s="45">
        <v>0</v>
      </c>
      <c r="V65" s="48"/>
      <c r="W65" s="48"/>
      <c r="X65" s="35"/>
      <c r="Z65" s="35"/>
      <c r="AA65" s="35"/>
      <c r="AB65" s="45">
        <v>124612</v>
      </c>
      <c r="AC65" s="65"/>
      <c r="AD65" s="45">
        <v>115339</v>
      </c>
      <c r="AE65" s="65"/>
      <c r="AF65" s="45">
        <v>0</v>
      </c>
      <c r="AG65" s="65"/>
      <c r="AH65" s="48">
        <f t="shared" si="1"/>
        <v>3825286</v>
      </c>
      <c r="AI65" s="48"/>
      <c r="AJ65" s="48">
        <v>0</v>
      </c>
      <c r="AK65" s="48"/>
      <c r="AL65" s="45">
        <v>213188</v>
      </c>
      <c r="AM65" s="45"/>
      <c r="AN65" s="45">
        <v>1847002</v>
      </c>
      <c r="AO65" s="45"/>
      <c r="AP65" s="45">
        <v>0</v>
      </c>
      <c r="AQ65" s="45"/>
      <c r="AR65" s="45">
        <f>+'GVFund Rev'!U66+'GVFund Rev'!W66-'GVFund Exp'!AH65-'GVFund Exp'!AL65+AJ65+AN65+AP65-'GV Fund BS'!S66</f>
        <v>0</v>
      </c>
      <c r="AS65" s="48"/>
    </row>
    <row r="66" spans="1:46" s="44" customFormat="1" ht="12.75" customHeight="1">
      <c r="A66" s="35" t="s">
        <v>85</v>
      </c>
      <c r="C66" s="35" t="s">
        <v>85</v>
      </c>
      <c r="E66" s="45">
        <v>3204581</v>
      </c>
      <c r="F66" s="48"/>
      <c r="G66" s="45">
        <v>5633172</v>
      </c>
      <c r="H66" s="48"/>
      <c r="I66" s="45">
        <f>530248+381070</f>
        <v>911318</v>
      </c>
      <c r="J66" s="48"/>
      <c r="K66" s="45">
        <v>209367</v>
      </c>
      <c r="L66" s="48"/>
      <c r="M66" s="45">
        <v>1286092</v>
      </c>
      <c r="N66" s="48"/>
      <c r="O66" s="45">
        <v>542834</v>
      </c>
      <c r="P66" s="48"/>
      <c r="Q66" s="45">
        <v>0</v>
      </c>
      <c r="R66" s="48"/>
      <c r="S66" s="45">
        <v>4904016</v>
      </c>
      <c r="T66" s="48"/>
      <c r="U66" s="45">
        <v>0</v>
      </c>
      <c r="V66" s="48"/>
      <c r="W66" s="48"/>
      <c r="X66" s="35"/>
      <c r="Z66" s="35"/>
      <c r="AA66" s="35"/>
      <c r="AB66" s="45">
        <v>104703</v>
      </c>
      <c r="AC66" s="65"/>
      <c r="AD66" s="45">
        <v>78407</v>
      </c>
      <c r="AE66" s="65"/>
      <c r="AF66" s="45">
        <v>0</v>
      </c>
      <c r="AG66" s="65"/>
      <c r="AH66" s="48">
        <f t="shared" si="1"/>
        <v>16874490</v>
      </c>
      <c r="AI66" s="48"/>
      <c r="AJ66" s="48">
        <v>0</v>
      </c>
      <c r="AK66" s="48"/>
      <c r="AL66" s="45">
        <v>678192</v>
      </c>
      <c r="AM66" s="45"/>
      <c r="AN66" s="45">
        <v>7194375</v>
      </c>
      <c r="AO66" s="45"/>
      <c r="AP66" s="45">
        <v>0</v>
      </c>
      <c r="AQ66" s="45"/>
      <c r="AR66" s="45">
        <f>+'GVFund Rev'!U67+'GVFund Rev'!W67-'GVFund Exp'!AH66-'GVFund Exp'!AL66+AJ66+AN66+AP66-'GV Fund BS'!S67</f>
        <v>0</v>
      </c>
      <c r="AS66" s="48"/>
    </row>
    <row r="67" spans="1:46" s="44" customFormat="1" ht="12.75" customHeight="1">
      <c r="A67" s="35" t="s">
        <v>86</v>
      </c>
      <c r="C67" s="35" t="s">
        <v>86</v>
      </c>
      <c r="E67" s="45">
        <v>4436391</v>
      </c>
      <c r="F67" s="48"/>
      <c r="G67" s="45">
        <f>6535526+5207654+2517600+669365</f>
        <v>14930145</v>
      </c>
      <c r="H67" s="48"/>
      <c r="I67" s="45">
        <v>273568</v>
      </c>
      <c r="J67" s="48"/>
      <c r="K67" s="45">
        <v>0</v>
      </c>
      <c r="L67" s="48"/>
      <c r="M67" s="45">
        <v>6389734</v>
      </c>
      <c r="N67" s="48"/>
      <c r="O67" s="45">
        <v>8749976</v>
      </c>
      <c r="P67" s="48"/>
      <c r="Q67" s="45">
        <v>716795</v>
      </c>
      <c r="R67" s="48"/>
      <c r="S67" s="45">
        <v>917033</v>
      </c>
      <c r="T67" s="48"/>
      <c r="U67" s="45">
        <v>0</v>
      </c>
      <c r="V67" s="48"/>
      <c r="W67" s="48"/>
      <c r="X67" s="35"/>
      <c r="Z67" s="35"/>
      <c r="AA67" s="35"/>
      <c r="AB67" s="45">
        <v>1063900</v>
      </c>
      <c r="AC67" s="65"/>
      <c r="AD67" s="45">
        <v>1282289</v>
      </c>
      <c r="AE67" s="65"/>
      <c r="AF67" s="45">
        <v>256640</v>
      </c>
      <c r="AG67" s="65"/>
      <c r="AH67" s="48">
        <f t="shared" si="1"/>
        <v>39016471</v>
      </c>
      <c r="AI67" s="48"/>
      <c r="AJ67" s="48">
        <v>0</v>
      </c>
      <c r="AK67" s="48"/>
      <c r="AL67" s="45">
        <v>6121095</v>
      </c>
      <c r="AM67" s="45"/>
      <c r="AN67" s="45">
        <v>-2534</v>
      </c>
      <c r="AO67" s="45"/>
      <c r="AP67" s="45">
        <v>0</v>
      </c>
      <c r="AQ67" s="45"/>
      <c r="AR67" s="45">
        <f>+'GVFund Rev'!U68+'GVFund Rev'!W68-'GVFund Exp'!AH67-'GVFund Exp'!AL67+AJ67+AN67+AP67-'GV Fund BS'!S68</f>
        <v>0</v>
      </c>
      <c r="AS67" s="48"/>
    </row>
    <row r="68" spans="1:46" s="44" customFormat="1" ht="12.75" customHeight="1">
      <c r="A68" s="64" t="s">
        <v>87</v>
      </c>
      <c r="B68" s="46"/>
      <c r="C68" s="64" t="s">
        <v>88</v>
      </c>
      <c r="D68" s="46"/>
      <c r="E68" s="45">
        <v>309109</v>
      </c>
      <c r="F68" s="48"/>
      <c r="G68" s="45">
        <v>2340456</v>
      </c>
      <c r="H68" s="48"/>
      <c r="I68" s="45">
        <v>150</v>
      </c>
      <c r="J68" s="48"/>
      <c r="K68" s="45">
        <v>51650</v>
      </c>
      <c r="L68" s="48"/>
      <c r="M68" s="45">
        <v>371329</v>
      </c>
      <c r="N68" s="48"/>
      <c r="O68" s="45">
        <v>410766</v>
      </c>
      <c r="P68" s="48"/>
      <c r="Q68" s="45">
        <v>0</v>
      </c>
      <c r="R68" s="48"/>
      <c r="S68" s="45">
        <v>79497</v>
      </c>
      <c r="T68" s="48"/>
      <c r="U68" s="45">
        <v>0</v>
      </c>
      <c r="V68" s="48"/>
      <c r="W68" s="48"/>
      <c r="X68" s="35"/>
      <c r="Z68" s="35"/>
      <c r="AA68" s="35"/>
      <c r="AB68" s="45">
        <v>29236</v>
      </c>
      <c r="AC68" s="65"/>
      <c r="AD68" s="45">
        <v>2380</v>
      </c>
      <c r="AE68" s="65"/>
      <c r="AF68" s="45">
        <v>0</v>
      </c>
      <c r="AG68" s="65"/>
      <c r="AH68" s="48">
        <f t="shared" si="1"/>
        <v>3594573</v>
      </c>
      <c r="AI68" s="48"/>
      <c r="AJ68" s="48">
        <v>0</v>
      </c>
      <c r="AK68" s="48"/>
      <c r="AL68" s="45">
        <v>815000</v>
      </c>
      <c r="AM68" s="45"/>
      <c r="AN68" s="45">
        <v>1257332</v>
      </c>
      <c r="AO68" s="45"/>
      <c r="AP68" s="45">
        <v>0</v>
      </c>
      <c r="AQ68" s="45"/>
      <c r="AR68" s="45">
        <f>+'GVFund Rev'!U69+'GVFund Rev'!W69-'GVFund Exp'!AH68-'GVFund Exp'!AL68+AJ68+AN68+AP68-'GV Fund BS'!S69</f>
        <v>0</v>
      </c>
      <c r="AS68" s="48"/>
    </row>
    <row r="69" spans="1:46" s="44" customFormat="1" ht="12.75" customHeight="1">
      <c r="A69" s="35" t="s">
        <v>394</v>
      </c>
      <c r="C69" s="35" t="s">
        <v>89</v>
      </c>
      <c r="E69" s="45">
        <v>1114329</v>
      </c>
      <c r="F69" s="48"/>
      <c r="G69" s="45">
        <v>4041571</v>
      </c>
      <c r="H69" s="48"/>
      <c r="I69" s="45">
        <v>103808</v>
      </c>
      <c r="J69" s="48"/>
      <c r="K69" s="45">
        <v>804618</v>
      </c>
      <c r="L69" s="48"/>
      <c r="M69" s="45">
        <v>1212992</v>
      </c>
      <c r="N69" s="48"/>
      <c r="O69" s="45">
        <v>823753</v>
      </c>
      <c r="P69" s="48"/>
      <c r="Q69" s="45">
        <v>610467</v>
      </c>
      <c r="R69" s="48"/>
      <c r="S69" s="45">
        <v>2368177</v>
      </c>
      <c r="T69" s="48"/>
      <c r="U69" s="45">
        <v>0</v>
      </c>
      <c r="V69" s="48"/>
      <c r="W69" s="48"/>
      <c r="X69" s="35"/>
      <c r="Z69" s="35"/>
      <c r="AA69" s="35"/>
      <c r="AB69" s="45">
        <v>106252</v>
      </c>
      <c r="AC69" s="65"/>
      <c r="AD69" s="45">
        <v>20181</v>
      </c>
      <c r="AE69" s="65"/>
      <c r="AF69" s="45">
        <v>0</v>
      </c>
      <c r="AG69" s="65"/>
      <c r="AH69" s="48">
        <f t="shared" si="1"/>
        <v>11206148</v>
      </c>
      <c r="AI69" s="48"/>
      <c r="AJ69" s="48">
        <v>0</v>
      </c>
      <c r="AK69" s="48"/>
      <c r="AL69" s="45">
        <v>2000000</v>
      </c>
      <c r="AM69" s="45"/>
      <c r="AN69" s="45">
        <v>3220543</v>
      </c>
      <c r="AO69" s="94"/>
      <c r="AP69" s="94">
        <v>0</v>
      </c>
      <c r="AQ69" s="94"/>
      <c r="AR69" s="94">
        <f>+'GVFund Rev'!U70+'GVFund Rev'!W70-'GVFund Exp'!AH69-'GVFund Exp'!AL69+AJ69+AN69+AP69-'GV Fund BS'!S70</f>
        <v>0</v>
      </c>
      <c r="AS69" s="68"/>
      <c r="AT69" s="46"/>
    </row>
    <row r="70" spans="1:46" s="46" customFormat="1" ht="12.75" customHeight="1">
      <c r="A70" s="35" t="s">
        <v>90</v>
      </c>
      <c r="B70" s="44"/>
      <c r="C70" s="35" t="s">
        <v>43</v>
      </c>
      <c r="D70" s="44"/>
      <c r="E70" s="48">
        <v>20641293</v>
      </c>
      <c r="F70" s="48"/>
      <c r="G70" s="48">
        <v>10514894</v>
      </c>
      <c r="H70" s="48"/>
      <c r="I70" s="48">
        <v>6004249</v>
      </c>
      <c r="J70" s="48"/>
      <c r="K70" s="48">
        <v>328067</v>
      </c>
      <c r="L70" s="48"/>
      <c r="M70" s="48">
        <v>3905000</v>
      </c>
      <c r="N70" s="48"/>
      <c r="O70" s="48">
        <v>16095614</v>
      </c>
      <c r="P70" s="48"/>
      <c r="Q70" s="48">
        <v>3217901</v>
      </c>
      <c r="R70" s="48"/>
      <c r="S70" s="48">
        <v>20895483</v>
      </c>
      <c r="T70" s="48"/>
      <c r="U70" s="48">
        <v>0</v>
      </c>
      <c r="V70" s="48"/>
      <c r="W70" s="48"/>
      <c r="X70" s="35"/>
      <c r="Y70" s="44"/>
      <c r="Z70" s="35"/>
      <c r="AA70" s="35"/>
      <c r="AB70" s="48">
        <v>5742956</v>
      </c>
      <c r="AC70" s="65"/>
      <c r="AD70" s="48">
        <v>1994457</v>
      </c>
      <c r="AE70" s="65"/>
      <c r="AF70" s="44">
        <v>0</v>
      </c>
      <c r="AG70" s="65"/>
      <c r="AH70" s="48">
        <f t="shared" ref="AH70" si="2">SUM(E70:AF70)</f>
        <v>89339914</v>
      </c>
      <c r="AI70" s="48"/>
      <c r="AJ70" s="48">
        <v>0</v>
      </c>
      <c r="AK70" s="48"/>
      <c r="AL70" s="45">
        <v>25115131</v>
      </c>
      <c r="AM70" s="45"/>
      <c r="AN70" s="45">
        <v>68067325</v>
      </c>
      <c r="AO70" s="45"/>
      <c r="AP70" s="45">
        <v>0</v>
      </c>
      <c r="AQ70" s="45"/>
      <c r="AR70" s="45">
        <f>+'GVFund Rev'!U71+'GVFund Rev'!W71-'GVFund Exp'!AH70-'GVFund Exp'!AL70+AJ70+AN70+AP70-'GV Fund BS'!S71</f>
        <v>0</v>
      </c>
      <c r="AS70" s="48"/>
    </row>
    <row r="71" spans="1:46" s="121" customFormat="1" ht="12.75" hidden="1" customHeight="1">
      <c r="A71" s="122" t="s">
        <v>488</v>
      </c>
      <c r="B71" s="122"/>
      <c r="C71" s="122" t="s">
        <v>27</v>
      </c>
      <c r="E71" s="127">
        <v>0</v>
      </c>
      <c r="F71" s="130"/>
      <c r="G71" s="127">
        <v>0</v>
      </c>
      <c r="H71" s="130"/>
      <c r="I71" s="127">
        <v>0</v>
      </c>
      <c r="J71" s="130"/>
      <c r="K71" s="127">
        <v>0</v>
      </c>
      <c r="L71" s="130"/>
      <c r="M71" s="127">
        <v>0</v>
      </c>
      <c r="N71" s="130"/>
      <c r="O71" s="127">
        <v>0</v>
      </c>
      <c r="P71" s="130"/>
      <c r="Q71" s="127">
        <v>0</v>
      </c>
      <c r="R71" s="130"/>
      <c r="S71" s="127">
        <v>0</v>
      </c>
      <c r="T71" s="130"/>
      <c r="U71" s="127">
        <v>0</v>
      </c>
      <c r="V71" s="130"/>
      <c r="W71" s="130"/>
      <c r="X71" s="126"/>
      <c r="Z71" s="126"/>
      <c r="AA71" s="126"/>
      <c r="AB71" s="127">
        <v>0</v>
      </c>
      <c r="AC71" s="125"/>
      <c r="AD71" s="127">
        <v>0</v>
      </c>
      <c r="AE71" s="125"/>
      <c r="AF71" s="127">
        <v>0</v>
      </c>
      <c r="AG71" s="125"/>
      <c r="AH71" s="130">
        <f t="shared" ref="AH71:AH132" si="3">SUM(E71:AF71)</f>
        <v>0</v>
      </c>
      <c r="AI71" s="130"/>
      <c r="AJ71" s="130">
        <v>0</v>
      </c>
      <c r="AK71" s="130"/>
      <c r="AL71" s="127">
        <v>0</v>
      </c>
      <c r="AM71" s="127"/>
      <c r="AN71" s="127">
        <v>0</v>
      </c>
      <c r="AO71" s="127"/>
      <c r="AP71" s="127">
        <v>0</v>
      </c>
      <c r="AQ71" s="127"/>
      <c r="AR71" s="127">
        <f>+'GVFund Rev'!U72+'GVFund Rev'!W72-'GVFund Exp'!AH71-'GVFund Exp'!AL71+AJ71+AN71+AP71-'GV Fund BS'!S72</f>
        <v>0</v>
      </c>
      <c r="AS71" s="130"/>
    </row>
    <row r="72" spans="1:46" s="44" customFormat="1" ht="12.75" customHeight="1">
      <c r="A72" s="64"/>
      <c r="B72" s="46"/>
      <c r="C72" s="64"/>
      <c r="D72" s="46"/>
      <c r="E72" s="45"/>
      <c r="F72" s="48"/>
      <c r="G72" s="45"/>
      <c r="H72" s="48"/>
      <c r="I72" s="45"/>
      <c r="J72" s="48"/>
      <c r="K72" s="45"/>
      <c r="L72" s="48"/>
      <c r="M72" s="45"/>
      <c r="N72" s="48"/>
      <c r="O72" s="45"/>
      <c r="P72" s="48"/>
      <c r="Q72" s="45"/>
      <c r="R72" s="48"/>
      <c r="S72" s="45"/>
      <c r="T72" s="48"/>
      <c r="U72" s="45"/>
      <c r="V72" s="48"/>
      <c r="W72" s="48"/>
      <c r="X72" s="35"/>
      <c r="Z72" s="35"/>
      <c r="AA72" s="35"/>
      <c r="AB72" s="45"/>
      <c r="AC72" s="65"/>
      <c r="AD72" s="45"/>
      <c r="AE72" s="65"/>
      <c r="AF72" s="45"/>
      <c r="AG72" s="65"/>
      <c r="AH72" s="48"/>
      <c r="AI72" s="48"/>
      <c r="AJ72" s="45"/>
      <c r="AK72" s="48"/>
      <c r="AL72" s="48" t="s">
        <v>484</v>
      </c>
      <c r="AM72" s="45"/>
      <c r="AN72" s="45"/>
      <c r="AO72" s="45"/>
      <c r="AP72" s="45"/>
      <c r="AQ72" s="45"/>
      <c r="AR72" s="45"/>
      <c r="AS72" s="48"/>
    </row>
    <row r="73" spans="1:46" s="46" customFormat="1" ht="12.75" customHeight="1">
      <c r="A73" s="46" t="s">
        <v>93</v>
      </c>
      <c r="C73" s="46" t="s">
        <v>94</v>
      </c>
      <c r="E73" s="94">
        <v>1388011</v>
      </c>
      <c r="F73" s="68"/>
      <c r="G73" s="94">
        <v>3039089</v>
      </c>
      <c r="H73" s="68"/>
      <c r="I73" s="94">
        <v>454503</v>
      </c>
      <c r="J73" s="68"/>
      <c r="K73" s="94">
        <v>217977</v>
      </c>
      <c r="L73" s="68"/>
      <c r="M73" s="94">
        <v>784991</v>
      </c>
      <c r="N73" s="68"/>
      <c r="O73" s="94">
        <v>126586</v>
      </c>
      <c r="P73" s="68"/>
      <c r="Q73" s="94">
        <v>0</v>
      </c>
      <c r="R73" s="68"/>
      <c r="S73" s="94">
        <v>174888</v>
      </c>
      <c r="T73" s="68"/>
      <c r="U73" s="94">
        <v>0</v>
      </c>
      <c r="V73" s="68"/>
      <c r="W73" s="68"/>
      <c r="X73" s="64"/>
      <c r="Z73" s="64"/>
      <c r="AA73" s="64"/>
      <c r="AB73" s="94">
        <v>338837</v>
      </c>
      <c r="AC73" s="66"/>
      <c r="AD73" s="94">
        <v>82671</v>
      </c>
      <c r="AE73" s="66"/>
      <c r="AF73" s="94">
        <v>0</v>
      </c>
      <c r="AG73" s="66"/>
      <c r="AH73" s="68">
        <f t="shared" si="3"/>
        <v>6607553</v>
      </c>
      <c r="AI73" s="68"/>
      <c r="AJ73" s="68">
        <v>0</v>
      </c>
      <c r="AK73" s="68"/>
      <c r="AL73" s="94">
        <v>2317694</v>
      </c>
      <c r="AM73" s="94"/>
      <c r="AN73" s="94">
        <v>1408664</v>
      </c>
      <c r="AO73" s="94"/>
      <c r="AP73" s="94">
        <v>0</v>
      </c>
      <c r="AQ73" s="94"/>
      <c r="AR73" s="94">
        <f>+'GVFund Rev'!U73+'GVFund Rev'!W73-'GVFund Exp'!AH73-'GVFund Exp'!AL73+AJ73+AN73+AP73-'GV Fund BS'!S73</f>
        <v>0</v>
      </c>
      <c r="AS73" s="68"/>
    </row>
    <row r="74" spans="1:46" s="46" customFormat="1" ht="12.75" customHeight="1">
      <c r="A74" s="64" t="s">
        <v>95</v>
      </c>
      <c r="C74" s="64" t="s">
        <v>94</v>
      </c>
      <c r="E74" s="45">
        <v>569845</v>
      </c>
      <c r="F74" s="48"/>
      <c r="G74" s="45">
        <v>997789</v>
      </c>
      <c r="H74" s="48"/>
      <c r="I74" s="45">
        <v>162713</v>
      </c>
      <c r="J74" s="48"/>
      <c r="K74" s="45">
        <v>70781</v>
      </c>
      <c r="L74" s="48"/>
      <c r="M74" s="45">
        <v>281395</v>
      </c>
      <c r="N74" s="48"/>
      <c r="O74" s="45">
        <v>213470</v>
      </c>
      <c r="P74" s="48"/>
      <c r="Q74" s="45">
        <v>0</v>
      </c>
      <c r="R74" s="48"/>
      <c r="S74" s="45">
        <v>217264</v>
      </c>
      <c r="T74" s="48"/>
      <c r="U74" s="45">
        <v>0</v>
      </c>
      <c r="V74" s="48"/>
      <c r="W74" s="48"/>
      <c r="X74" s="35"/>
      <c r="Y74" s="44"/>
      <c r="Z74" s="35"/>
      <c r="AA74" s="35"/>
      <c r="AB74" s="45">
        <v>105001</v>
      </c>
      <c r="AC74" s="65"/>
      <c r="AD74" s="45">
        <v>33369</v>
      </c>
      <c r="AE74" s="65"/>
      <c r="AF74" s="45">
        <v>0</v>
      </c>
      <c r="AG74" s="65"/>
      <c r="AH74" s="48">
        <f t="shared" si="3"/>
        <v>2651627</v>
      </c>
      <c r="AI74" s="48"/>
      <c r="AJ74" s="48">
        <v>0</v>
      </c>
      <c r="AK74" s="48"/>
      <c r="AL74" s="45">
        <v>94341</v>
      </c>
      <c r="AM74" s="45"/>
      <c r="AN74" s="45">
        <v>612093</v>
      </c>
      <c r="AO74" s="45"/>
      <c r="AP74" s="45">
        <v>178</v>
      </c>
      <c r="AQ74" s="45"/>
      <c r="AR74" s="45">
        <f>+'GVFund Rev'!U74+'GVFund Rev'!W74-'GVFund Exp'!AH74-'GVFund Exp'!AL74+AJ74+AN74+AP74-'GV Fund BS'!S74</f>
        <v>0</v>
      </c>
      <c r="AS74" s="68"/>
    </row>
    <row r="75" spans="1:46" s="123" customFormat="1" ht="12.75" hidden="1" customHeight="1">
      <c r="A75" s="126" t="s">
        <v>91</v>
      </c>
      <c r="B75" s="121"/>
      <c r="C75" s="126" t="s">
        <v>92</v>
      </c>
      <c r="D75" s="121"/>
      <c r="E75" s="127">
        <v>0</v>
      </c>
      <c r="F75" s="130"/>
      <c r="G75" s="127">
        <v>0</v>
      </c>
      <c r="H75" s="130"/>
      <c r="I75" s="127">
        <v>0</v>
      </c>
      <c r="J75" s="130"/>
      <c r="K75" s="127">
        <v>0</v>
      </c>
      <c r="L75" s="130"/>
      <c r="M75" s="127">
        <v>0</v>
      </c>
      <c r="N75" s="130"/>
      <c r="O75" s="127">
        <v>0</v>
      </c>
      <c r="P75" s="130"/>
      <c r="Q75" s="127">
        <v>0</v>
      </c>
      <c r="R75" s="130"/>
      <c r="S75" s="127">
        <v>0</v>
      </c>
      <c r="T75" s="130"/>
      <c r="U75" s="127">
        <v>0</v>
      </c>
      <c r="V75" s="130"/>
      <c r="W75" s="130"/>
      <c r="X75" s="126"/>
      <c r="Y75" s="121"/>
      <c r="Z75" s="126"/>
      <c r="AA75" s="126"/>
      <c r="AB75" s="127">
        <v>0</v>
      </c>
      <c r="AC75" s="125"/>
      <c r="AD75" s="127">
        <v>0</v>
      </c>
      <c r="AE75" s="125"/>
      <c r="AF75" s="127">
        <v>0</v>
      </c>
      <c r="AG75" s="125"/>
      <c r="AH75" s="130">
        <f t="shared" si="3"/>
        <v>0</v>
      </c>
      <c r="AI75" s="130"/>
      <c r="AJ75" s="130">
        <v>0</v>
      </c>
      <c r="AK75" s="130"/>
      <c r="AL75" s="127">
        <v>0</v>
      </c>
      <c r="AM75" s="127"/>
      <c r="AN75" s="127">
        <v>0</v>
      </c>
      <c r="AO75" s="127"/>
      <c r="AP75" s="127">
        <v>0</v>
      </c>
      <c r="AQ75" s="127"/>
      <c r="AR75" s="127">
        <f>+'GVFund Rev'!U75+'GVFund Rev'!W75-'GVFund Exp'!AH75-'GVFund Exp'!AL75+AJ75+AN75+AP75-'GV Fund BS'!S75</f>
        <v>0</v>
      </c>
      <c r="AS75" s="154"/>
    </row>
    <row r="76" spans="1:46" s="44" customFormat="1" ht="12.75" customHeight="1">
      <c r="A76" s="35" t="s">
        <v>96</v>
      </c>
      <c r="C76" s="35" t="s">
        <v>97</v>
      </c>
      <c r="E76" s="45">
        <v>2044647</v>
      </c>
      <c r="F76" s="48"/>
      <c r="G76" s="45">
        <v>2770211</v>
      </c>
      <c r="H76" s="48"/>
      <c r="I76" s="45">
        <v>204942</v>
      </c>
      <c r="J76" s="48"/>
      <c r="K76" s="45">
        <v>148582</v>
      </c>
      <c r="L76" s="48"/>
      <c r="M76" s="45">
        <v>1098164</v>
      </c>
      <c r="N76" s="48"/>
      <c r="O76" s="45">
        <v>150064</v>
      </c>
      <c r="P76" s="48"/>
      <c r="Q76" s="45">
        <v>0</v>
      </c>
      <c r="R76" s="48"/>
      <c r="S76" s="45">
        <v>1467624</v>
      </c>
      <c r="T76" s="48"/>
      <c r="U76" s="45">
        <v>0</v>
      </c>
      <c r="V76" s="48"/>
      <c r="W76" s="48"/>
      <c r="X76" s="35"/>
      <c r="Z76" s="35"/>
      <c r="AA76" s="35"/>
      <c r="AB76" s="45">
        <v>248821</v>
      </c>
      <c r="AC76" s="65"/>
      <c r="AD76" s="45">
        <v>51977</v>
      </c>
      <c r="AE76" s="65"/>
      <c r="AF76" s="45">
        <v>0</v>
      </c>
      <c r="AG76" s="65"/>
      <c r="AH76" s="48">
        <f t="shared" si="3"/>
        <v>8185032</v>
      </c>
      <c r="AI76" s="48"/>
      <c r="AJ76" s="48">
        <v>0</v>
      </c>
      <c r="AK76" s="48"/>
      <c r="AL76" s="45">
        <v>923803</v>
      </c>
      <c r="AM76" s="45"/>
      <c r="AN76" s="45">
        <v>6451285</v>
      </c>
      <c r="AO76" s="45"/>
      <c r="AP76" s="45">
        <v>0</v>
      </c>
      <c r="AQ76" s="45"/>
      <c r="AR76" s="45">
        <f>+'GVFund Rev'!U76+'GVFund Rev'!W76-'GVFund Exp'!AH76-'GVFund Exp'!AL76+AJ76+AN76+AP76-'GV Fund BS'!S76</f>
        <v>0</v>
      </c>
      <c r="AS76" s="48"/>
    </row>
    <row r="77" spans="1:46" s="44" customFormat="1" ht="12.75" customHeight="1">
      <c r="A77" s="35" t="s">
        <v>98</v>
      </c>
      <c r="C77" s="35" t="s">
        <v>17</v>
      </c>
      <c r="E77" s="45">
        <v>7046901</v>
      </c>
      <c r="F77" s="48"/>
      <c r="G77" s="45">
        <v>18374099</v>
      </c>
      <c r="H77" s="48"/>
      <c r="I77" s="45">
        <v>2879372</v>
      </c>
      <c r="J77" s="48"/>
      <c r="K77" s="45">
        <v>2244093</v>
      </c>
      <c r="L77" s="48"/>
      <c r="M77" s="45">
        <v>1987716</v>
      </c>
      <c r="N77" s="48"/>
      <c r="O77" s="45">
        <v>1280174</v>
      </c>
      <c r="P77" s="48"/>
      <c r="Q77" s="45">
        <v>0</v>
      </c>
      <c r="R77" s="48"/>
      <c r="S77" s="45">
        <v>4355292</v>
      </c>
      <c r="T77" s="48"/>
      <c r="U77" s="45">
        <v>0</v>
      </c>
      <c r="V77" s="48"/>
      <c r="W77" s="48"/>
      <c r="X77" s="35"/>
      <c r="Z77" s="35"/>
      <c r="AA77" s="35"/>
      <c r="AB77" s="45">
        <v>1589465</v>
      </c>
      <c r="AC77" s="65"/>
      <c r="AD77" s="45">
        <v>1432151</v>
      </c>
      <c r="AE77" s="65"/>
      <c r="AF77" s="45">
        <v>0</v>
      </c>
      <c r="AG77" s="65"/>
      <c r="AH77" s="48">
        <f t="shared" si="3"/>
        <v>41189263</v>
      </c>
      <c r="AI77" s="48"/>
      <c r="AJ77" s="48">
        <v>0</v>
      </c>
      <c r="AK77" s="48"/>
      <c r="AL77" s="45">
        <v>492901</v>
      </c>
      <c r="AM77" s="45"/>
      <c r="AN77" s="45">
        <v>7782468</v>
      </c>
      <c r="AO77" s="45"/>
      <c r="AP77" s="45">
        <v>0</v>
      </c>
      <c r="AQ77" s="45"/>
      <c r="AR77" s="45">
        <f>+'GVFund Rev'!U77+'GVFund Rev'!W77-'GVFund Exp'!AH77-'GVFund Exp'!AL77+AJ77+AN77+AP77-'GV Fund BS'!S77</f>
        <v>0</v>
      </c>
      <c r="AS77" s="48"/>
    </row>
    <row r="78" spans="1:46" s="44" customFormat="1" ht="12.75" customHeight="1">
      <c r="A78" s="35" t="s">
        <v>99</v>
      </c>
      <c r="C78" s="35" t="s">
        <v>66</v>
      </c>
      <c r="E78" s="45">
        <v>1288263</v>
      </c>
      <c r="F78" s="48"/>
      <c r="G78" s="45">
        <v>4751153</v>
      </c>
      <c r="H78" s="48"/>
      <c r="I78" s="45">
        <v>611003</v>
      </c>
      <c r="J78" s="48"/>
      <c r="K78" s="45">
        <v>5328</v>
      </c>
      <c r="L78" s="48"/>
      <c r="M78" s="45">
        <v>2024538</v>
      </c>
      <c r="N78" s="48"/>
      <c r="O78" s="45">
        <v>214477</v>
      </c>
      <c r="P78" s="48"/>
      <c r="Q78" s="45">
        <v>0</v>
      </c>
      <c r="R78" s="48"/>
      <c r="S78" s="45">
        <v>1716913</v>
      </c>
      <c r="T78" s="48"/>
      <c r="U78" s="45">
        <v>0</v>
      </c>
      <c r="V78" s="48"/>
      <c r="W78" s="48"/>
      <c r="X78" s="35"/>
      <c r="Z78" s="35"/>
      <c r="AA78" s="35"/>
      <c r="AB78" s="45">
        <v>0</v>
      </c>
      <c r="AC78" s="65"/>
      <c r="AD78" s="45">
        <v>0</v>
      </c>
      <c r="AE78" s="65"/>
      <c r="AF78" s="45">
        <v>0</v>
      </c>
      <c r="AG78" s="65"/>
      <c r="AH78" s="48">
        <f t="shared" si="3"/>
        <v>10611675</v>
      </c>
      <c r="AI78" s="48"/>
      <c r="AJ78" s="48">
        <v>0</v>
      </c>
      <c r="AK78" s="48"/>
      <c r="AL78" s="45">
        <v>5177971</v>
      </c>
      <c r="AM78" s="45"/>
      <c r="AN78" s="45">
        <v>11506406</v>
      </c>
      <c r="AO78" s="45"/>
      <c r="AP78" s="45">
        <v>-151298</v>
      </c>
      <c r="AQ78" s="45"/>
      <c r="AR78" s="45">
        <f>+'GVFund Rev'!U78+'GVFund Rev'!W78-'GVFund Exp'!AH78-'GVFund Exp'!AL78+AJ78+AN78+AP78-'GV Fund BS'!S78</f>
        <v>0</v>
      </c>
      <c r="AS78" s="48"/>
    </row>
    <row r="79" spans="1:46" s="44" customFormat="1" ht="12.75" customHeight="1">
      <c r="A79" s="35" t="s">
        <v>100</v>
      </c>
      <c r="C79" s="35" t="s">
        <v>27</v>
      </c>
      <c r="E79" s="45">
        <v>13904635</v>
      </c>
      <c r="F79" s="48"/>
      <c r="G79" s="45">
        <v>20337564</v>
      </c>
      <c r="H79" s="48"/>
      <c r="I79" s="45">
        <v>2859900</v>
      </c>
      <c r="J79" s="48"/>
      <c r="K79" s="45">
        <v>272263</v>
      </c>
      <c r="L79" s="48"/>
      <c r="M79" s="45">
        <v>2021349</v>
      </c>
      <c r="N79" s="48"/>
      <c r="O79" s="45">
        <v>1562583</v>
      </c>
      <c r="P79" s="48"/>
      <c r="Q79" s="45">
        <v>1916687</v>
      </c>
      <c r="R79" s="48"/>
      <c r="S79" s="45">
        <v>2532281</v>
      </c>
      <c r="T79" s="48"/>
      <c r="U79" s="45">
        <v>0</v>
      </c>
      <c r="V79" s="48"/>
      <c r="W79" s="48"/>
      <c r="X79" s="35"/>
      <c r="Z79" s="35"/>
      <c r="AA79" s="35"/>
      <c r="AB79" s="45">
        <v>5240760</v>
      </c>
      <c r="AC79" s="65"/>
      <c r="AD79" s="45">
        <v>1311229</v>
      </c>
      <c r="AE79" s="65"/>
      <c r="AF79" s="45">
        <v>0</v>
      </c>
      <c r="AG79" s="65"/>
      <c r="AH79" s="48">
        <f t="shared" si="3"/>
        <v>51959251</v>
      </c>
      <c r="AI79" s="48"/>
      <c r="AJ79" s="48">
        <v>0</v>
      </c>
      <c r="AK79" s="48"/>
      <c r="AL79" s="45">
        <v>553800</v>
      </c>
      <c r="AM79" s="45"/>
      <c r="AN79" s="45">
        <v>13176702</v>
      </c>
      <c r="AO79" s="45"/>
      <c r="AP79" s="45">
        <v>0</v>
      </c>
      <c r="AQ79" s="45"/>
      <c r="AR79" s="45">
        <f>+'GVFund Rev'!U79+'GVFund Rev'!W79-'GVFund Exp'!AH79-'GVFund Exp'!AL79+AJ79+AN79+AP79-'GV Fund BS'!S79</f>
        <v>0</v>
      </c>
      <c r="AS79" s="48"/>
    </row>
    <row r="80" spans="1:46" s="44" customFormat="1" ht="12.75" customHeight="1">
      <c r="A80" s="35" t="s">
        <v>101</v>
      </c>
      <c r="C80" s="35" t="s">
        <v>30</v>
      </c>
      <c r="E80" s="45">
        <v>7517523</v>
      </c>
      <c r="F80" s="48"/>
      <c r="G80" s="45">
        <v>12772786</v>
      </c>
      <c r="H80" s="48"/>
      <c r="I80" s="45">
        <v>1080457</v>
      </c>
      <c r="J80" s="48"/>
      <c r="K80" s="45">
        <v>90865</v>
      </c>
      <c r="L80" s="48"/>
      <c r="M80" s="45">
        <v>1460195</v>
      </c>
      <c r="N80" s="48"/>
      <c r="O80" s="45">
        <v>391574</v>
      </c>
      <c r="P80" s="48"/>
      <c r="Q80" s="45">
        <v>0</v>
      </c>
      <c r="R80" s="48"/>
      <c r="S80" s="45">
        <v>2505157</v>
      </c>
      <c r="T80" s="48"/>
      <c r="U80" s="45">
        <v>222316</v>
      </c>
      <c r="V80" s="48"/>
      <c r="W80" s="48"/>
      <c r="X80" s="35"/>
      <c r="Z80" s="35"/>
      <c r="AA80" s="35"/>
      <c r="AB80" s="45">
        <v>2040492</v>
      </c>
      <c r="AC80" s="65"/>
      <c r="AD80" s="45">
        <v>485687</v>
      </c>
      <c r="AE80" s="65"/>
      <c r="AF80" s="45">
        <v>852</v>
      </c>
      <c r="AG80" s="65"/>
      <c r="AH80" s="48">
        <f t="shared" si="3"/>
        <v>28567904</v>
      </c>
      <c r="AI80" s="48"/>
      <c r="AJ80" s="48">
        <v>0</v>
      </c>
      <c r="AK80" s="48"/>
      <c r="AL80" s="45">
        <v>10226724</v>
      </c>
      <c r="AM80" s="45"/>
      <c r="AN80" s="45">
        <v>9049859</v>
      </c>
      <c r="AO80" s="45"/>
      <c r="AP80" s="45">
        <v>0</v>
      </c>
      <c r="AQ80" s="45"/>
      <c r="AR80" s="45">
        <f>+'GVFund Rev'!U80+'GVFund Rev'!W80-'GVFund Exp'!AH80-'GVFund Exp'!AL80+AJ80+AN80+AP80-'GV Fund BS'!S80</f>
        <v>0</v>
      </c>
      <c r="AS80" s="48"/>
    </row>
    <row r="81" spans="1:45" s="44" customFormat="1" ht="12.75" customHeight="1">
      <c r="A81" s="35" t="s">
        <v>102</v>
      </c>
      <c r="C81" s="35" t="s">
        <v>103</v>
      </c>
      <c r="E81" s="45">
        <v>7591020</v>
      </c>
      <c r="F81" s="48"/>
      <c r="G81" s="45">
        <v>15724127</v>
      </c>
      <c r="H81" s="48"/>
      <c r="I81" s="45">
        <v>1451970</v>
      </c>
      <c r="J81" s="48"/>
      <c r="K81" s="45">
        <v>22441</v>
      </c>
      <c r="L81" s="48"/>
      <c r="M81" s="45">
        <v>6208262</v>
      </c>
      <c r="N81" s="48"/>
      <c r="O81" s="45">
        <v>2683583</v>
      </c>
      <c r="P81" s="48"/>
      <c r="Q81" s="45">
        <v>510171</v>
      </c>
      <c r="R81" s="48"/>
      <c r="S81" s="45">
        <v>6092909</v>
      </c>
      <c r="T81" s="48"/>
      <c r="U81" s="45">
        <v>0</v>
      </c>
      <c r="V81" s="48"/>
      <c r="W81" s="48"/>
      <c r="X81" s="35"/>
      <c r="Z81" s="35"/>
      <c r="AA81" s="35"/>
      <c r="AB81" s="45">
        <v>1233549</v>
      </c>
      <c r="AC81" s="65"/>
      <c r="AD81" s="45">
        <v>776107</v>
      </c>
      <c r="AE81" s="65"/>
      <c r="AF81" s="45">
        <v>152681</v>
      </c>
      <c r="AG81" s="65"/>
      <c r="AH81" s="48">
        <f t="shared" si="3"/>
        <v>42446820</v>
      </c>
      <c r="AI81" s="48"/>
      <c r="AJ81" s="48">
        <v>0</v>
      </c>
      <c r="AK81" s="48"/>
      <c r="AL81" s="45">
        <v>4644233</v>
      </c>
      <c r="AM81" s="45"/>
      <c r="AN81" s="45">
        <v>23721203</v>
      </c>
      <c r="AO81" s="45"/>
      <c r="AP81" s="45">
        <v>0</v>
      </c>
      <c r="AQ81" s="45"/>
      <c r="AR81" s="45">
        <f>+'GVFund Rev'!U81+'GVFund Rev'!W81-'GVFund Exp'!AH81-'GVFund Exp'!AL81+AJ81+AN81+AP81-'GV Fund BS'!S81</f>
        <v>0</v>
      </c>
      <c r="AS81" s="48"/>
    </row>
    <row r="82" spans="1:45" s="44" customFormat="1" ht="12.75" customHeight="1">
      <c r="A82" s="35" t="s">
        <v>104</v>
      </c>
      <c r="C82" s="35" t="s">
        <v>13</v>
      </c>
      <c r="E82" s="45">
        <v>1515874</v>
      </c>
      <c r="F82" s="48"/>
      <c r="G82" s="45">
        <v>6356216</v>
      </c>
      <c r="H82" s="48"/>
      <c r="I82" s="45">
        <v>41806</v>
      </c>
      <c r="J82" s="48"/>
      <c r="K82" s="45">
        <v>122137</v>
      </c>
      <c r="L82" s="48"/>
      <c r="M82" s="45">
        <v>2087836</v>
      </c>
      <c r="N82" s="48"/>
      <c r="O82" s="45">
        <v>278194</v>
      </c>
      <c r="P82" s="48"/>
      <c r="Q82" s="45">
        <v>281671</v>
      </c>
      <c r="R82" s="48"/>
      <c r="S82" s="45">
        <v>1035263</v>
      </c>
      <c r="T82" s="48"/>
      <c r="U82" s="45">
        <v>0</v>
      </c>
      <c r="V82" s="48"/>
      <c r="W82" s="48"/>
      <c r="X82" s="35"/>
      <c r="Z82" s="35"/>
      <c r="AA82" s="35"/>
      <c r="AB82" s="45">
        <v>868503</v>
      </c>
      <c r="AC82" s="65"/>
      <c r="AD82" s="45">
        <v>349929</v>
      </c>
      <c r="AE82" s="65"/>
      <c r="AF82" s="45">
        <v>0</v>
      </c>
      <c r="AG82" s="65"/>
      <c r="AH82" s="48">
        <f t="shared" si="3"/>
        <v>12937429</v>
      </c>
      <c r="AI82" s="48"/>
      <c r="AJ82" s="48">
        <v>0</v>
      </c>
      <c r="AK82" s="48"/>
      <c r="AL82" s="45">
        <v>384473</v>
      </c>
      <c r="AM82" s="45"/>
      <c r="AN82" s="45">
        <v>10899435</v>
      </c>
      <c r="AO82" s="45"/>
      <c r="AP82" s="45">
        <v>12730</v>
      </c>
      <c r="AQ82" s="45"/>
      <c r="AR82" s="45">
        <f>+'GVFund Rev'!U82+'GVFund Rev'!W82-'GVFund Exp'!AH82-'GVFund Exp'!AL82+AJ82+AN82+AP82-'GV Fund BS'!S82</f>
        <v>0</v>
      </c>
      <c r="AS82" s="48"/>
    </row>
    <row r="83" spans="1:45" s="44" customFormat="1" ht="12.75" customHeight="1">
      <c r="A83" s="35" t="s">
        <v>105</v>
      </c>
      <c r="C83" s="35" t="s">
        <v>27</v>
      </c>
      <c r="E83" s="45">
        <v>1928797</v>
      </c>
      <c r="F83" s="48"/>
      <c r="G83" s="45">
        <v>7238353</v>
      </c>
      <c r="H83" s="48"/>
      <c r="I83" s="45">
        <v>271935</v>
      </c>
      <c r="J83" s="48"/>
      <c r="K83" s="45">
        <v>1795</v>
      </c>
      <c r="L83" s="48"/>
      <c r="M83" s="45">
        <v>1062943</v>
      </c>
      <c r="N83" s="48"/>
      <c r="O83" s="45">
        <v>2827571</v>
      </c>
      <c r="P83" s="48"/>
      <c r="Q83" s="45">
        <v>1011700</v>
      </c>
      <c r="R83" s="48"/>
      <c r="S83" s="45">
        <v>855352</v>
      </c>
      <c r="T83" s="48"/>
      <c r="U83" s="45">
        <v>0</v>
      </c>
      <c r="V83" s="48"/>
      <c r="W83" s="48"/>
      <c r="X83" s="35"/>
      <c r="Z83" s="35"/>
      <c r="AA83" s="35"/>
      <c r="AB83" s="45">
        <v>790274</v>
      </c>
      <c r="AC83" s="65"/>
      <c r="AD83" s="45">
        <v>1118517</v>
      </c>
      <c r="AE83" s="65"/>
      <c r="AF83" s="45">
        <v>0</v>
      </c>
      <c r="AG83" s="65"/>
      <c r="AH83" s="48">
        <f t="shared" si="3"/>
        <v>17107237</v>
      </c>
      <c r="AI83" s="48"/>
      <c r="AJ83" s="48">
        <v>0</v>
      </c>
      <c r="AK83" s="48"/>
      <c r="AL83" s="45">
        <v>1148300</v>
      </c>
      <c r="AM83" s="45"/>
      <c r="AN83" s="45">
        <v>5936535</v>
      </c>
      <c r="AO83" s="45"/>
      <c r="AP83" s="45">
        <v>0</v>
      </c>
      <c r="AQ83" s="45"/>
      <c r="AR83" s="45">
        <f>+'GVFund Rev'!U83+'GVFund Rev'!W83-'GVFund Exp'!AH83-'GVFund Exp'!AL83+AJ83+AN83+AP83-'GV Fund BS'!S83</f>
        <v>0</v>
      </c>
      <c r="AS83" s="48"/>
    </row>
    <row r="84" spans="1:45" s="44" customFormat="1" ht="12.75" customHeight="1">
      <c r="A84" s="35" t="s">
        <v>106</v>
      </c>
      <c r="C84" s="35" t="s">
        <v>107</v>
      </c>
      <c r="E84" s="45">
        <v>6147014</v>
      </c>
      <c r="F84" s="48"/>
      <c r="G84" s="45">
        <v>14743482</v>
      </c>
      <c r="H84" s="48"/>
      <c r="I84" s="45">
        <v>0</v>
      </c>
      <c r="J84" s="48"/>
      <c r="K84" s="45">
        <v>1727315</v>
      </c>
      <c r="L84" s="48"/>
      <c r="M84" s="45">
        <v>2190517</v>
      </c>
      <c r="N84" s="48"/>
      <c r="O84" s="45">
        <v>1258449</v>
      </c>
      <c r="P84" s="48"/>
      <c r="Q84" s="45">
        <v>0</v>
      </c>
      <c r="R84" s="48"/>
      <c r="S84" s="45">
        <v>2587380</v>
      </c>
      <c r="T84" s="48"/>
      <c r="U84" s="45">
        <v>0</v>
      </c>
      <c r="V84" s="48"/>
      <c r="W84" s="48"/>
      <c r="X84" s="35"/>
      <c r="Z84" s="35"/>
      <c r="AA84" s="35"/>
      <c r="AB84" s="45">
        <v>662703</v>
      </c>
      <c r="AC84" s="65"/>
      <c r="AD84" s="45">
        <v>416260</v>
      </c>
      <c r="AE84" s="65"/>
      <c r="AF84" s="45">
        <v>0</v>
      </c>
      <c r="AG84" s="65"/>
      <c r="AH84" s="48">
        <f t="shared" si="3"/>
        <v>29733120</v>
      </c>
      <c r="AI84" s="48"/>
      <c r="AJ84" s="48">
        <v>0</v>
      </c>
      <c r="AK84" s="48"/>
      <c r="AL84" s="45">
        <v>20250316</v>
      </c>
      <c r="AM84" s="45"/>
      <c r="AN84" s="45">
        <v>11154853</v>
      </c>
      <c r="AO84" s="45"/>
      <c r="AP84" s="45">
        <f>3250-32087</f>
        <v>-28837</v>
      </c>
      <c r="AQ84" s="45"/>
      <c r="AR84" s="45">
        <f>+'GVFund Rev'!U84+'GVFund Rev'!W84-'GVFund Exp'!AH84-'GVFund Exp'!AL84+AJ84+AN84+AP84-'GV Fund BS'!S84</f>
        <v>0</v>
      </c>
      <c r="AS84" s="48"/>
    </row>
    <row r="85" spans="1:45" s="44" customFormat="1" ht="12.75" customHeight="1">
      <c r="A85" s="35" t="s">
        <v>108</v>
      </c>
      <c r="C85" s="35" t="s">
        <v>45</v>
      </c>
      <c r="E85" s="45">
        <v>2186779</v>
      </c>
      <c r="F85" s="48"/>
      <c r="G85" s="45">
        <v>9229364</v>
      </c>
      <c r="H85" s="48"/>
      <c r="I85" s="45">
        <v>1439391</v>
      </c>
      <c r="J85" s="48"/>
      <c r="K85" s="45">
        <v>21000</v>
      </c>
      <c r="L85" s="48"/>
      <c r="M85" s="45">
        <v>2444061</v>
      </c>
      <c r="N85" s="48"/>
      <c r="O85" s="45">
        <v>251522</v>
      </c>
      <c r="P85" s="48"/>
      <c r="Q85" s="45">
        <v>0</v>
      </c>
      <c r="R85" s="48"/>
      <c r="S85" s="45">
        <v>1978225</v>
      </c>
      <c r="T85" s="48"/>
      <c r="U85" s="45">
        <v>0</v>
      </c>
      <c r="V85" s="48"/>
      <c r="W85" s="48"/>
      <c r="X85" s="35"/>
      <c r="Z85" s="35"/>
      <c r="AA85" s="35"/>
      <c r="AB85" s="45">
        <v>397813</v>
      </c>
      <c r="AC85" s="65"/>
      <c r="AD85" s="45">
        <v>154664</v>
      </c>
      <c r="AE85" s="65"/>
      <c r="AF85" s="45">
        <v>0</v>
      </c>
      <c r="AG85" s="65"/>
      <c r="AH85" s="48">
        <f t="shared" si="3"/>
        <v>18102819</v>
      </c>
      <c r="AI85" s="48"/>
      <c r="AJ85" s="48">
        <v>0</v>
      </c>
      <c r="AK85" s="48"/>
      <c r="AL85" s="45">
        <v>1471505</v>
      </c>
      <c r="AM85" s="45"/>
      <c r="AN85" s="45">
        <v>8327991</v>
      </c>
      <c r="AO85" s="45"/>
      <c r="AP85" s="45">
        <v>0</v>
      </c>
      <c r="AQ85" s="45"/>
      <c r="AR85" s="45">
        <f>+'GVFund Rev'!U85+'GVFund Rev'!W85-'GVFund Exp'!AH85-'GVFund Exp'!AL85+AJ85+AN85+AP85-'GV Fund BS'!S85</f>
        <v>0</v>
      </c>
      <c r="AS85" s="48"/>
    </row>
    <row r="86" spans="1:45" s="44" customFormat="1" ht="12.75" customHeight="1">
      <c r="A86" s="35" t="s">
        <v>109</v>
      </c>
      <c r="C86" s="35" t="s">
        <v>110</v>
      </c>
      <c r="E86" s="45">
        <v>1657392</v>
      </c>
      <c r="F86" s="48"/>
      <c r="G86" s="45">
        <v>4697705</v>
      </c>
      <c r="H86" s="48"/>
      <c r="I86" s="45">
        <v>724634</v>
      </c>
      <c r="J86" s="48"/>
      <c r="K86" s="45">
        <v>218372</v>
      </c>
      <c r="L86" s="48"/>
      <c r="M86" s="45">
        <v>883286</v>
      </c>
      <c r="N86" s="48"/>
      <c r="O86" s="45">
        <v>112054</v>
      </c>
      <c r="P86" s="48"/>
      <c r="Q86" s="45">
        <v>12652</v>
      </c>
      <c r="R86" s="48"/>
      <c r="S86" s="45">
        <v>1103537</v>
      </c>
      <c r="T86" s="48"/>
      <c r="U86" s="45">
        <v>0</v>
      </c>
      <c r="V86" s="48"/>
      <c r="W86" s="48"/>
      <c r="X86" s="35"/>
      <c r="Z86" s="35"/>
      <c r="AA86" s="35"/>
      <c r="AB86" s="45">
        <v>123416</v>
      </c>
      <c r="AC86" s="65"/>
      <c r="AD86" s="45">
        <v>22851</v>
      </c>
      <c r="AE86" s="65"/>
      <c r="AF86" s="45">
        <v>0</v>
      </c>
      <c r="AG86" s="65"/>
      <c r="AH86" s="48">
        <f t="shared" si="3"/>
        <v>9555899</v>
      </c>
      <c r="AI86" s="48"/>
      <c r="AJ86" s="48">
        <v>0</v>
      </c>
      <c r="AK86" s="48"/>
      <c r="AL86" s="45">
        <v>920016</v>
      </c>
      <c r="AM86" s="45"/>
      <c r="AN86" s="45">
        <v>5217242</v>
      </c>
      <c r="AO86" s="45"/>
      <c r="AP86" s="45">
        <v>0</v>
      </c>
      <c r="AQ86" s="45"/>
      <c r="AR86" s="45">
        <f>+'GVFund Rev'!U86+'GVFund Rev'!W86-'GVFund Exp'!AH86-'GVFund Exp'!AL86+AJ86+AN86+AP86-'GV Fund BS'!S86</f>
        <v>0</v>
      </c>
      <c r="AS86" s="48"/>
    </row>
    <row r="87" spans="1:45" s="44" customFormat="1" ht="12.75" customHeight="1">
      <c r="A87" s="35" t="s">
        <v>43</v>
      </c>
      <c r="C87" s="35" t="s">
        <v>111</v>
      </c>
      <c r="E87" s="45">
        <v>2276450</v>
      </c>
      <c r="F87" s="48"/>
      <c r="G87" s="45">
        <v>4833128</v>
      </c>
      <c r="H87" s="48"/>
      <c r="I87" s="45">
        <v>44666</v>
      </c>
      <c r="J87" s="48"/>
      <c r="K87" s="45">
        <v>7199</v>
      </c>
      <c r="L87" s="48"/>
      <c r="M87" s="45">
        <v>1115056</v>
      </c>
      <c r="N87" s="48"/>
      <c r="O87" s="45">
        <v>273552</v>
      </c>
      <c r="P87" s="48"/>
      <c r="Q87" s="45">
        <v>0</v>
      </c>
      <c r="R87" s="48"/>
      <c r="S87" s="45">
        <v>326111</v>
      </c>
      <c r="T87" s="48"/>
      <c r="U87" s="45">
        <v>0</v>
      </c>
      <c r="V87" s="48"/>
      <c r="W87" s="48"/>
      <c r="X87" s="35"/>
      <c r="Z87" s="35"/>
      <c r="AA87" s="35"/>
      <c r="AB87" s="45">
        <v>619490</v>
      </c>
      <c r="AC87" s="65"/>
      <c r="AD87" s="45">
        <v>461803</v>
      </c>
      <c r="AE87" s="65"/>
      <c r="AF87" s="45">
        <v>100000</v>
      </c>
      <c r="AG87" s="65"/>
      <c r="AH87" s="48">
        <f t="shared" si="3"/>
        <v>10057455</v>
      </c>
      <c r="AI87" s="48"/>
      <c r="AJ87" s="48">
        <v>0</v>
      </c>
      <c r="AK87" s="48"/>
      <c r="AL87" s="45">
        <v>1444335</v>
      </c>
      <c r="AM87" s="45"/>
      <c r="AN87" s="45">
        <v>5632881</v>
      </c>
      <c r="AO87" s="45"/>
      <c r="AP87" s="45">
        <v>0</v>
      </c>
      <c r="AQ87" s="45"/>
      <c r="AR87" s="45">
        <f>+'GVFund Rev'!U87+'GVFund Rev'!W87-'GVFund Exp'!AH87-'GVFund Exp'!AL87+AJ87+AN87+AP87-'GV Fund BS'!S87</f>
        <v>0</v>
      </c>
      <c r="AS87" s="48"/>
    </row>
    <row r="88" spans="1:45" s="44" customFormat="1" ht="12.75" customHeight="1">
      <c r="A88" s="35" t="s">
        <v>112</v>
      </c>
      <c r="C88" s="35" t="s">
        <v>76</v>
      </c>
      <c r="E88" s="45">
        <v>2389389</v>
      </c>
      <c r="F88" s="48"/>
      <c r="G88" s="45">
        <v>5754552</v>
      </c>
      <c r="H88" s="48"/>
      <c r="I88" s="45">
        <f>420360+110586</f>
        <v>530946</v>
      </c>
      <c r="J88" s="48"/>
      <c r="K88" s="45">
        <v>16305</v>
      </c>
      <c r="L88" s="48"/>
      <c r="M88" s="45">
        <v>922551</v>
      </c>
      <c r="N88" s="48"/>
      <c r="O88" s="45">
        <v>1407702</v>
      </c>
      <c r="P88" s="48"/>
      <c r="Q88" s="45">
        <v>0</v>
      </c>
      <c r="R88" s="48"/>
      <c r="S88" s="45">
        <v>1111854</v>
      </c>
      <c r="T88" s="48"/>
      <c r="U88" s="45">
        <v>0</v>
      </c>
      <c r="V88" s="48"/>
      <c r="W88" s="48"/>
      <c r="X88" s="35"/>
      <c r="Z88" s="35"/>
      <c r="AA88" s="35"/>
      <c r="AB88" s="45">
        <v>291997</v>
      </c>
      <c r="AC88" s="65"/>
      <c r="AD88" s="45">
        <v>128702</v>
      </c>
      <c r="AE88" s="65"/>
      <c r="AF88" s="45">
        <v>0</v>
      </c>
      <c r="AG88" s="65"/>
      <c r="AH88" s="48">
        <f t="shared" si="3"/>
        <v>12553998</v>
      </c>
      <c r="AI88" s="48"/>
      <c r="AJ88" s="48">
        <v>0</v>
      </c>
      <c r="AK88" s="48"/>
      <c r="AL88" s="45">
        <v>8152000</v>
      </c>
      <c r="AM88" s="45"/>
      <c r="AN88" s="45">
        <v>12204481</v>
      </c>
      <c r="AO88" s="45"/>
      <c r="AP88" s="45">
        <v>0</v>
      </c>
      <c r="AQ88" s="45"/>
      <c r="AR88" s="45">
        <f>+'GVFund Rev'!U88+'GVFund Rev'!W88-'GVFund Exp'!AH88-'GVFund Exp'!AL88+AJ88+AN88+AP88-'GV Fund BS'!S88</f>
        <v>0</v>
      </c>
      <c r="AS88" s="48"/>
    </row>
    <row r="89" spans="1:45" s="44" customFormat="1" ht="12.75" customHeight="1">
      <c r="A89" s="35" t="s">
        <v>113</v>
      </c>
      <c r="C89" s="35" t="s">
        <v>43</v>
      </c>
      <c r="E89" s="45">
        <v>3935387</v>
      </c>
      <c r="F89" s="48"/>
      <c r="G89" s="45">
        <v>8528510</v>
      </c>
      <c r="H89" s="48"/>
      <c r="I89" s="45">
        <v>2943729</v>
      </c>
      <c r="J89" s="48"/>
      <c r="K89" s="45">
        <v>195382</v>
      </c>
      <c r="L89" s="48"/>
      <c r="M89" s="45">
        <v>2214302</v>
      </c>
      <c r="N89" s="48"/>
      <c r="O89" s="45">
        <v>2760515</v>
      </c>
      <c r="P89" s="48"/>
      <c r="Q89" s="45">
        <v>2253385</v>
      </c>
      <c r="R89" s="48"/>
      <c r="S89" s="45">
        <v>7369642</v>
      </c>
      <c r="T89" s="48"/>
      <c r="U89" s="45">
        <v>0</v>
      </c>
      <c r="V89" s="48"/>
      <c r="W89" s="48"/>
      <c r="X89" s="35"/>
      <c r="Z89" s="35"/>
      <c r="AA89" s="35"/>
      <c r="AB89" s="45">
        <v>773436</v>
      </c>
      <c r="AC89" s="65"/>
      <c r="AD89" s="45">
        <v>916677</v>
      </c>
      <c r="AE89" s="65"/>
      <c r="AF89" s="45">
        <v>0</v>
      </c>
      <c r="AG89" s="65"/>
      <c r="AH89" s="48">
        <f t="shared" si="3"/>
        <v>31890965</v>
      </c>
      <c r="AI89" s="48"/>
      <c r="AJ89" s="48">
        <v>0</v>
      </c>
      <c r="AK89" s="48"/>
      <c r="AL89" s="45">
        <v>2012348</v>
      </c>
      <c r="AM89" s="45"/>
      <c r="AN89" s="45">
        <v>31853765</v>
      </c>
      <c r="AO89" s="45"/>
      <c r="AP89" s="45">
        <v>0</v>
      </c>
      <c r="AQ89" s="45"/>
      <c r="AR89" s="45">
        <f>+'GVFund Rev'!U89+'GVFund Rev'!W89-'GVFund Exp'!AH89-'GVFund Exp'!AL89+AJ89+AN89+AP89-'GV Fund BS'!S89</f>
        <v>0</v>
      </c>
      <c r="AS89" s="48"/>
    </row>
    <row r="90" spans="1:45" s="44" customFormat="1" ht="12.75" customHeight="1">
      <c r="A90" s="35" t="s">
        <v>489</v>
      </c>
      <c r="C90" s="35" t="s">
        <v>57</v>
      </c>
      <c r="E90" s="45">
        <v>1520320</v>
      </c>
      <c r="F90" s="48"/>
      <c r="G90" s="45">
        <f>1808606+1702063</f>
        <v>3510669</v>
      </c>
      <c r="H90" s="48"/>
      <c r="I90" s="45">
        <v>16580</v>
      </c>
      <c r="J90" s="48"/>
      <c r="K90" s="45">
        <v>435893</v>
      </c>
      <c r="L90" s="48"/>
      <c r="M90" s="45">
        <v>1346525</v>
      </c>
      <c r="N90" s="48"/>
      <c r="O90" s="45">
        <v>237359</v>
      </c>
      <c r="P90" s="48"/>
      <c r="Q90" s="45">
        <v>0</v>
      </c>
      <c r="R90" s="48"/>
      <c r="S90" s="45">
        <v>0</v>
      </c>
      <c r="T90" s="48"/>
      <c r="U90" s="45">
        <v>0</v>
      </c>
      <c r="V90" s="48"/>
      <c r="W90" s="48"/>
      <c r="X90" s="35"/>
      <c r="Z90" s="35"/>
      <c r="AA90" s="35"/>
      <c r="AB90" s="45">
        <v>491355</v>
      </c>
      <c r="AC90" s="65"/>
      <c r="AD90" s="45">
        <v>151919</v>
      </c>
      <c r="AE90" s="65"/>
      <c r="AF90" s="45">
        <v>0</v>
      </c>
      <c r="AG90" s="65"/>
      <c r="AH90" s="48">
        <f t="shared" si="3"/>
        <v>7710620</v>
      </c>
      <c r="AI90" s="48"/>
      <c r="AJ90" s="48">
        <v>0</v>
      </c>
      <c r="AK90" s="48"/>
      <c r="AL90" s="45">
        <v>1315799</v>
      </c>
      <c r="AM90" s="45"/>
      <c r="AN90" s="45">
        <v>4389107</v>
      </c>
      <c r="AO90" s="45"/>
      <c r="AP90" s="45">
        <v>0</v>
      </c>
      <c r="AQ90" s="45"/>
      <c r="AR90" s="45">
        <f>+'GVFund Rev'!U90+'GVFund Rev'!W90-'GVFund Exp'!AH90-'GVFund Exp'!AL90+AJ90+AN90+AP90-'GV Fund BS'!S90</f>
        <v>0</v>
      </c>
      <c r="AS90" s="48"/>
    </row>
    <row r="91" spans="1:45" s="44" customFormat="1" ht="12.75" customHeight="1">
      <c r="A91" s="35" t="s">
        <v>114</v>
      </c>
      <c r="C91" s="35" t="s">
        <v>27</v>
      </c>
      <c r="E91" s="45">
        <v>9301345</v>
      </c>
      <c r="F91" s="48"/>
      <c r="G91" s="45">
        <v>12729154</v>
      </c>
      <c r="H91" s="48"/>
      <c r="I91" s="45">
        <v>118635</v>
      </c>
      <c r="J91" s="48"/>
      <c r="K91" s="45">
        <v>539975</v>
      </c>
      <c r="L91" s="48"/>
      <c r="M91" s="45">
        <v>4739301</v>
      </c>
      <c r="N91" s="48"/>
      <c r="O91" s="45">
        <v>1403861</v>
      </c>
      <c r="P91" s="48"/>
      <c r="Q91" s="45">
        <v>2288528</v>
      </c>
      <c r="R91" s="48"/>
      <c r="S91" s="45">
        <v>758048</v>
      </c>
      <c r="T91" s="48"/>
      <c r="U91" s="45">
        <v>0</v>
      </c>
      <c r="V91" s="48"/>
      <c r="W91" s="48"/>
      <c r="X91" s="35"/>
      <c r="Z91" s="35"/>
      <c r="AA91" s="35"/>
      <c r="AB91" s="45">
        <v>18363893</v>
      </c>
      <c r="AC91" s="65"/>
      <c r="AD91" s="45">
        <v>1190088</v>
      </c>
      <c r="AE91" s="65"/>
      <c r="AF91" s="45">
        <v>371968</v>
      </c>
      <c r="AG91" s="65"/>
      <c r="AH91" s="48">
        <f t="shared" si="3"/>
        <v>51804796</v>
      </c>
      <c r="AI91" s="48"/>
      <c r="AJ91" s="48">
        <v>0</v>
      </c>
      <c r="AK91" s="48"/>
      <c r="AL91" s="45">
        <f>3985000+3559927</f>
        <v>7544927</v>
      </c>
      <c r="AM91" s="45"/>
      <c r="AN91" s="45">
        <v>-5064069</v>
      </c>
      <c r="AO91" s="45"/>
      <c r="AP91" s="45">
        <v>0</v>
      </c>
      <c r="AQ91" s="45"/>
      <c r="AR91" s="45">
        <f>+'GVFund Rev'!U91+'GVFund Rev'!W91-'GVFund Exp'!AH91-'GVFund Exp'!AL91+AJ91+AN91+AP91-'GV Fund BS'!S91</f>
        <v>0</v>
      </c>
      <c r="AS91" s="48"/>
    </row>
    <row r="92" spans="1:45" s="44" customFormat="1" ht="12.75" customHeight="1">
      <c r="A92" s="35" t="s">
        <v>115</v>
      </c>
      <c r="C92" s="35" t="s">
        <v>19</v>
      </c>
      <c r="E92" s="45">
        <v>936410</v>
      </c>
      <c r="F92" s="48"/>
      <c r="G92" s="45">
        <v>2385461</v>
      </c>
      <c r="H92" s="48"/>
      <c r="I92" s="45">
        <v>640054</v>
      </c>
      <c r="J92" s="48"/>
      <c r="K92" s="45">
        <v>0</v>
      </c>
      <c r="L92" s="48"/>
      <c r="M92" s="45">
        <v>619772</v>
      </c>
      <c r="N92" s="48"/>
      <c r="O92" s="45">
        <v>171170</v>
      </c>
      <c r="P92" s="48"/>
      <c r="Q92" s="45">
        <v>0</v>
      </c>
      <c r="R92" s="48"/>
      <c r="S92" s="45">
        <v>992795</v>
      </c>
      <c r="T92" s="48"/>
      <c r="U92" s="45">
        <v>0</v>
      </c>
      <c r="V92" s="48"/>
      <c r="W92" s="48"/>
      <c r="X92" s="35"/>
      <c r="Z92" s="35"/>
      <c r="AA92" s="35"/>
      <c r="AB92" s="45">
        <v>410346</v>
      </c>
      <c r="AC92" s="65"/>
      <c r="AD92" s="45">
        <v>146919</v>
      </c>
      <c r="AE92" s="65"/>
      <c r="AF92" s="45">
        <v>0</v>
      </c>
      <c r="AG92" s="65"/>
      <c r="AH92" s="48">
        <f t="shared" si="3"/>
        <v>6302927</v>
      </c>
      <c r="AI92" s="48"/>
      <c r="AJ92" s="48">
        <v>0</v>
      </c>
      <c r="AK92" s="48"/>
      <c r="AL92" s="45">
        <v>937419</v>
      </c>
      <c r="AM92" s="45"/>
      <c r="AN92" s="45">
        <v>3100559</v>
      </c>
      <c r="AO92" s="45"/>
      <c r="AP92" s="45">
        <v>0</v>
      </c>
      <c r="AQ92" s="45"/>
      <c r="AR92" s="45">
        <f>+'GVFund Rev'!U92+'GVFund Rev'!W92-'GVFund Exp'!AH92-'GVFund Exp'!AL92+AJ92+AN92+AP92-'GV Fund BS'!S92</f>
        <v>0</v>
      </c>
      <c r="AS92" s="48"/>
    </row>
    <row r="93" spans="1:45" s="44" customFormat="1" ht="12.75" customHeight="1">
      <c r="A93" s="35" t="s">
        <v>116</v>
      </c>
      <c r="C93" s="35" t="s">
        <v>80</v>
      </c>
      <c r="E93" s="45">
        <v>2063375</v>
      </c>
      <c r="F93" s="48"/>
      <c r="G93" s="45">
        <v>3148563</v>
      </c>
      <c r="H93" s="48"/>
      <c r="I93" s="45">
        <v>821192</v>
      </c>
      <c r="J93" s="48"/>
      <c r="K93" s="45">
        <v>164556</v>
      </c>
      <c r="L93" s="48"/>
      <c r="M93" s="45">
        <v>953074</v>
      </c>
      <c r="N93" s="48"/>
      <c r="O93" s="45">
        <v>305501</v>
      </c>
      <c r="P93" s="48"/>
      <c r="Q93" s="45">
        <v>475391</v>
      </c>
      <c r="R93" s="48"/>
      <c r="S93" s="45">
        <v>356567</v>
      </c>
      <c r="T93" s="48"/>
      <c r="U93" s="45">
        <v>0</v>
      </c>
      <c r="V93" s="48"/>
      <c r="W93" s="48"/>
      <c r="X93" s="35"/>
      <c r="Z93" s="35"/>
      <c r="AA93" s="35"/>
      <c r="AB93" s="45">
        <v>14541</v>
      </c>
      <c r="AC93" s="65"/>
      <c r="AD93" s="45">
        <v>175655</v>
      </c>
      <c r="AE93" s="65"/>
      <c r="AF93" s="45">
        <v>0</v>
      </c>
      <c r="AG93" s="65"/>
      <c r="AH93" s="48">
        <f t="shared" si="3"/>
        <v>8478415</v>
      </c>
      <c r="AI93" s="48"/>
      <c r="AJ93" s="48">
        <v>0</v>
      </c>
      <c r="AK93" s="48"/>
      <c r="AL93" s="45">
        <v>58000</v>
      </c>
      <c r="AM93" s="45"/>
      <c r="AN93" s="45">
        <v>-3134176</v>
      </c>
      <c r="AO93" s="45"/>
      <c r="AP93" s="45">
        <v>0</v>
      </c>
      <c r="AQ93" s="45"/>
      <c r="AR93" s="45">
        <f>+'GVFund Rev'!U93+'GVFund Rev'!W93-'GVFund Exp'!AH93-'GVFund Exp'!AL93+AJ93+AN93+AP93-'GV Fund BS'!S93</f>
        <v>0</v>
      </c>
      <c r="AS93" s="48"/>
    </row>
    <row r="94" spans="1:45" s="44" customFormat="1" ht="12.75" customHeight="1">
      <c r="A94" s="44" t="s">
        <v>117</v>
      </c>
      <c r="C94" s="35" t="s">
        <v>43</v>
      </c>
      <c r="D94" s="44" t="s">
        <v>450</v>
      </c>
      <c r="E94" s="45">
        <v>2038156</v>
      </c>
      <c r="F94" s="48"/>
      <c r="G94" s="45">
        <v>4389401</v>
      </c>
      <c r="H94" s="48"/>
      <c r="I94" s="45">
        <v>1730058</v>
      </c>
      <c r="J94" s="48"/>
      <c r="K94" s="45">
        <v>40303</v>
      </c>
      <c r="L94" s="48"/>
      <c r="M94" s="45">
        <v>534611</v>
      </c>
      <c r="N94" s="48"/>
      <c r="O94" s="45">
        <v>771687</v>
      </c>
      <c r="P94" s="48"/>
      <c r="Q94" s="45">
        <v>690642</v>
      </c>
      <c r="R94" s="48"/>
      <c r="S94" s="45">
        <v>2674874</v>
      </c>
      <c r="T94" s="48"/>
      <c r="U94" s="45">
        <v>0</v>
      </c>
      <c r="V94" s="48"/>
      <c r="W94" s="48"/>
      <c r="X94" s="35"/>
      <c r="Z94" s="35"/>
      <c r="AA94" s="35"/>
      <c r="AB94" s="45">
        <v>112508</v>
      </c>
      <c r="AC94" s="65"/>
      <c r="AD94" s="45">
        <v>22106</v>
      </c>
      <c r="AE94" s="65"/>
      <c r="AF94" s="45">
        <v>0</v>
      </c>
      <c r="AG94" s="65"/>
      <c r="AH94" s="48">
        <f t="shared" si="3"/>
        <v>13004346</v>
      </c>
      <c r="AI94" s="48"/>
      <c r="AJ94" s="48">
        <v>0</v>
      </c>
      <c r="AK94" s="48"/>
      <c r="AL94" s="45">
        <v>498229</v>
      </c>
      <c r="AM94" s="45"/>
      <c r="AN94" s="45">
        <v>4794139</v>
      </c>
      <c r="AO94" s="45"/>
      <c r="AP94" s="45">
        <v>0</v>
      </c>
      <c r="AQ94" s="45"/>
      <c r="AR94" s="45">
        <f>+'GVFund Rev'!U94+'GVFund Rev'!W94-'GVFund Exp'!AH94-'GVFund Exp'!AL94+AJ94+AN94+AP94-'GV Fund BS'!S94</f>
        <v>0</v>
      </c>
      <c r="AS94" s="48"/>
    </row>
    <row r="95" spans="1:45" s="44" customFormat="1" ht="12.75" customHeight="1">
      <c r="A95" s="64" t="s">
        <v>118</v>
      </c>
      <c r="B95" s="46"/>
      <c r="C95" s="64" t="s">
        <v>13</v>
      </c>
      <c r="D95" s="46"/>
      <c r="E95" s="45">
        <v>7403645</v>
      </c>
      <c r="F95" s="48"/>
      <c r="G95" s="45">
        <v>8280522</v>
      </c>
      <c r="H95" s="48"/>
      <c r="I95" s="45">
        <v>814832</v>
      </c>
      <c r="J95" s="48"/>
      <c r="K95" s="45">
        <v>248971</v>
      </c>
      <c r="L95" s="48"/>
      <c r="M95" s="45">
        <v>4618918</v>
      </c>
      <c r="N95" s="48"/>
      <c r="O95" s="45">
        <v>614657</v>
      </c>
      <c r="P95" s="48"/>
      <c r="Q95" s="45">
        <v>0</v>
      </c>
      <c r="R95" s="48"/>
      <c r="S95" s="45">
        <v>1145438</v>
      </c>
      <c r="T95" s="48"/>
      <c r="U95" s="45">
        <v>0</v>
      </c>
      <c r="V95" s="48"/>
      <c r="W95" s="48"/>
      <c r="X95" s="35"/>
      <c r="Z95" s="35"/>
      <c r="AA95" s="35"/>
      <c r="AB95" s="45">
        <v>1245000</v>
      </c>
      <c r="AC95" s="65"/>
      <c r="AD95" s="45">
        <v>2645302</v>
      </c>
      <c r="AE95" s="65"/>
      <c r="AF95" s="45">
        <v>146649</v>
      </c>
      <c r="AG95" s="65"/>
      <c r="AH95" s="48">
        <f t="shared" si="3"/>
        <v>27163934</v>
      </c>
      <c r="AI95" s="48"/>
      <c r="AJ95" s="48">
        <v>0</v>
      </c>
      <c r="AK95" s="48"/>
      <c r="AL95" s="45">
        <v>12450000</v>
      </c>
      <c r="AM95" s="45"/>
      <c r="AN95" s="45">
        <v>28054212</v>
      </c>
      <c r="AO95" s="45"/>
      <c r="AP95" s="45">
        <v>0</v>
      </c>
      <c r="AQ95" s="45"/>
      <c r="AR95" s="45">
        <f>+'GVFund Rev'!U95+'GVFund Rev'!W95-'GVFund Exp'!AH95-'GVFund Exp'!AL95+AJ95+AN95+AP95-'GV Fund BS'!S95</f>
        <v>0</v>
      </c>
      <c r="AS95" s="48"/>
    </row>
    <row r="96" spans="1:45" s="44" customFormat="1" ht="12.75" customHeight="1">
      <c r="A96" s="35" t="s">
        <v>120</v>
      </c>
      <c r="C96" s="35" t="s">
        <v>121</v>
      </c>
      <c r="E96" s="45">
        <v>2022681</v>
      </c>
      <c r="F96" s="48"/>
      <c r="G96" s="45">
        <v>4765864</v>
      </c>
      <c r="H96" s="48"/>
      <c r="I96" s="45">
        <v>35273</v>
      </c>
      <c r="J96" s="48"/>
      <c r="K96" s="45">
        <v>311</v>
      </c>
      <c r="L96" s="48"/>
      <c r="M96" s="45">
        <v>1873168</v>
      </c>
      <c r="N96" s="48"/>
      <c r="O96" s="45">
        <v>420274</v>
      </c>
      <c r="P96" s="48"/>
      <c r="Q96" s="45">
        <v>242660</v>
      </c>
      <c r="R96" s="48"/>
      <c r="S96" s="45">
        <v>937659</v>
      </c>
      <c r="T96" s="48"/>
      <c r="U96" s="45">
        <v>0</v>
      </c>
      <c r="V96" s="48"/>
      <c r="W96" s="48"/>
      <c r="X96" s="35"/>
      <c r="Z96" s="35"/>
      <c r="AA96" s="35"/>
      <c r="AB96" s="45">
        <v>385286</v>
      </c>
      <c r="AC96" s="65"/>
      <c r="AD96" s="45">
        <v>132570</v>
      </c>
      <c r="AE96" s="65"/>
      <c r="AF96" s="45">
        <v>0</v>
      </c>
      <c r="AG96" s="65"/>
      <c r="AH96" s="48">
        <f t="shared" si="3"/>
        <v>10815746</v>
      </c>
      <c r="AI96" s="48"/>
      <c r="AJ96" s="48">
        <v>0</v>
      </c>
      <c r="AK96" s="48"/>
      <c r="AL96" s="45">
        <v>1551890</v>
      </c>
      <c r="AM96" s="45"/>
      <c r="AN96" s="45">
        <v>5338897</v>
      </c>
      <c r="AO96" s="45"/>
      <c r="AP96" s="45">
        <v>0</v>
      </c>
      <c r="AQ96" s="45"/>
      <c r="AR96" s="45">
        <f>+'GVFund Rev'!U96+'GVFund Rev'!W96-'GVFund Exp'!AH96-'GVFund Exp'!AL96+AJ96+AN96+AP96-'GV Fund BS'!S96</f>
        <v>0</v>
      </c>
      <c r="AS96" s="48"/>
    </row>
    <row r="97" spans="1:45" s="44" customFormat="1" ht="12.75" customHeight="1">
      <c r="A97" s="35" t="s">
        <v>122</v>
      </c>
      <c r="C97" s="35" t="s">
        <v>43</v>
      </c>
      <c r="E97" s="45">
        <f>7581627+1370473</f>
        <v>8952100</v>
      </c>
      <c r="F97" s="48"/>
      <c r="G97" s="45">
        <v>9697200</v>
      </c>
      <c r="H97" s="48"/>
      <c r="I97" s="45">
        <v>1329356</v>
      </c>
      <c r="J97" s="48"/>
      <c r="K97" s="45">
        <v>270134</v>
      </c>
      <c r="L97" s="48"/>
      <c r="M97" s="45">
        <v>1407756</v>
      </c>
      <c r="N97" s="48"/>
      <c r="O97" s="45">
        <v>1902060</v>
      </c>
      <c r="P97" s="48"/>
      <c r="Q97" s="45">
        <v>0</v>
      </c>
      <c r="R97" s="48"/>
      <c r="S97" s="45">
        <v>9249404</v>
      </c>
      <c r="T97" s="48"/>
      <c r="U97" s="45">
        <v>0</v>
      </c>
      <c r="V97" s="48"/>
      <c r="W97" s="48"/>
      <c r="X97" s="35"/>
      <c r="Z97" s="35"/>
      <c r="AA97" s="35"/>
      <c r="AB97" s="45">
        <v>1524318</v>
      </c>
      <c r="AC97" s="65"/>
      <c r="AD97" s="45">
        <v>1645778</v>
      </c>
      <c r="AE97" s="65"/>
      <c r="AF97" s="45">
        <v>0</v>
      </c>
      <c r="AG97" s="65"/>
      <c r="AH97" s="48">
        <f t="shared" si="3"/>
        <v>35978106</v>
      </c>
      <c r="AI97" s="48"/>
      <c r="AJ97" s="48">
        <v>0</v>
      </c>
      <c r="AK97" s="48"/>
      <c r="AL97" s="45">
        <v>7934022</v>
      </c>
      <c r="AM97" s="45"/>
      <c r="AN97" s="45">
        <v>36899478</v>
      </c>
      <c r="AO97" s="45"/>
      <c r="AP97" s="45">
        <v>0</v>
      </c>
      <c r="AQ97" s="45"/>
      <c r="AR97" s="45">
        <f>+'GVFund Rev'!U97+'GVFund Rev'!W97-'GVFund Exp'!AH97-'GVFund Exp'!AL97+AJ97+AN97+AP97-'GV Fund BS'!S97</f>
        <v>0</v>
      </c>
      <c r="AS97" s="48"/>
    </row>
    <row r="98" spans="1:45" s="44" customFormat="1" ht="12.75" customHeight="1">
      <c r="A98" s="44" t="s">
        <v>45</v>
      </c>
      <c r="C98" s="35" t="s">
        <v>103</v>
      </c>
      <c r="E98" s="45">
        <v>4065793</v>
      </c>
      <c r="F98" s="48"/>
      <c r="G98" s="45">
        <v>31417745</v>
      </c>
      <c r="H98" s="48"/>
      <c r="I98" s="45">
        <v>5013534</v>
      </c>
      <c r="J98" s="48"/>
      <c r="K98" s="45">
        <v>1219842</v>
      </c>
      <c r="L98" s="48"/>
      <c r="M98" s="45">
        <v>3336713</v>
      </c>
      <c r="N98" s="48"/>
      <c r="O98" s="45">
        <v>2202403</v>
      </c>
      <c r="P98" s="48"/>
      <c r="Q98" s="45">
        <v>5945443</v>
      </c>
      <c r="R98" s="48"/>
      <c r="S98" s="45">
        <v>4383743</v>
      </c>
      <c r="T98" s="48"/>
      <c r="U98" s="45">
        <v>0</v>
      </c>
      <c r="V98" s="48"/>
      <c r="W98" s="48"/>
      <c r="X98" s="35"/>
      <c r="Z98" s="35"/>
      <c r="AA98" s="35"/>
      <c r="AB98" s="45">
        <v>2425000</v>
      </c>
      <c r="AC98" s="65"/>
      <c r="AD98" s="45">
        <v>1576932</v>
      </c>
      <c r="AE98" s="65"/>
      <c r="AF98" s="45">
        <v>0</v>
      </c>
      <c r="AG98" s="65"/>
      <c r="AH98" s="48">
        <f t="shared" si="3"/>
        <v>61587148</v>
      </c>
      <c r="AI98" s="48"/>
      <c r="AJ98" s="48">
        <v>0</v>
      </c>
      <c r="AK98" s="48"/>
      <c r="AL98" s="45">
        <v>5275986</v>
      </c>
      <c r="AM98" s="45"/>
      <c r="AN98" s="45">
        <v>18572376</v>
      </c>
      <c r="AO98" s="45"/>
      <c r="AP98" s="45">
        <v>-12125</v>
      </c>
      <c r="AQ98" s="45"/>
      <c r="AR98" s="45">
        <f>+'GVFund Rev'!U98+'GVFund Rev'!W98-'GVFund Exp'!AH98-'GVFund Exp'!AL98+AJ98+AN98+AP98-'GV Fund BS'!S98</f>
        <v>0</v>
      </c>
      <c r="AS98" s="48"/>
    </row>
    <row r="99" spans="1:45" s="44" customFormat="1" ht="12.75" customHeight="1">
      <c r="A99" s="46" t="s">
        <v>123</v>
      </c>
      <c r="B99" s="46"/>
      <c r="C99" s="64" t="s">
        <v>45</v>
      </c>
      <c r="D99" s="46"/>
      <c r="E99" s="45">
        <v>1209228</v>
      </c>
      <c r="F99" s="48"/>
      <c r="G99" s="45">
        <v>5652619</v>
      </c>
      <c r="H99" s="48"/>
      <c r="I99" s="45">
        <v>134578</v>
      </c>
      <c r="J99" s="48"/>
      <c r="K99" s="45">
        <v>338848</v>
      </c>
      <c r="L99" s="48"/>
      <c r="M99" s="45">
        <v>780692</v>
      </c>
      <c r="N99" s="48"/>
      <c r="O99" s="45">
        <v>251512</v>
      </c>
      <c r="P99" s="48"/>
      <c r="Q99" s="45">
        <v>0</v>
      </c>
      <c r="R99" s="48"/>
      <c r="S99" s="45">
        <v>584884</v>
      </c>
      <c r="T99" s="48"/>
      <c r="U99" s="45">
        <v>0</v>
      </c>
      <c r="V99" s="48"/>
      <c r="W99" s="48"/>
      <c r="X99" s="35"/>
      <c r="Z99" s="35"/>
      <c r="AA99" s="35"/>
      <c r="AB99" s="45">
        <v>518871</v>
      </c>
      <c r="AC99" s="65"/>
      <c r="AD99" s="45">
        <v>265646</v>
      </c>
      <c r="AE99" s="65"/>
      <c r="AF99" s="45">
        <v>0</v>
      </c>
      <c r="AG99" s="65"/>
      <c r="AH99" s="48">
        <f t="shared" si="3"/>
        <v>9736878</v>
      </c>
      <c r="AI99" s="48"/>
      <c r="AJ99" s="48">
        <v>0</v>
      </c>
      <c r="AK99" s="48"/>
      <c r="AL99" s="45">
        <v>2115734</v>
      </c>
      <c r="AM99" s="45"/>
      <c r="AN99" s="45">
        <v>3969698</v>
      </c>
      <c r="AO99" s="45"/>
      <c r="AP99" s="45">
        <v>0</v>
      </c>
      <c r="AQ99" s="45"/>
      <c r="AR99" s="45">
        <f>+'GVFund Rev'!U99+'GVFund Rev'!W99-'GVFund Exp'!AH99-'GVFund Exp'!AL99+AJ99+AN99+AP99-'GV Fund BS'!S99</f>
        <v>0</v>
      </c>
      <c r="AS99" s="48"/>
    </row>
    <row r="100" spans="1:45" s="44" customFormat="1" ht="12.75" customHeight="1">
      <c r="A100" s="35" t="s">
        <v>124</v>
      </c>
      <c r="C100" s="35" t="s">
        <v>125</v>
      </c>
      <c r="E100" s="45">
        <v>1440850</v>
      </c>
      <c r="F100" s="48"/>
      <c r="G100" s="45">
        <v>4832359</v>
      </c>
      <c r="H100" s="48"/>
      <c r="I100" s="45">
        <v>248970</v>
      </c>
      <c r="J100" s="48"/>
      <c r="K100" s="45">
        <v>55500</v>
      </c>
      <c r="L100" s="48"/>
      <c r="M100" s="45">
        <v>1505871</v>
      </c>
      <c r="N100" s="48"/>
      <c r="O100" s="45">
        <v>1388567</v>
      </c>
      <c r="P100" s="48"/>
      <c r="Q100" s="45">
        <v>399949</v>
      </c>
      <c r="R100" s="48"/>
      <c r="S100" s="45">
        <v>0</v>
      </c>
      <c r="T100" s="48"/>
      <c r="U100" s="45">
        <v>0</v>
      </c>
      <c r="V100" s="48"/>
      <c r="W100" s="48"/>
      <c r="X100" s="35"/>
      <c r="Z100" s="35"/>
      <c r="AA100" s="35"/>
      <c r="AB100" s="45">
        <v>299111</v>
      </c>
      <c r="AC100" s="65"/>
      <c r="AD100" s="45">
        <v>159796</v>
      </c>
      <c r="AE100" s="65"/>
      <c r="AF100" s="45">
        <v>0</v>
      </c>
      <c r="AG100" s="65"/>
      <c r="AH100" s="48">
        <f t="shared" si="3"/>
        <v>10330973</v>
      </c>
      <c r="AI100" s="48"/>
      <c r="AJ100" s="48">
        <v>0</v>
      </c>
      <c r="AK100" s="48"/>
      <c r="AL100" s="45">
        <v>684767</v>
      </c>
      <c r="AM100" s="45"/>
      <c r="AN100" s="45">
        <v>8148340</v>
      </c>
      <c r="AO100" s="45"/>
      <c r="AP100" s="45">
        <v>-1406</v>
      </c>
      <c r="AQ100" s="45"/>
      <c r="AR100" s="45">
        <f>+'GVFund Rev'!U100+'GVFund Rev'!W100-'GVFund Exp'!AH100-'GVFund Exp'!AL100+AJ100+AN100+AP100-'GV Fund BS'!S100</f>
        <v>0</v>
      </c>
      <c r="AS100" s="48"/>
    </row>
    <row r="101" spans="1:45" s="44" customFormat="1" ht="12.75" customHeight="1">
      <c r="A101" s="35" t="s">
        <v>126</v>
      </c>
      <c r="C101" s="35" t="s">
        <v>27</v>
      </c>
      <c r="E101" s="45">
        <v>2433904</v>
      </c>
      <c r="F101" s="48"/>
      <c r="G101" s="45">
        <v>5889871</v>
      </c>
      <c r="H101" s="48"/>
      <c r="I101" s="45">
        <v>94695</v>
      </c>
      <c r="J101" s="48"/>
      <c r="K101" s="45">
        <v>37892</v>
      </c>
      <c r="L101" s="48"/>
      <c r="M101" s="45">
        <v>669147</v>
      </c>
      <c r="N101" s="48"/>
      <c r="O101" s="45">
        <v>501991</v>
      </c>
      <c r="P101" s="48"/>
      <c r="Q101" s="45">
        <v>1816333</v>
      </c>
      <c r="R101" s="48"/>
      <c r="S101" s="45">
        <v>630074</v>
      </c>
      <c r="T101" s="48"/>
      <c r="U101" s="45">
        <v>0</v>
      </c>
      <c r="V101" s="48"/>
      <c r="W101" s="48"/>
      <c r="X101" s="35"/>
      <c r="Z101" s="35"/>
      <c r="AA101" s="35"/>
      <c r="AB101" s="45">
        <v>1096645</v>
      </c>
      <c r="AC101" s="65"/>
      <c r="AD101" s="45">
        <v>584414</v>
      </c>
      <c r="AE101" s="65"/>
      <c r="AF101" s="45">
        <v>0</v>
      </c>
      <c r="AG101" s="65"/>
      <c r="AH101" s="48">
        <f t="shared" si="3"/>
        <v>13754966</v>
      </c>
      <c r="AI101" s="48"/>
      <c r="AJ101" s="48">
        <v>0</v>
      </c>
      <c r="AK101" s="48"/>
      <c r="AL101" s="45">
        <v>1236174</v>
      </c>
      <c r="AM101" s="45"/>
      <c r="AN101" s="45">
        <v>8154393</v>
      </c>
      <c r="AO101" s="45"/>
      <c r="AP101" s="45">
        <v>51431</v>
      </c>
      <c r="AQ101" s="45"/>
      <c r="AR101" s="45">
        <f>+'GVFund Rev'!U101+'GVFund Rev'!W101-'GVFund Exp'!AH101-'GVFund Exp'!AL101+AJ101+AN101+AP101-'GV Fund BS'!S101</f>
        <v>0</v>
      </c>
      <c r="AS101" s="48"/>
    </row>
    <row r="102" spans="1:45" s="44" customFormat="1" ht="12.75" customHeight="1">
      <c r="A102" s="35" t="s">
        <v>127</v>
      </c>
      <c r="C102" s="35" t="s">
        <v>43</v>
      </c>
      <c r="E102" s="45">
        <v>4857636</v>
      </c>
      <c r="F102" s="48"/>
      <c r="G102" s="45">
        <v>8282776</v>
      </c>
      <c r="H102" s="48"/>
      <c r="I102" s="45">
        <v>5357924</v>
      </c>
      <c r="J102" s="48"/>
      <c r="K102" s="45">
        <v>171913</v>
      </c>
      <c r="L102" s="48"/>
      <c r="M102" s="45">
        <v>8544315</v>
      </c>
      <c r="N102" s="48"/>
      <c r="O102" s="45">
        <v>4456087</v>
      </c>
      <c r="P102" s="48"/>
      <c r="Q102" s="45">
        <v>1937183</v>
      </c>
      <c r="R102" s="48"/>
      <c r="S102" s="45">
        <v>0</v>
      </c>
      <c r="T102" s="48"/>
      <c r="U102" s="45">
        <v>0</v>
      </c>
      <c r="V102" s="48"/>
      <c r="W102" s="48"/>
      <c r="X102" s="35"/>
      <c r="Z102" s="35"/>
      <c r="AA102" s="35"/>
      <c r="AB102" s="45">
        <v>2629411</v>
      </c>
      <c r="AC102" s="65"/>
      <c r="AD102" s="45">
        <v>2637382</v>
      </c>
      <c r="AE102" s="65"/>
      <c r="AF102" s="45">
        <v>0</v>
      </c>
      <c r="AG102" s="65"/>
      <c r="AH102" s="48">
        <f t="shared" si="3"/>
        <v>38874627</v>
      </c>
      <c r="AI102" s="48"/>
      <c r="AJ102" s="48">
        <v>0</v>
      </c>
      <c r="AK102" s="48"/>
      <c r="AL102" s="45">
        <v>0</v>
      </c>
      <c r="AM102" s="45"/>
      <c r="AN102" s="45">
        <v>15835524</v>
      </c>
      <c r="AO102" s="45"/>
      <c r="AP102" s="45">
        <v>0</v>
      </c>
      <c r="AQ102" s="45"/>
      <c r="AR102" s="45">
        <f>+'GVFund Rev'!U102+'GVFund Rev'!W102-'GVFund Exp'!AH102-'GVFund Exp'!AL102+AJ102+AN102+AP102-'GV Fund BS'!S102</f>
        <v>0</v>
      </c>
      <c r="AS102" s="48"/>
    </row>
    <row r="103" spans="1:45" s="46" customFormat="1" ht="12.75" customHeight="1">
      <c r="A103" s="35" t="s">
        <v>128</v>
      </c>
      <c r="B103" s="44"/>
      <c r="C103" s="35" t="s">
        <v>119</v>
      </c>
      <c r="D103" s="44"/>
      <c r="E103" s="45">
        <f>978666+374371</f>
        <v>1353037</v>
      </c>
      <c r="F103" s="48"/>
      <c r="G103" s="45">
        <v>3464773</v>
      </c>
      <c r="H103" s="48"/>
      <c r="I103" s="45">
        <v>417697</v>
      </c>
      <c r="J103" s="48"/>
      <c r="K103" s="45">
        <v>0</v>
      </c>
      <c r="L103" s="48"/>
      <c r="M103" s="45">
        <v>396985</v>
      </c>
      <c r="N103" s="48"/>
      <c r="O103" s="45">
        <v>79970</v>
      </c>
      <c r="P103" s="48"/>
      <c r="Q103" s="45">
        <v>0</v>
      </c>
      <c r="R103" s="48"/>
      <c r="S103" s="45">
        <v>236658</v>
      </c>
      <c r="T103" s="48"/>
      <c r="U103" s="45">
        <v>0</v>
      </c>
      <c r="V103" s="48"/>
      <c r="W103" s="48"/>
      <c r="X103" s="35"/>
      <c r="Y103" s="44"/>
      <c r="Z103" s="35"/>
      <c r="AA103" s="35"/>
      <c r="AB103" s="45">
        <v>173504</v>
      </c>
      <c r="AC103" s="65"/>
      <c r="AD103" s="45">
        <v>153083</v>
      </c>
      <c r="AE103" s="65"/>
      <c r="AF103" s="45">
        <v>0</v>
      </c>
      <c r="AG103" s="65"/>
      <c r="AH103" s="48">
        <f t="shared" si="3"/>
        <v>6275707</v>
      </c>
      <c r="AI103" s="48"/>
      <c r="AJ103" s="48">
        <v>0</v>
      </c>
      <c r="AK103" s="48"/>
      <c r="AL103" s="45">
        <v>1072228</v>
      </c>
      <c r="AM103" s="45"/>
      <c r="AN103" s="45">
        <v>3360911</v>
      </c>
      <c r="AO103" s="45"/>
      <c r="AP103" s="45">
        <v>0</v>
      </c>
      <c r="AQ103" s="45"/>
      <c r="AR103" s="45">
        <f>+'GVFund Rev'!U103+'GVFund Rev'!W103-'GVFund Exp'!AH103-'GVFund Exp'!AL103+AJ103+AN103+AP103-'GV Fund BS'!S103</f>
        <v>0</v>
      </c>
      <c r="AS103" s="48"/>
    </row>
    <row r="104" spans="1:45" s="44" customFormat="1" ht="12.75" customHeight="1">
      <c r="A104" s="35" t="s">
        <v>129</v>
      </c>
      <c r="C104" s="35" t="s">
        <v>80</v>
      </c>
      <c r="E104" s="45">
        <v>379671</v>
      </c>
      <c r="F104" s="48"/>
      <c r="G104" s="45">
        <v>1741946</v>
      </c>
      <c r="H104" s="48"/>
      <c r="I104" s="45">
        <v>516</v>
      </c>
      <c r="J104" s="48"/>
      <c r="K104" s="45">
        <v>30049</v>
      </c>
      <c r="L104" s="48"/>
      <c r="M104" s="45">
        <v>563955</v>
      </c>
      <c r="N104" s="48"/>
      <c r="O104" s="45">
        <v>47440</v>
      </c>
      <c r="P104" s="48"/>
      <c r="Q104" s="45">
        <v>0</v>
      </c>
      <c r="R104" s="48"/>
      <c r="S104" s="45">
        <v>33000</v>
      </c>
      <c r="T104" s="48"/>
      <c r="U104" s="45">
        <v>0</v>
      </c>
      <c r="V104" s="48"/>
      <c r="W104" s="48"/>
      <c r="X104" s="35"/>
      <c r="Z104" s="35"/>
      <c r="AA104" s="35"/>
      <c r="AB104" s="45">
        <v>422910</v>
      </c>
      <c r="AC104" s="65"/>
      <c r="AD104" s="45">
        <v>128200</v>
      </c>
      <c r="AE104" s="65"/>
      <c r="AF104" s="45">
        <v>0</v>
      </c>
      <c r="AG104" s="65"/>
      <c r="AH104" s="48">
        <f t="shared" si="3"/>
        <v>3347687</v>
      </c>
      <c r="AI104" s="48"/>
      <c r="AJ104" s="48">
        <v>0</v>
      </c>
      <c r="AK104" s="48"/>
      <c r="AL104" s="45">
        <v>825641</v>
      </c>
      <c r="AM104" s="45"/>
      <c r="AN104" s="45">
        <v>883717</v>
      </c>
      <c r="AO104" s="45"/>
      <c r="AP104" s="45">
        <v>0</v>
      </c>
      <c r="AQ104" s="45"/>
      <c r="AR104" s="45">
        <f>+'GVFund Rev'!U104+'GVFund Rev'!W104-'GVFund Exp'!AH104-'GVFund Exp'!AL104+AJ104+AN104+AP104-'GV Fund BS'!S104</f>
        <v>0</v>
      </c>
      <c r="AS104" s="48"/>
    </row>
    <row r="105" spans="1:45" s="44" customFormat="1" ht="12.75" customHeight="1">
      <c r="A105" s="35" t="s">
        <v>130</v>
      </c>
      <c r="C105" s="35" t="s">
        <v>66</v>
      </c>
      <c r="E105" s="45">
        <v>3246433</v>
      </c>
      <c r="F105" s="48"/>
      <c r="G105" s="45">
        <f>5930867+6394398+1330418</f>
        <v>13655683</v>
      </c>
      <c r="H105" s="48"/>
      <c r="I105" s="45">
        <v>963506</v>
      </c>
      <c r="J105" s="48"/>
      <c r="K105" s="45">
        <v>0</v>
      </c>
      <c r="L105" s="48"/>
      <c r="M105" s="45">
        <v>1578536</v>
      </c>
      <c r="N105" s="48"/>
      <c r="O105" s="45">
        <v>460043</v>
      </c>
      <c r="P105" s="48"/>
      <c r="Q105" s="45">
        <v>0</v>
      </c>
      <c r="R105" s="48"/>
      <c r="S105" s="45">
        <v>6127838</v>
      </c>
      <c r="T105" s="48"/>
      <c r="U105" s="45">
        <v>0</v>
      </c>
      <c r="V105" s="48"/>
      <c r="W105" s="48"/>
      <c r="X105" s="35"/>
      <c r="Z105" s="35"/>
      <c r="AA105" s="35"/>
      <c r="AB105" s="45">
        <v>1894449</v>
      </c>
      <c r="AC105" s="65"/>
      <c r="AD105" s="45">
        <v>1072760</v>
      </c>
      <c r="AE105" s="65"/>
      <c r="AF105" s="45">
        <v>153136</v>
      </c>
      <c r="AG105" s="65"/>
      <c r="AH105" s="48">
        <f t="shared" si="3"/>
        <v>29152384</v>
      </c>
      <c r="AI105" s="48"/>
      <c r="AJ105" s="48">
        <v>0</v>
      </c>
      <c r="AK105" s="48"/>
      <c r="AL105" s="45">
        <f>1665000+882369+8844239</f>
        <v>11391608</v>
      </c>
      <c r="AM105" s="45"/>
      <c r="AN105" s="45">
        <v>24138978</v>
      </c>
      <c r="AO105" s="45"/>
      <c r="AP105" s="45">
        <v>-110529</v>
      </c>
      <c r="AQ105" s="45"/>
      <c r="AR105" s="45">
        <f>+'GVFund Rev'!U105+'GVFund Rev'!W105-'GVFund Exp'!AH105-'GVFund Exp'!AL105+AJ105+AN105+AP105-'GV Fund BS'!S105</f>
        <v>0</v>
      </c>
      <c r="AS105" s="48"/>
    </row>
    <row r="106" spans="1:45" s="44" customFormat="1" ht="12.75" customHeight="1">
      <c r="A106" s="35" t="s">
        <v>131</v>
      </c>
      <c r="C106" s="35" t="s">
        <v>13</v>
      </c>
      <c r="E106" s="45">
        <v>5248941</v>
      </c>
      <c r="F106" s="48"/>
      <c r="G106" s="45">
        <v>6369166</v>
      </c>
      <c r="H106" s="48"/>
      <c r="I106" s="45">
        <v>1435689</v>
      </c>
      <c r="J106" s="48"/>
      <c r="K106" s="45">
        <v>533748</v>
      </c>
      <c r="L106" s="48"/>
      <c r="M106" s="45">
        <v>2742068</v>
      </c>
      <c r="N106" s="48"/>
      <c r="O106" s="45">
        <v>999834</v>
      </c>
      <c r="P106" s="48"/>
      <c r="Q106" s="45">
        <v>0</v>
      </c>
      <c r="R106" s="48"/>
      <c r="S106" s="45">
        <v>5419701</v>
      </c>
      <c r="T106" s="48"/>
      <c r="U106" s="45">
        <v>0</v>
      </c>
      <c r="V106" s="48"/>
      <c r="W106" s="48"/>
      <c r="X106" s="35"/>
      <c r="Z106" s="35"/>
      <c r="AA106" s="35"/>
      <c r="AB106" s="45">
        <v>2652269</v>
      </c>
      <c r="AC106" s="65"/>
      <c r="AD106" s="45">
        <v>1396781</v>
      </c>
      <c r="AE106" s="65"/>
      <c r="AF106" s="45">
        <v>0</v>
      </c>
      <c r="AG106" s="65"/>
      <c r="AH106" s="48">
        <f t="shared" si="3"/>
        <v>26798197</v>
      </c>
      <c r="AI106" s="48"/>
      <c r="AJ106" s="48">
        <v>0</v>
      </c>
      <c r="AK106" s="48"/>
      <c r="AL106" s="45">
        <v>7793147</v>
      </c>
      <c r="AM106" s="45"/>
      <c r="AN106" s="45">
        <v>14601012</v>
      </c>
      <c r="AO106" s="45"/>
      <c r="AP106" s="45">
        <v>0</v>
      </c>
      <c r="AQ106" s="45"/>
      <c r="AR106" s="45">
        <f>+'GVFund Rev'!U106+'GVFund Rev'!W106-'GVFund Exp'!AH106-'GVFund Exp'!AL106+AJ106+AN106+AP106-'GV Fund BS'!S106</f>
        <v>0</v>
      </c>
      <c r="AS106" s="48"/>
    </row>
    <row r="107" spans="1:45" s="44" customFormat="1" ht="12.75" customHeight="1">
      <c r="A107" s="35" t="s">
        <v>38</v>
      </c>
      <c r="C107" s="35" t="s">
        <v>132</v>
      </c>
      <c r="E107" s="45">
        <v>1067222</v>
      </c>
      <c r="F107" s="48"/>
      <c r="G107" s="45">
        <v>3156643</v>
      </c>
      <c r="H107" s="48"/>
      <c r="I107" s="45">
        <v>0</v>
      </c>
      <c r="J107" s="48"/>
      <c r="K107" s="45">
        <v>0</v>
      </c>
      <c r="L107" s="48"/>
      <c r="M107" s="45">
        <v>1003176</v>
      </c>
      <c r="N107" s="48"/>
      <c r="O107" s="45">
        <v>626360</v>
      </c>
      <c r="P107" s="48"/>
      <c r="Q107" s="45">
        <f>688060+35804</f>
        <v>723864</v>
      </c>
      <c r="R107" s="48"/>
      <c r="S107" s="45">
        <v>2348946</v>
      </c>
      <c r="T107" s="48"/>
      <c r="U107" s="45">
        <v>0</v>
      </c>
      <c r="V107" s="48"/>
      <c r="W107" s="48"/>
      <c r="X107" s="35"/>
      <c r="Z107" s="35"/>
      <c r="AA107" s="35"/>
      <c r="AB107" s="45">
        <v>223968</v>
      </c>
      <c r="AC107" s="65"/>
      <c r="AD107" s="45">
        <v>106066</v>
      </c>
      <c r="AE107" s="65"/>
      <c r="AF107" s="45">
        <v>0</v>
      </c>
      <c r="AG107" s="65"/>
      <c r="AH107" s="48">
        <f t="shared" si="3"/>
        <v>9256245</v>
      </c>
      <c r="AI107" s="48"/>
      <c r="AJ107" s="48">
        <v>0</v>
      </c>
      <c r="AK107" s="48"/>
      <c r="AL107" s="45">
        <v>1352943</v>
      </c>
      <c r="AM107" s="45"/>
      <c r="AN107" s="45">
        <v>2519164</v>
      </c>
      <c r="AO107" s="45"/>
      <c r="AP107" s="45">
        <v>0</v>
      </c>
      <c r="AQ107" s="45"/>
      <c r="AR107" s="45">
        <f>+'GVFund Rev'!U107+'GVFund Rev'!W107-'GVFund Exp'!AH107-'GVFund Exp'!AL107+AJ107+AN107+AP107-'GV Fund BS'!S107</f>
        <v>0</v>
      </c>
      <c r="AS107" s="48"/>
    </row>
    <row r="108" spans="1:45" s="44" customFormat="1" ht="12.75" customHeight="1">
      <c r="A108" s="35" t="s">
        <v>133</v>
      </c>
      <c r="C108" s="35" t="s">
        <v>27</v>
      </c>
      <c r="E108" s="45">
        <v>5832145</v>
      </c>
      <c r="F108" s="48"/>
      <c r="G108" s="45">
        <v>8343766</v>
      </c>
      <c r="H108" s="48"/>
      <c r="I108" s="45">
        <v>2241800</v>
      </c>
      <c r="J108" s="48"/>
      <c r="K108" s="45">
        <v>92021</v>
      </c>
      <c r="L108" s="48"/>
      <c r="M108" s="45">
        <v>2534624</v>
      </c>
      <c r="N108" s="48"/>
      <c r="O108" s="45">
        <v>3237635</v>
      </c>
      <c r="P108" s="48"/>
      <c r="Q108" s="45">
        <v>526243</v>
      </c>
      <c r="R108" s="48"/>
      <c r="S108" s="45">
        <v>3693599</v>
      </c>
      <c r="T108" s="48"/>
      <c r="U108" s="45">
        <v>0</v>
      </c>
      <c r="V108" s="48"/>
      <c r="W108" s="48"/>
      <c r="X108" s="35"/>
      <c r="Z108" s="35"/>
      <c r="AA108" s="35"/>
      <c r="AB108" s="45">
        <v>1445553</v>
      </c>
      <c r="AC108" s="65"/>
      <c r="AD108" s="45">
        <v>1246419</v>
      </c>
      <c r="AE108" s="65"/>
      <c r="AF108" s="45">
        <v>43200</v>
      </c>
      <c r="AG108" s="65"/>
      <c r="AH108" s="48">
        <f t="shared" si="3"/>
        <v>29237005</v>
      </c>
      <c r="AI108" s="48"/>
      <c r="AJ108" s="48">
        <v>0</v>
      </c>
      <c r="AK108" s="48"/>
      <c r="AL108" s="45">
        <f>5900000+8376500</f>
        <v>14276500</v>
      </c>
      <c r="AM108" s="45"/>
      <c r="AN108" s="45">
        <v>10010466</v>
      </c>
      <c r="AO108" s="45"/>
      <c r="AP108" s="45">
        <v>0</v>
      </c>
      <c r="AQ108" s="45"/>
      <c r="AR108" s="45">
        <f>+'GVFund Rev'!U108+'GVFund Rev'!W108-'GVFund Exp'!AH108-'GVFund Exp'!AL108+AJ108+AN108+AP108-'GV Fund BS'!S108</f>
        <v>0</v>
      </c>
      <c r="AS108" s="48"/>
    </row>
    <row r="109" spans="1:45" s="44" customFormat="1" ht="12.75" customHeight="1">
      <c r="A109" s="35" t="s">
        <v>482</v>
      </c>
      <c r="C109" s="35" t="s">
        <v>45</v>
      </c>
      <c r="E109" s="45">
        <v>1985150</v>
      </c>
      <c r="F109" s="48"/>
      <c r="G109" s="45">
        <v>4695599</v>
      </c>
      <c r="H109" s="48"/>
      <c r="I109" s="45">
        <v>1422459</v>
      </c>
      <c r="J109" s="48"/>
      <c r="K109" s="45">
        <v>142402</v>
      </c>
      <c r="L109" s="48"/>
      <c r="M109" s="45">
        <v>1516624</v>
      </c>
      <c r="N109" s="48"/>
      <c r="O109" s="45">
        <v>1110102</v>
      </c>
      <c r="P109" s="48"/>
      <c r="Q109" s="45">
        <v>0</v>
      </c>
      <c r="R109" s="48"/>
      <c r="S109" s="45">
        <v>769584</v>
      </c>
      <c r="T109" s="48"/>
      <c r="U109" s="45">
        <v>0</v>
      </c>
      <c r="V109" s="48"/>
      <c r="W109" s="48"/>
      <c r="X109" s="35"/>
      <c r="Z109" s="35"/>
      <c r="AA109" s="35"/>
      <c r="AB109" s="45">
        <v>620870</v>
      </c>
      <c r="AC109" s="65"/>
      <c r="AD109" s="45">
        <v>97730</v>
      </c>
      <c r="AE109" s="65"/>
      <c r="AF109" s="45">
        <v>0</v>
      </c>
      <c r="AG109" s="65"/>
      <c r="AH109" s="48">
        <f t="shared" si="3"/>
        <v>12360520</v>
      </c>
      <c r="AI109" s="48"/>
      <c r="AJ109" s="48">
        <v>0</v>
      </c>
      <c r="AK109" s="48"/>
      <c r="AL109" s="45">
        <v>6056570</v>
      </c>
      <c r="AM109" s="45"/>
      <c r="AN109" s="45">
        <v>13168442</v>
      </c>
      <c r="AO109" s="45"/>
      <c r="AP109" s="45">
        <v>-136389</v>
      </c>
      <c r="AQ109" s="45"/>
      <c r="AR109" s="45">
        <f>+'GVFund Rev'!U109+'GVFund Rev'!W109-'GVFund Exp'!AH109-'GVFund Exp'!AL109+AJ109+AN109+AP109-'GV Fund BS'!S109</f>
        <v>0</v>
      </c>
      <c r="AS109" s="48"/>
    </row>
    <row r="110" spans="1:45" s="44" customFormat="1" ht="12.75" customHeight="1">
      <c r="A110" s="35" t="s">
        <v>136</v>
      </c>
      <c r="C110" s="35" t="s">
        <v>136</v>
      </c>
      <c r="E110" s="45">
        <v>1196652</v>
      </c>
      <c r="F110" s="48"/>
      <c r="G110" s="45">
        <v>1976179</v>
      </c>
      <c r="H110" s="48"/>
      <c r="I110" s="45">
        <v>399725</v>
      </c>
      <c r="J110" s="48"/>
      <c r="K110" s="45">
        <v>318913</v>
      </c>
      <c r="L110" s="48"/>
      <c r="M110" s="45">
        <v>614043</v>
      </c>
      <c r="N110" s="48"/>
      <c r="O110" s="45">
        <v>144755</v>
      </c>
      <c r="P110" s="48"/>
      <c r="Q110" s="45">
        <v>0</v>
      </c>
      <c r="R110" s="48"/>
      <c r="S110" s="45">
        <v>27462</v>
      </c>
      <c r="T110" s="48"/>
      <c r="U110" s="45">
        <v>0</v>
      </c>
      <c r="V110" s="48"/>
      <c r="W110" s="48"/>
      <c r="X110" s="35"/>
      <c r="Z110" s="35"/>
      <c r="AA110" s="35"/>
      <c r="AB110" s="45">
        <v>81732</v>
      </c>
      <c r="AC110" s="65"/>
      <c r="AD110" s="45">
        <v>22572</v>
      </c>
      <c r="AE110" s="65"/>
      <c r="AF110" s="45">
        <v>0</v>
      </c>
      <c r="AG110" s="65"/>
      <c r="AH110" s="48">
        <f t="shared" si="3"/>
        <v>4782033</v>
      </c>
      <c r="AI110" s="48"/>
      <c r="AJ110" s="48">
        <v>0</v>
      </c>
      <c r="AK110" s="48"/>
      <c r="AL110" s="45">
        <v>183024</v>
      </c>
      <c r="AM110" s="45"/>
      <c r="AN110" s="45">
        <v>4569134</v>
      </c>
      <c r="AO110" s="45"/>
      <c r="AP110" s="45">
        <v>0</v>
      </c>
      <c r="AQ110" s="45"/>
      <c r="AR110" s="45">
        <f>+'GVFund Rev'!U110+'GVFund Rev'!W110-'GVFund Exp'!AH110-'GVFund Exp'!AL110+AJ110+AN110+AP110-'GV Fund BS'!S110</f>
        <v>0</v>
      </c>
      <c r="AS110" s="48"/>
    </row>
    <row r="111" spans="1:45" s="44" customFormat="1" ht="12.75" customHeight="1">
      <c r="A111" s="35" t="s">
        <v>137</v>
      </c>
      <c r="C111" s="35" t="s">
        <v>22</v>
      </c>
      <c r="E111" s="45">
        <v>2772347</v>
      </c>
      <c r="F111" s="48"/>
      <c r="G111" s="45">
        <v>10132948</v>
      </c>
      <c r="H111" s="48"/>
      <c r="I111" s="45">
        <v>1701884</v>
      </c>
      <c r="J111" s="48"/>
      <c r="K111" s="45">
        <v>624153</v>
      </c>
      <c r="L111" s="48"/>
      <c r="M111" s="45">
        <v>2241324</v>
      </c>
      <c r="N111" s="48"/>
      <c r="O111" s="45">
        <v>1316516</v>
      </c>
      <c r="P111" s="48"/>
      <c r="Q111" s="45">
        <v>0</v>
      </c>
      <c r="R111" s="48"/>
      <c r="S111" s="45">
        <v>3352787</v>
      </c>
      <c r="T111" s="48"/>
      <c r="U111" s="45">
        <v>0</v>
      </c>
      <c r="V111" s="48"/>
      <c r="W111" s="48"/>
      <c r="X111" s="35"/>
      <c r="Z111" s="35"/>
      <c r="AA111" s="35"/>
      <c r="AB111" s="45">
        <v>209947</v>
      </c>
      <c r="AC111" s="65"/>
      <c r="AD111" s="45">
        <v>144108</v>
      </c>
      <c r="AE111" s="65"/>
      <c r="AF111" s="45">
        <v>0</v>
      </c>
      <c r="AG111" s="65"/>
      <c r="AH111" s="48">
        <f t="shared" si="3"/>
        <v>22496014</v>
      </c>
      <c r="AI111" s="48"/>
      <c r="AJ111" s="48">
        <v>0</v>
      </c>
      <c r="AK111" s="48"/>
      <c r="AL111" s="45">
        <v>10319189</v>
      </c>
      <c r="AM111" s="45"/>
      <c r="AN111" s="45">
        <v>21158190</v>
      </c>
      <c r="AO111" s="45"/>
      <c r="AP111" s="45">
        <v>0</v>
      </c>
      <c r="AQ111" s="45"/>
      <c r="AR111" s="45">
        <f>+'GVFund Rev'!U111+'GVFund Rev'!W111-'GVFund Exp'!AH111-'GVFund Exp'!AL111+AJ111+AN111+AP111-'GV Fund BS'!S111</f>
        <v>0</v>
      </c>
      <c r="AS111" s="48"/>
    </row>
    <row r="112" spans="1:45" s="121" customFormat="1" ht="12.75" hidden="1" customHeight="1">
      <c r="A112" s="126" t="s">
        <v>138</v>
      </c>
      <c r="C112" s="126" t="s">
        <v>139</v>
      </c>
      <c r="E112" s="45">
        <v>0</v>
      </c>
      <c r="F112" s="48"/>
      <c r="G112" s="45">
        <v>0</v>
      </c>
      <c r="H112" s="48"/>
      <c r="I112" s="45">
        <v>0</v>
      </c>
      <c r="J112" s="48"/>
      <c r="K112" s="45">
        <v>0</v>
      </c>
      <c r="L112" s="48"/>
      <c r="M112" s="45">
        <v>0</v>
      </c>
      <c r="N112" s="48"/>
      <c r="O112" s="45">
        <v>0</v>
      </c>
      <c r="P112" s="48"/>
      <c r="Q112" s="45">
        <v>0</v>
      </c>
      <c r="R112" s="48"/>
      <c r="S112" s="45">
        <v>0</v>
      </c>
      <c r="T112" s="48"/>
      <c r="U112" s="45">
        <v>0</v>
      </c>
      <c r="V112" s="48"/>
      <c r="W112" s="48"/>
      <c r="X112" s="35"/>
      <c r="Y112" s="44"/>
      <c r="Z112" s="35"/>
      <c r="AA112" s="35"/>
      <c r="AB112" s="45">
        <v>0</v>
      </c>
      <c r="AC112" s="65"/>
      <c r="AD112" s="45">
        <v>0</v>
      </c>
      <c r="AE112" s="65"/>
      <c r="AF112" s="45">
        <v>0</v>
      </c>
      <c r="AG112" s="65"/>
      <c r="AH112" s="48">
        <f t="shared" si="3"/>
        <v>0</v>
      </c>
      <c r="AI112" s="48"/>
      <c r="AJ112" s="48">
        <v>0</v>
      </c>
      <c r="AK112" s="48"/>
      <c r="AL112" s="45">
        <v>0</v>
      </c>
      <c r="AM112" s="45"/>
      <c r="AN112" s="45">
        <v>0</v>
      </c>
      <c r="AO112" s="45"/>
      <c r="AP112" s="45">
        <v>0</v>
      </c>
      <c r="AQ112" s="127"/>
      <c r="AR112" s="127">
        <f>+'GVFund Rev'!U112+'GVFund Rev'!W112-'GVFund Exp'!AH112-'GVFund Exp'!AL112+AJ112+AN112+AP112-'GV Fund BS'!S112</f>
        <v>0</v>
      </c>
      <c r="AS112" s="130"/>
    </row>
    <row r="113" spans="1:46" s="44" customFormat="1" ht="12.75" customHeight="1">
      <c r="A113" s="35" t="s">
        <v>140</v>
      </c>
      <c r="C113" s="35" t="s">
        <v>66</v>
      </c>
      <c r="E113" s="45">
        <v>12476529</v>
      </c>
      <c r="F113" s="48"/>
      <c r="G113" s="45">
        <f>13976571+11028998</f>
        <v>25005569</v>
      </c>
      <c r="H113" s="48"/>
      <c r="I113" s="45">
        <v>0</v>
      </c>
      <c r="J113" s="48"/>
      <c r="K113" s="45">
        <v>0</v>
      </c>
      <c r="L113" s="48"/>
      <c r="M113" s="45">
        <v>8391628</v>
      </c>
      <c r="N113" s="48"/>
      <c r="O113" s="45">
        <v>12173718</v>
      </c>
      <c r="P113" s="48"/>
      <c r="Q113" s="45">
        <v>0</v>
      </c>
      <c r="R113" s="48"/>
      <c r="S113" s="45">
        <v>18983100</v>
      </c>
      <c r="T113" s="48"/>
      <c r="U113" s="45">
        <v>0</v>
      </c>
      <c r="V113" s="48"/>
      <c r="W113" s="48"/>
      <c r="X113" s="35"/>
      <c r="Z113" s="35"/>
      <c r="AA113" s="35"/>
      <c r="AB113" s="45">
        <v>1021134</v>
      </c>
      <c r="AC113" s="65"/>
      <c r="AD113" s="45">
        <v>672521</v>
      </c>
      <c r="AE113" s="65"/>
      <c r="AF113" s="45">
        <v>0</v>
      </c>
      <c r="AG113" s="65"/>
      <c r="AH113" s="48">
        <f t="shared" si="3"/>
        <v>78724199</v>
      </c>
      <c r="AI113" s="48"/>
      <c r="AJ113" s="48">
        <v>0</v>
      </c>
      <c r="AK113" s="48"/>
      <c r="AL113" s="45">
        <v>15221132</v>
      </c>
      <c r="AM113" s="45"/>
      <c r="AN113" s="45">
        <v>69866228</v>
      </c>
      <c r="AO113" s="45"/>
      <c r="AP113" s="45">
        <v>0</v>
      </c>
      <c r="AQ113" s="45"/>
      <c r="AR113" s="45">
        <f>+'GVFund Rev'!U113+'GVFund Rev'!W113-'GVFund Exp'!AH113-'GVFund Exp'!AL113+AJ113+AN113+AP113-'GV Fund BS'!S114</f>
        <v>0</v>
      </c>
      <c r="AS113" s="48"/>
    </row>
    <row r="114" spans="1:46" s="44" customFormat="1" ht="12.75" customHeight="1">
      <c r="A114" s="35" t="s">
        <v>478</v>
      </c>
      <c r="C114" s="35" t="s">
        <v>92</v>
      </c>
      <c r="E114" s="45">
        <v>1712617</v>
      </c>
      <c r="F114" s="48"/>
      <c r="G114" s="45">
        <v>2525819</v>
      </c>
      <c r="H114" s="48"/>
      <c r="I114" s="45">
        <v>72136</v>
      </c>
      <c r="J114" s="48"/>
      <c r="K114" s="45">
        <v>78735</v>
      </c>
      <c r="L114" s="48"/>
      <c r="M114" s="45">
        <v>1395655</v>
      </c>
      <c r="N114" s="48"/>
      <c r="O114" s="45">
        <v>342865</v>
      </c>
      <c r="P114" s="48"/>
      <c r="Q114" s="45">
        <v>0</v>
      </c>
      <c r="R114" s="48"/>
      <c r="S114" s="45">
        <v>1010281</v>
      </c>
      <c r="T114" s="48"/>
      <c r="U114" s="45">
        <v>0</v>
      </c>
      <c r="V114" s="48"/>
      <c r="W114" s="48"/>
      <c r="X114" s="35"/>
      <c r="Z114" s="35"/>
      <c r="AA114" s="35"/>
      <c r="AB114" s="45">
        <f>238736+105000</f>
        <v>343736</v>
      </c>
      <c r="AC114" s="65"/>
      <c r="AD114" s="45">
        <v>189674</v>
      </c>
      <c r="AE114" s="65"/>
      <c r="AF114" s="45">
        <v>0</v>
      </c>
      <c r="AG114" s="65"/>
      <c r="AH114" s="48">
        <f t="shared" si="3"/>
        <v>7671518</v>
      </c>
      <c r="AI114" s="48"/>
      <c r="AJ114" s="48">
        <v>0</v>
      </c>
      <c r="AK114" s="48"/>
      <c r="AL114" s="45">
        <f>1380000+583080</f>
        <v>1963080</v>
      </c>
      <c r="AM114" s="45"/>
      <c r="AN114" s="45">
        <v>1835577</v>
      </c>
      <c r="AO114" s="45"/>
      <c r="AP114" s="45">
        <v>0</v>
      </c>
      <c r="AQ114" s="45"/>
      <c r="AR114" s="45">
        <f>+'GVFund Rev'!U114+'GVFund Rev'!W114-'GVFund Exp'!AH114-'GVFund Exp'!AL114+AJ114+AN114+AP114-'GV Fund BS'!S115</f>
        <v>0</v>
      </c>
      <c r="AS114" s="48"/>
    </row>
    <row r="115" spans="1:46" s="44" customFormat="1" ht="12.75" customHeight="1">
      <c r="A115" s="64" t="s">
        <v>141</v>
      </c>
      <c r="B115" s="46"/>
      <c r="C115" s="64" t="s">
        <v>27</v>
      </c>
      <c r="D115" s="46"/>
      <c r="E115" s="45">
        <v>8149714</v>
      </c>
      <c r="F115" s="48"/>
      <c r="G115" s="45">
        <f>12069033+9282338</f>
        <v>21351371</v>
      </c>
      <c r="H115" s="48"/>
      <c r="I115" s="45">
        <v>6727225</v>
      </c>
      <c r="J115" s="48"/>
      <c r="K115" s="45">
        <v>2281603</v>
      </c>
      <c r="L115" s="48"/>
      <c r="M115" s="45">
        <v>1867759</v>
      </c>
      <c r="N115" s="48"/>
      <c r="O115" s="45">
        <v>1542088</v>
      </c>
      <c r="P115" s="48"/>
      <c r="Q115" s="45">
        <v>3150020</v>
      </c>
      <c r="R115" s="48"/>
      <c r="S115" s="45">
        <v>760521</v>
      </c>
      <c r="T115" s="48"/>
      <c r="U115" s="45">
        <v>0</v>
      </c>
      <c r="V115" s="48"/>
      <c r="W115" s="48"/>
      <c r="X115" s="35"/>
      <c r="Z115" s="35"/>
      <c r="AA115" s="35"/>
      <c r="AB115" s="45">
        <v>11949421</v>
      </c>
      <c r="AC115" s="65"/>
      <c r="AD115" s="45">
        <v>1830823</v>
      </c>
      <c r="AE115" s="65"/>
      <c r="AF115" s="45">
        <v>0</v>
      </c>
      <c r="AG115" s="65"/>
      <c r="AH115" s="48">
        <f t="shared" si="3"/>
        <v>59610545</v>
      </c>
      <c r="AI115" s="48"/>
      <c r="AJ115" s="48">
        <v>0</v>
      </c>
      <c r="AK115" s="48"/>
      <c r="AL115" s="45">
        <v>4118272</v>
      </c>
      <c r="AM115" s="45"/>
      <c r="AN115" s="45">
        <v>12801286</v>
      </c>
      <c r="AO115" s="45"/>
      <c r="AP115" s="45">
        <v>0</v>
      </c>
      <c r="AQ115" s="45"/>
      <c r="AR115" s="45">
        <f>+'GVFund Rev'!U116+'GVFund Rev'!W116-'GVFund Exp'!AH115-'GVFund Exp'!AL115+AJ115+AN115+AP115-'GV Fund BS'!S116</f>
        <v>0</v>
      </c>
      <c r="AS115" s="48"/>
    </row>
    <row r="116" spans="1:46" s="121" customFormat="1" ht="12.75" hidden="1" customHeight="1">
      <c r="A116" s="126" t="s">
        <v>142</v>
      </c>
      <c r="C116" s="126" t="s">
        <v>102</v>
      </c>
      <c r="E116" s="127">
        <v>0</v>
      </c>
      <c r="F116" s="130"/>
      <c r="G116" s="127">
        <v>0</v>
      </c>
      <c r="H116" s="130"/>
      <c r="I116" s="127">
        <v>0</v>
      </c>
      <c r="J116" s="130"/>
      <c r="K116" s="127">
        <v>0</v>
      </c>
      <c r="L116" s="130"/>
      <c r="M116" s="127">
        <v>0</v>
      </c>
      <c r="N116" s="130"/>
      <c r="O116" s="127">
        <v>0</v>
      </c>
      <c r="P116" s="130"/>
      <c r="Q116" s="127">
        <v>0</v>
      </c>
      <c r="R116" s="130"/>
      <c r="S116" s="127">
        <v>0</v>
      </c>
      <c r="T116" s="130"/>
      <c r="U116" s="127">
        <v>0</v>
      </c>
      <c r="V116" s="130"/>
      <c r="W116" s="130"/>
      <c r="X116" s="126"/>
      <c r="Z116" s="126"/>
      <c r="AA116" s="126"/>
      <c r="AB116" s="127">
        <v>0</v>
      </c>
      <c r="AC116" s="125"/>
      <c r="AD116" s="127">
        <v>0</v>
      </c>
      <c r="AE116" s="125"/>
      <c r="AF116" s="127">
        <v>0</v>
      </c>
      <c r="AG116" s="125"/>
      <c r="AH116" s="130">
        <f t="shared" si="3"/>
        <v>0</v>
      </c>
      <c r="AI116" s="130"/>
      <c r="AJ116" s="130">
        <v>0</v>
      </c>
      <c r="AK116" s="130"/>
      <c r="AL116" s="127">
        <v>0</v>
      </c>
      <c r="AM116" s="127"/>
      <c r="AN116" s="127">
        <v>0</v>
      </c>
      <c r="AO116" s="127"/>
      <c r="AP116" s="127">
        <v>0</v>
      </c>
      <c r="AQ116" s="127"/>
      <c r="AR116" s="127">
        <f>+'GVFund Rev'!U117+'GVFund Rev'!W117-'GVFund Exp'!AH116-'GVFund Exp'!AL116+AJ116+AN116+AP116-'GV Fund BS'!S117</f>
        <v>0</v>
      </c>
      <c r="AS116" s="130"/>
    </row>
    <row r="117" spans="1:46" s="44" customFormat="1" ht="12.75" customHeight="1">
      <c r="A117" s="35" t="s">
        <v>143</v>
      </c>
      <c r="C117" s="35" t="s">
        <v>111</v>
      </c>
      <c r="E117" s="45">
        <v>3837352</v>
      </c>
      <c r="F117" s="48"/>
      <c r="G117" s="45">
        <f>4208892+2579293</f>
        <v>6788185</v>
      </c>
      <c r="H117" s="48"/>
      <c r="I117" s="45">
        <v>826380</v>
      </c>
      <c r="J117" s="48"/>
      <c r="K117" s="45">
        <v>164718</v>
      </c>
      <c r="L117" s="48"/>
      <c r="M117" s="45">
        <v>1102322</v>
      </c>
      <c r="N117" s="48"/>
      <c r="O117" s="45">
        <v>390839</v>
      </c>
      <c r="P117" s="48"/>
      <c r="Q117" s="45">
        <v>277310</v>
      </c>
      <c r="R117" s="48"/>
      <c r="S117" s="45">
        <v>2993629</v>
      </c>
      <c r="T117" s="48"/>
      <c r="U117" s="45">
        <v>0</v>
      </c>
      <c r="V117" s="48"/>
      <c r="W117" s="48"/>
      <c r="X117" s="35"/>
      <c r="Z117" s="35"/>
      <c r="AA117" s="35"/>
      <c r="AB117" s="45">
        <v>590158</v>
      </c>
      <c r="AC117" s="65"/>
      <c r="AD117" s="45">
        <v>272577</v>
      </c>
      <c r="AE117" s="65"/>
      <c r="AF117" s="45">
        <v>0</v>
      </c>
      <c r="AG117" s="65"/>
      <c r="AH117" s="48">
        <f t="shared" si="3"/>
        <v>17243470</v>
      </c>
      <c r="AI117" s="48"/>
      <c r="AJ117" s="48">
        <v>0</v>
      </c>
      <c r="AK117" s="48"/>
      <c r="AL117" s="45">
        <v>1225867</v>
      </c>
      <c r="AM117" s="45"/>
      <c r="AN117" s="45">
        <v>16354142</v>
      </c>
      <c r="AO117" s="45"/>
      <c r="AP117" s="45">
        <v>0</v>
      </c>
      <c r="AQ117" s="45"/>
      <c r="AR117" s="45">
        <f>+'GVFund Rev'!U118+'GVFund Rev'!W118-'GVFund Exp'!AH117-'GVFund Exp'!AL117+AJ117+AN117+AP117-'GV Fund BS'!S118</f>
        <v>0</v>
      </c>
      <c r="AS117" s="48"/>
    </row>
    <row r="118" spans="1:46" s="46" customFormat="1" ht="12.75" customHeight="1">
      <c r="A118" s="28" t="s">
        <v>144</v>
      </c>
      <c r="B118" s="47"/>
      <c r="C118" s="28" t="s">
        <v>88</v>
      </c>
      <c r="D118" s="49"/>
      <c r="E118" s="45">
        <v>8280958</v>
      </c>
      <c r="F118" s="48"/>
      <c r="G118" s="45">
        <v>15717589</v>
      </c>
      <c r="H118" s="48"/>
      <c r="I118" s="45">
        <v>4509454</v>
      </c>
      <c r="J118" s="48"/>
      <c r="K118" s="45">
        <v>0</v>
      </c>
      <c r="L118" s="48"/>
      <c r="M118" s="45">
        <v>3566736</v>
      </c>
      <c r="N118" s="48"/>
      <c r="O118" s="45">
        <v>959064</v>
      </c>
      <c r="P118" s="48"/>
      <c r="Q118" s="45">
        <v>0</v>
      </c>
      <c r="R118" s="48"/>
      <c r="S118" s="45">
        <v>11670135</v>
      </c>
      <c r="T118" s="48"/>
      <c r="U118" s="45">
        <v>0</v>
      </c>
      <c r="V118" s="48"/>
      <c r="W118" s="48"/>
      <c r="X118" s="35"/>
      <c r="Y118" s="44"/>
      <c r="Z118" s="35"/>
      <c r="AA118" s="35"/>
      <c r="AB118" s="45">
        <v>990545</v>
      </c>
      <c r="AC118" s="65"/>
      <c r="AD118" s="45">
        <v>124923</v>
      </c>
      <c r="AE118" s="65"/>
      <c r="AF118" s="45">
        <v>0</v>
      </c>
      <c r="AG118" s="65"/>
      <c r="AH118" s="48">
        <f t="shared" si="3"/>
        <v>45819404</v>
      </c>
      <c r="AI118" s="48"/>
      <c r="AJ118" s="48">
        <v>0</v>
      </c>
      <c r="AK118" s="48"/>
      <c r="AL118" s="45">
        <v>67470</v>
      </c>
      <c r="AM118" s="45"/>
      <c r="AN118" s="45">
        <v>12931066</v>
      </c>
      <c r="AO118" s="45"/>
      <c r="AP118" s="45">
        <v>0</v>
      </c>
      <c r="AQ118" s="45"/>
      <c r="AR118" s="45">
        <f>+'GVFund Rev'!U119+'GVFund Rev'!W119-'GVFund Exp'!AH118-'GVFund Exp'!AL118+AJ118+AN118+AP118-'GV Fund BS'!S119</f>
        <v>0</v>
      </c>
      <c r="AS118" s="48"/>
    </row>
    <row r="119" spans="1:46" s="44" customFormat="1" ht="12.75" customHeight="1">
      <c r="A119" s="35" t="s">
        <v>36</v>
      </c>
      <c r="C119" s="35" t="s">
        <v>145</v>
      </c>
      <c r="E119" s="45">
        <v>834716</v>
      </c>
      <c r="F119" s="48"/>
      <c r="G119" s="45">
        <f>1638466+753936</f>
        <v>2392402</v>
      </c>
      <c r="H119" s="48"/>
      <c r="I119" s="45">
        <v>111878</v>
      </c>
      <c r="J119" s="48"/>
      <c r="K119" s="45">
        <v>295855</v>
      </c>
      <c r="L119" s="48"/>
      <c r="M119" s="45">
        <v>630073</v>
      </c>
      <c r="N119" s="48"/>
      <c r="O119" s="45">
        <v>75166</v>
      </c>
      <c r="P119" s="48"/>
      <c r="Q119" s="45">
        <v>2226</v>
      </c>
      <c r="R119" s="48"/>
      <c r="S119" s="45">
        <v>705286</v>
      </c>
      <c r="T119" s="48"/>
      <c r="U119" s="45">
        <v>0</v>
      </c>
      <c r="V119" s="48"/>
      <c r="W119" s="48"/>
      <c r="X119" s="35"/>
      <c r="Z119" s="35"/>
      <c r="AA119" s="35"/>
      <c r="AB119" s="45">
        <v>111443</v>
      </c>
      <c r="AC119" s="65"/>
      <c r="AD119" s="45">
        <v>17375</v>
      </c>
      <c r="AE119" s="65"/>
      <c r="AF119" s="45">
        <v>0</v>
      </c>
      <c r="AG119" s="65"/>
      <c r="AH119" s="48">
        <f t="shared" si="3"/>
        <v>5176420</v>
      </c>
      <c r="AI119" s="48"/>
      <c r="AJ119" s="48">
        <v>0</v>
      </c>
      <c r="AK119" s="48"/>
      <c r="AL119" s="45">
        <v>20000</v>
      </c>
      <c r="AM119" s="45"/>
      <c r="AN119" s="45">
        <v>2060625</v>
      </c>
      <c r="AO119" s="45"/>
      <c r="AP119" s="45">
        <v>0</v>
      </c>
      <c r="AQ119" s="45"/>
      <c r="AR119" s="45">
        <f>+'GVFund Rev'!U120+'GVFund Rev'!W120-'GVFund Exp'!AH119-'GVFund Exp'!AL119+AJ119+AN119+AP119-'GV Fund BS'!S120</f>
        <v>0</v>
      </c>
      <c r="AS119" s="48"/>
    </row>
    <row r="120" spans="1:46" s="44" customFormat="1" ht="12.75" customHeight="1">
      <c r="A120" s="64" t="s">
        <v>146</v>
      </c>
      <c r="B120" s="46"/>
      <c r="C120" s="64" t="s">
        <v>147</v>
      </c>
      <c r="D120" s="46"/>
      <c r="E120" s="45">
        <v>1238305</v>
      </c>
      <c r="F120" s="48"/>
      <c r="G120" s="45">
        <v>2927713</v>
      </c>
      <c r="H120" s="48"/>
      <c r="I120" s="45">
        <v>903583</v>
      </c>
      <c r="J120" s="48"/>
      <c r="K120" s="45">
        <v>300</v>
      </c>
      <c r="L120" s="48"/>
      <c r="M120" s="45">
        <v>515101</v>
      </c>
      <c r="N120" s="48"/>
      <c r="O120" s="45">
        <v>125704</v>
      </c>
      <c r="P120" s="48"/>
      <c r="Q120" s="45">
        <v>0</v>
      </c>
      <c r="R120" s="48"/>
      <c r="S120" s="45">
        <v>2641784</v>
      </c>
      <c r="T120" s="48"/>
      <c r="U120" s="45">
        <v>0</v>
      </c>
      <c r="V120" s="48"/>
      <c r="W120" s="48"/>
      <c r="X120" s="35"/>
      <c r="Z120" s="35"/>
      <c r="AA120" s="35"/>
      <c r="AB120" s="45">
        <v>247629</v>
      </c>
      <c r="AC120" s="65"/>
      <c r="AD120" s="45">
        <v>43965</v>
      </c>
      <c r="AE120" s="65"/>
      <c r="AF120" s="45">
        <v>0</v>
      </c>
      <c r="AG120" s="65"/>
      <c r="AH120" s="48">
        <f t="shared" si="3"/>
        <v>8644084</v>
      </c>
      <c r="AI120" s="48"/>
      <c r="AJ120" s="48">
        <v>0</v>
      </c>
      <c r="AK120" s="48"/>
      <c r="AL120" s="45">
        <v>538545</v>
      </c>
      <c r="AM120" s="45"/>
      <c r="AN120" s="45">
        <v>3042841</v>
      </c>
      <c r="AO120" s="45"/>
      <c r="AP120" s="45">
        <v>0</v>
      </c>
      <c r="AQ120" s="45"/>
      <c r="AR120" s="45">
        <f>+'GVFund Rev'!U121+'GVFund Rev'!W121-'GVFund Exp'!AH120-'GVFund Exp'!AL120+AJ120+AN120+AP120-'GV Fund BS'!S121</f>
        <v>0</v>
      </c>
      <c r="AS120" s="48"/>
    </row>
    <row r="121" spans="1:46" s="44" customFormat="1" ht="12.75" customHeight="1">
      <c r="A121" s="35" t="s">
        <v>17</v>
      </c>
      <c r="C121" s="35" t="s">
        <v>17</v>
      </c>
      <c r="E121" s="45">
        <v>8394131</v>
      </c>
      <c r="F121" s="48"/>
      <c r="G121" s="45">
        <v>18050868</v>
      </c>
      <c r="H121" s="48"/>
      <c r="I121" s="45">
        <f>426257+2872413</f>
        <v>3298670</v>
      </c>
      <c r="J121" s="48"/>
      <c r="K121" s="45">
        <v>1331025</v>
      </c>
      <c r="L121" s="48"/>
      <c r="M121" s="45">
        <v>2313133</v>
      </c>
      <c r="N121" s="48"/>
      <c r="O121" s="45">
        <v>275681</v>
      </c>
      <c r="P121" s="48"/>
      <c r="Q121" s="45">
        <v>0</v>
      </c>
      <c r="R121" s="48"/>
      <c r="S121" s="45">
        <v>1616835</v>
      </c>
      <c r="T121" s="48"/>
      <c r="U121" s="45">
        <v>0</v>
      </c>
      <c r="V121" s="48"/>
      <c r="W121" s="48"/>
      <c r="X121" s="35"/>
      <c r="Z121" s="35"/>
      <c r="AA121" s="35"/>
      <c r="AB121" s="45">
        <v>3390872</v>
      </c>
      <c r="AC121" s="65"/>
      <c r="AD121" s="45">
        <v>2031361</v>
      </c>
      <c r="AE121" s="65"/>
      <c r="AF121" s="45">
        <v>9205</v>
      </c>
      <c r="AG121" s="65"/>
      <c r="AH121" s="48">
        <f t="shared" si="3"/>
        <v>40711781</v>
      </c>
      <c r="AI121" s="48"/>
      <c r="AJ121" s="48">
        <v>0</v>
      </c>
      <c r="AK121" s="48"/>
      <c r="AL121" s="45">
        <f>4225+2468242</f>
        <v>2472467</v>
      </c>
      <c r="AM121" s="45"/>
      <c r="AN121" s="45">
        <v>19106709</v>
      </c>
      <c r="AO121" s="45"/>
      <c r="AP121" s="45">
        <v>0</v>
      </c>
      <c r="AQ121" s="45"/>
      <c r="AR121" s="45">
        <f>+'GVFund Rev'!U122+'GVFund Rev'!W122-'GVFund Exp'!AH121-'GVFund Exp'!AL121+AJ121+AN121+AP121-'GV Fund BS'!S122</f>
        <v>0</v>
      </c>
      <c r="AS121" s="48"/>
    </row>
    <row r="122" spans="1:46" s="44" customFormat="1" ht="12.75" customHeight="1">
      <c r="A122" s="35" t="s">
        <v>148</v>
      </c>
      <c r="C122" s="35" t="s">
        <v>15</v>
      </c>
      <c r="E122" s="45">
        <v>847125</v>
      </c>
      <c r="F122" s="48"/>
      <c r="G122" s="45">
        <v>2054200</v>
      </c>
      <c r="H122" s="48"/>
      <c r="I122" s="45">
        <v>151145</v>
      </c>
      <c r="J122" s="48"/>
      <c r="K122" s="45">
        <v>50860</v>
      </c>
      <c r="L122" s="48"/>
      <c r="M122" s="45">
        <v>610206</v>
      </c>
      <c r="N122" s="48"/>
      <c r="O122" s="45">
        <v>149882</v>
      </c>
      <c r="P122" s="48"/>
      <c r="Q122" s="45">
        <v>0</v>
      </c>
      <c r="R122" s="48"/>
      <c r="S122" s="45">
        <v>1098608</v>
      </c>
      <c r="T122" s="48"/>
      <c r="U122" s="45">
        <v>0</v>
      </c>
      <c r="V122" s="48"/>
      <c r="W122" s="48"/>
      <c r="X122" s="35"/>
      <c r="Z122" s="35"/>
      <c r="AA122" s="35"/>
      <c r="AB122" s="45">
        <v>104290</v>
      </c>
      <c r="AC122" s="65"/>
      <c r="AD122" s="45">
        <v>17177</v>
      </c>
      <c r="AE122" s="65"/>
      <c r="AF122" s="45">
        <v>0</v>
      </c>
      <c r="AG122" s="65"/>
      <c r="AH122" s="48">
        <f t="shared" si="3"/>
        <v>5083493</v>
      </c>
      <c r="AI122" s="48"/>
      <c r="AJ122" s="48">
        <v>0</v>
      </c>
      <c r="AK122" s="48"/>
      <c r="AL122" s="45">
        <v>449260</v>
      </c>
      <c r="AM122" s="45"/>
      <c r="AN122" s="45">
        <v>2191437</v>
      </c>
      <c r="AO122" s="45"/>
      <c r="AP122" s="45">
        <v>0</v>
      </c>
      <c r="AQ122" s="45"/>
      <c r="AR122" s="45">
        <f>+'GVFund Rev'!U123+'GVFund Rev'!W123-'GVFund Exp'!AH122-'GVFund Exp'!AL122+AJ122+AN122+AP122-'GV Fund BS'!S123</f>
        <v>0</v>
      </c>
      <c r="AS122" s="158"/>
      <c r="AT122" s="158"/>
    </row>
    <row r="123" spans="1:46" s="44" customFormat="1" ht="12.75" customHeight="1">
      <c r="A123" s="35" t="s">
        <v>149</v>
      </c>
      <c r="C123" s="35" t="s">
        <v>45</v>
      </c>
      <c r="E123" s="45">
        <v>2557027</v>
      </c>
      <c r="F123" s="48"/>
      <c r="G123" s="45">
        <v>4753802</v>
      </c>
      <c r="H123" s="48"/>
      <c r="I123" s="45">
        <v>236337</v>
      </c>
      <c r="J123" s="48"/>
      <c r="K123" s="45">
        <v>0</v>
      </c>
      <c r="L123" s="48"/>
      <c r="M123" s="45">
        <v>686513</v>
      </c>
      <c r="N123" s="48"/>
      <c r="O123" s="45">
        <v>607256</v>
      </c>
      <c r="P123" s="48"/>
      <c r="Q123" s="45">
        <v>0</v>
      </c>
      <c r="R123" s="48"/>
      <c r="S123" s="45">
        <v>1369902</v>
      </c>
      <c r="T123" s="48"/>
      <c r="U123" s="45">
        <v>0</v>
      </c>
      <c r="V123" s="48"/>
      <c r="W123" s="48"/>
      <c r="X123" s="35"/>
      <c r="Z123" s="35"/>
      <c r="AA123" s="35"/>
      <c r="AB123" s="45">
        <v>683162</v>
      </c>
      <c r="AC123" s="65"/>
      <c r="AD123" s="45">
        <v>188266</v>
      </c>
      <c r="AE123" s="65"/>
      <c r="AF123" s="45">
        <v>0</v>
      </c>
      <c r="AG123" s="65"/>
      <c r="AH123" s="48">
        <f t="shared" si="3"/>
        <v>11082265</v>
      </c>
      <c r="AI123" s="48"/>
      <c r="AJ123" s="48">
        <v>0</v>
      </c>
      <c r="AK123" s="48"/>
      <c r="AL123" s="45">
        <v>549748</v>
      </c>
      <c r="AM123" s="45"/>
      <c r="AN123" s="45">
        <v>3691834</v>
      </c>
      <c r="AO123" s="45"/>
      <c r="AP123" s="45">
        <v>-9249</v>
      </c>
      <c r="AQ123" s="45"/>
      <c r="AR123" s="45">
        <f>+'GVFund Rev'!U124+'GVFund Rev'!W124-'GVFund Exp'!AH123-'GVFund Exp'!AL123+AJ123+AN123+AP123-'GV Fund BS'!S124</f>
        <v>0</v>
      </c>
      <c r="AS123" s="48"/>
    </row>
    <row r="124" spans="1:46" s="44" customFormat="1" ht="12.75" customHeight="1">
      <c r="A124" s="35" t="s">
        <v>150</v>
      </c>
      <c r="C124" s="35" t="s">
        <v>27</v>
      </c>
      <c r="E124" s="45">
        <v>4552065</v>
      </c>
      <c r="F124" s="48"/>
      <c r="G124" s="45">
        <v>7758841</v>
      </c>
      <c r="H124" s="48"/>
      <c r="I124" s="45">
        <v>653125</v>
      </c>
      <c r="J124" s="48"/>
      <c r="K124" s="45">
        <v>56532</v>
      </c>
      <c r="L124" s="48"/>
      <c r="M124" s="45">
        <v>1458587</v>
      </c>
      <c r="N124" s="48"/>
      <c r="O124" s="45">
        <v>970351</v>
      </c>
      <c r="P124" s="48"/>
      <c r="Q124" s="45">
        <v>1928882</v>
      </c>
      <c r="R124" s="48"/>
      <c r="S124" s="45">
        <v>76078</v>
      </c>
      <c r="T124" s="48"/>
      <c r="U124" s="45">
        <v>0</v>
      </c>
      <c r="V124" s="48"/>
      <c r="W124" s="48"/>
      <c r="X124" s="35"/>
      <c r="Z124" s="35"/>
      <c r="AA124" s="35"/>
      <c r="AB124" s="45">
        <v>1676118</v>
      </c>
      <c r="AC124" s="65"/>
      <c r="AD124" s="45">
        <v>107265</v>
      </c>
      <c r="AE124" s="65"/>
      <c r="AF124" s="45">
        <v>0</v>
      </c>
      <c r="AG124" s="65"/>
      <c r="AH124" s="48">
        <f t="shared" si="3"/>
        <v>19237844</v>
      </c>
      <c r="AI124" s="48"/>
      <c r="AJ124" s="48">
        <v>0</v>
      </c>
      <c r="AK124" s="48"/>
      <c r="AL124" s="45">
        <v>830000</v>
      </c>
      <c r="AM124" s="45"/>
      <c r="AN124" s="45">
        <v>15534317</v>
      </c>
      <c r="AO124" s="45"/>
      <c r="AP124" s="45">
        <v>-7446</v>
      </c>
      <c r="AQ124" s="45"/>
      <c r="AR124" s="45">
        <f>+'GVFund Rev'!U125+'GVFund Rev'!W125-'GVFund Exp'!AH124-'GVFund Exp'!AL124+AJ124+AN124+AP124-'GV Fund BS'!S125</f>
        <v>0</v>
      </c>
      <c r="AS124" s="48"/>
    </row>
    <row r="125" spans="1:46" s="44" customFormat="1" ht="12.75" customHeight="1">
      <c r="A125" s="35" t="s">
        <v>151</v>
      </c>
      <c r="C125" s="35" t="s">
        <v>13</v>
      </c>
      <c r="E125" s="45">
        <v>2191980</v>
      </c>
      <c r="F125" s="48"/>
      <c r="G125" s="45">
        <v>5010294</v>
      </c>
      <c r="H125" s="48"/>
      <c r="I125" s="45">
        <v>436497</v>
      </c>
      <c r="J125" s="48"/>
      <c r="K125" s="45">
        <v>204600</v>
      </c>
      <c r="L125" s="48"/>
      <c r="M125" s="45">
        <v>1707632</v>
      </c>
      <c r="N125" s="48"/>
      <c r="O125" s="45">
        <v>1385834</v>
      </c>
      <c r="P125" s="48"/>
      <c r="Q125" s="45">
        <v>206823</v>
      </c>
      <c r="R125" s="48"/>
      <c r="S125" s="45">
        <v>566848</v>
      </c>
      <c r="T125" s="48"/>
      <c r="U125" s="45">
        <v>0</v>
      </c>
      <c r="V125" s="48"/>
      <c r="W125" s="48"/>
      <c r="X125" s="35"/>
      <c r="Z125" s="35"/>
      <c r="AA125" s="35"/>
      <c r="AB125" s="45">
        <v>6271374</v>
      </c>
      <c r="AC125" s="65"/>
      <c r="AD125" s="45">
        <v>454101</v>
      </c>
      <c r="AE125" s="65"/>
      <c r="AF125" s="45">
        <v>122123</v>
      </c>
      <c r="AG125" s="65"/>
      <c r="AH125" s="48">
        <f t="shared" si="3"/>
        <v>18558106</v>
      </c>
      <c r="AI125" s="48"/>
      <c r="AJ125" s="48">
        <v>0</v>
      </c>
      <c r="AK125" s="48"/>
      <c r="AL125" s="45">
        <v>1592653</v>
      </c>
      <c r="AM125" s="45"/>
      <c r="AN125" s="45">
        <v>1896906</v>
      </c>
      <c r="AO125" s="45"/>
      <c r="AP125" s="45">
        <v>0</v>
      </c>
      <c r="AQ125" s="45"/>
      <c r="AR125" s="45">
        <f>+'GVFund Rev'!U126+'GVFund Rev'!W126-'GVFund Exp'!AH125-'GVFund Exp'!AL125+AJ125+AN125+AP125-'GV Fund BS'!S126</f>
        <v>0</v>
      </c>
      <c r="AS125" s="48"/>
    </row>
    <row r="126" spans="1:46" s="44" customFormat="1" ht="12.75" customHeight="1">
      <c r="A126" s="35" t="s">
        <v>481</v>
      </c>
      <c r="C126" s="35" t="s">
        <v>45</v>
      </c>
      <c r="E126" s="45">
        <v>918369</v>
      </c>
      <c r="F126" s="48"/>
      <c r="G126" s="45">
        <v>3092362</v>
      </c>
      <c r="H126" s="48"/>
      <c r="I126" s="45">
        <v>99195</v>
      </c>
      <c r="J126" s="48"/>
      <c r="K126" s="45">
        <v>0</v>
      </c>
      <c r="L126" s="48"/>
      <c r="M126" s="45">
        <v>816934</v>
      </c>
      <c r="N126" s="48"/>
      <c r="O126" s="45">
        <v>130564</v>
      </c>
      <c r="P126" s="48"/>
      <c r="Q126" s="45">
        <v>540817</v>
      </c>
      <c r="R126" s="48"/>
      <c r="S126" s="45">
        <v>2812300</v>
      </c>
      <c r="T126" s="48"/>
      <c r="U126" s="45">
        <v>0</v>
      </c>
      <c r="V126" s="48"/>
      <c r="W126" s="48"/>
      <c r="X126" s="35"/>
      <c r="Z126" s="35"/>
      <c r="AA126" s="35"/>
      <c r="AB126" s="45">
        <v>270000</v>
      </c>
      <c r="AC126" s="65"/>
      <c r="AD126" s="45">
        <v>18765</v>
      </c>
      <c r="AE126" s="65"/>
      <c r="AF126" s="45">
        <v>0</v>
      </c>
      <c r="AG126" s="65"/>
      <c r="AH126" s="48">
        <f t="shared" si="3"/>
        <v>8699306</v>
      </c>
      <c r="AI126" s="48"/>
      <c r="AJ126" s="48">
        <v>0</v>
      </c>
      <c r="AK126" s="48"/>
      <c r="AL126" s="45">
        <v>735011</v>
      </c>
      <c r="AM126" s="45"/>
      <c r="AN126" s="45">
        <v>1887917</v>
      </c>
      <c r="AO126" s="45"/>
      <c r="AP126" s="45">
        <v>0</v>
      </c>
      <c r="AQ126" s="45"/>
      <c r="AR126" s="45">
        <f>+'GVFund Rev'!U127+'GVFund Rev'!W127-'GVFund Exp'!AH126-'GVFund Exp'!AL126+AJ126+AN126+AP126-'GV Fund BS'!S127</f>
        <v>0</v>
      </c>
      <c r="AS126" s="48"/>
    </row>
    <row r="127" spans="1:46" s="44" customFormat="1" ht="12.75" customHeight="1">
      <c r="A127" s="35" t="s">
        <v>152</v>
      </c>
      <c r="C127" s="35" t="s">
        <v>153</v>
      </c>
      <c r="E127" s="45">
        <v>8615629</v>
      </c>
      <c r="F127" s="48"/>
      <c r="G127" s="45">
        <v>25333268</v>
      </c>
      <c r="H127" s="48"/>
      <c r="I127" s="45">
        <v>2778561</v>
      </c>
      <c r="J127" s="48"/>
      <c r="K127" s="45">
        <v>76351</v>
      </c>
      <c r="L127" s="48"/>
      <c r="M127" s="45">
        <v>2300961</v>
      </c>
      <c r="N127" s="48"/>
      <c r="O127" s="45">
        <v>419944</v>
      </c>
      <c r="P127" s="48"/>
      <c r="Q127" s="45">
        <v>0</v>
      </c>
      <c r="R127" s="48"/>
      <c r="S127" s="45">
        <v>8185288</v>
      </c>
      <c r="T127" s="48"/>
      <c r="U127" s="45">
        <v>0</v>
      </c>
      <c r="V127" s="48"/>
      <c r="W127" s="48"/>
      <c r="X127" s="35"/>
      <c r="Z127" s="35"/>
      <c r="AA127" s="35"/>
      <c r="AB127" s="45">
        <v>415000</v>
      </c>
      <c r="AC127" s="65"/>
      <c r="AD127" s="45">
        <v>307533</v>
      </c>
      <c r="AE127" s="65"/>
      <c r="AF127" s="45">
        <v>0</v>
      </c>
      <c r="AG127" s="65"/>
      <c r="AH127" s="48">
        <f t="shared" si="3"/>
        <v>48432535</v>
      </c>
      <c r="AI127" s="48"/>
      <c r="AJ127" s="48">
        <v>0</v>
      </c>
      <c r="AK127" s="48"/>
      <c r="AL127" s="45">
        <v>2347934</v>
      </c>
      <c r="AM127" s="45"/>
      <c r="AN127" s="45">
        <v>8546480</v>
      </c>
      <c r="AO127" s="45"/>
      <c r="AP127" s="45">
        <v>-139282</v>
      </c>
      <c r="AQ127" s="45"/>
      <c r="AR127" s="45">
        <f>+'GVFund Rev'!U128+'GVFund Rev'!W128-'GVFund Exp'!AH127-'GVFund Exp'!AL127+AJ127+AN127+AP127-'GV Fund BS'!S128</f>
        <v>0</v>
      </c>
      <c r="AS127" s="48"/>
    </row>
    <row r="128" spans="1:46" s="44" customFormat="1" ht="12.75" customHeight="1">
      <c r="A128" s="35" t="s">
        <v>154</v>
      </c>
      <c r="C128" s="35" t="s">
        <v>27</v>
      </c>
      <c r="E128" s="45">
        <v>5776846</v>
      </c>
      <c r="F128" s="48"/>
      <c r="G128" s="45">
        <v>10529700</v>
      </c>
      <c r="H128" s="48"/>
      <c r="I128" s="45">
        <v>1407620</v>
      </c>
      <c r="J128" s="48"/>
      <c r="K128" s="45">
        <v>97077</v>
      </c>
      <c r="L128" s="48"/>
      <c r="M128" s="45">
        <v>1248661</v>
      </c>
      <c r="N128" s="48"/>
      <c r="O128" s="45">
        <v>1040646</v>
      </c>
      <c r="P128" s="48"/>
      <c r="Q128" s="45">
        <v>990696</v>
      </c>
      <c r="R128" s="48"/>
      <c r="S128" s="45">
        <v>2490548</v>
      </c>
      <c r="T128" s="48"/>
      <c r="U128" s="45">
        <v>0</v>
      </c>
      <c r="V128" s="48"/>
      <c r="W128" s="48"/>
      <c r="X128" s="35"/>
      <c r="Z128" s="35"/>
      <c r="AA128" s="35"/>
      <c r="AB128" s="45">
        <v>10970810</v>
      </c>
      <c r="AC128" s="65"/>
      <c r="AD128" s="45">
        <v>882079</v>
      </c>
      <c r="AE128" s="65"/>
      <c r="AF128" s="45">
        <v>208678</v>
      </c>
      <c r="AG128" s="65"/>
      <c r="AH128" s="48">
        <f t="shared" si="3"/>
        <v>35643361</v>
      </c>
      <c r="AI128" s="48"/>
      <c r="AJ128" s="48">
        <v>0</v>
      </c>
      <c r="AK128" s="48"/>
      <c r="AL128" s="45">
        <f>2447970+8039097</f>
        <v>10487067</v>
      </c>
      <c r="AM128" s="45"/>
      <c r="AN128" s="45">
        <v>2528784</v>
      </c>
      <c r="AO128" s="45"/>
      <c r="AP128" s="45">
        <v>0</v>
      </c>
      <c r="AQ128" s="45"/>
      <c r="AR128" s="45">
        <f>+'GVFund Rev'!U129+'GVFund Rev'!W129-'GVFund Exp'!AH128-'GVFund Exp'!AL128+AJ128+AN128+AP128-'GV Fund BS'!S129</f>
        <v>0</v>
      </c>
      <c r="AS128" s="48"/>
    </row>
    <row r="129" spans="1:46" s="44" customFormat="1" ht="12.75" customHeight="1">
      <c r="A129" s="35" t="s">
        <v>155</v>
      </c>
      <c r="C129" s="35" t="s">
        <v>40</v>
      </c>
      <c r="E129" s="45">
        <f>3568945+981286</f>
        <v>4550231</v>
      </c>
      <c r="F129" s="48"/>
      <c r="G129" s="45">
        <f>3127848+3400507</f>
        <v>6528355</v>
      </c>
      <c r="H129" s="48"/>
      <c r="I129" s="45">
        <v>1252702</v>
      </c>
      <c r="J129" s="48"/>
      <c r="K129" s="45">
        <v>865224</v>
      </c>
      <c r="L129" s="48"/>
      <c r="M129" s="45">
        <f>3909094+3566</f>
        <v>3912660</v>
      </c>
      <c r="N129" s="48"/>
      <c r="O129" s="45">
        <v>822306</v>
      </c>
      <c r="P129" s="48"/>
      <c r="Q129" s="45">
        <v>0</v>
      </c>
      <c r="R129" s="48"/>
      <c r="S129" s="45">
        <v>824360</v>
      </c>
      <c r="T129" s="48"/>
      <c r="U129" s="45">
        <v>2198869</v>
      </c>
      <c r="V129" s="48"/>
      <c r="W129" s="48"/>
      <c r="X129" s="35"/>
      <c r="Z129" s="35"/>
      <c r="AA129" s="35"/>
      <c r="AB129" s="45">
        <f>79742+238000</f>
        <v>317742</v>
      </c>
      <c r="AC129" s="65"/>
      <c r="AD129" s="45">
        <v>48790</v>
      </c>
      <c r="AE129" s="65"/>
      <c r="AF129" s="45">
        <v>0</v>
      </c>
      <c r="AG129" s="65"/>
      <c r="AH129" s="48">
        <f t="shared" si="3"/>
        <v>21321239</v>
      </c>
      <c r="AI129" s="48"/>
      <c r="AJ129" s="48">
        <v>0</v>
      </c>
      <c r="AK129" s="48"/>
      <c r="AL129" s="45">
        <f>494000+394423</f>
        <v>888423</v>
      </c>
      <c r="AM129" s="45"/>
      <c r="AN129" s="45">
        <v>7741940</v>
      </c>
      <c r="AO129" s="45"/>
      <c r="AP129" s="45">
        <v>0</v>
      </c>
      <c r="AQ129" s="45"/>
      <c r="AR129" s="45">
        <f>+'GVFund Rev'!U130+'GVFund Rev'!W130-'GVFund Exp'!AH129-'GVFund Exp'!AL129+AJ129+AN129+AP129-'GV Fund BS'!S130</f>
        <v>0</v>
      </c>
      <c r="AS129" s="48"/>
    </row>
    <row r="130" spans="1:46" s="121" customFormat="1" ht="12.75" hidden="1" customHeight="1">
      <c r="A130" s="152" t="s">
        <v>156</v>
      </c>
      <c r="B130" s="123"/>
      <c r="C130" s="152" t="s">
        <v>156</v>
      </c>
      <c r="D130" s="123"/>
      <c r="E130" s="127">
        <v>0</v>
      </c>
      <c r="F130" s="130"/>
      <c r="G130" s="127">
        <v>0</v>
      </c>
      <c r="H130" s="130"/>
      <c r="I130" s="127">
        <v>0</v>
      </c>
      <c r="J130" s="130"/>
      <c r="K130" s="127">
        <v>0</v>
      </c>
      <c r="L130" s="130"/>
      <c r="M130" s="127">
        <v>0</v>
      </c>
      <c r="N130" s="130"/>
      <c r="O130" s="127">
        <v>0</v>
      </c>
      <c r="P130" s="130"/>
      <c r="Q130" s="127">
        <v>0</v>
      </c>
      <c r="R130" s="130"/>
      <c r="S130" s="127">
        <v>0</v>
      </c>
      <c r="T130" s="130"/>
      <c r="U130" s="127">
        <v>0</v>
      </c>
      <c r="V130" s="130"/>
      <c r="W130" s="130"/>
      <c r="X130" s="126"/>
      <c r="Z130" s="126"/>
      <c r="AA130" s="126"/>
      <c r="AB130" s="127">
        <v>0</v>
      </c>
      <c r="AC130" s="125"/>
      <c r="AD130" s="127">
        <v>0</v>
      </c>
      <c r="AE130" s="125"/>
      <c r="AF130" s="127">
        <v>0</v>
      </c>
      <c r="AG130" s="125"/>
      <c r="AH130" s="130">
        <f t="shared" si="3"/>
        <v>0</v>
      </c>
      <c r="AI130" s="130"/>
      <c r="AJ130" s="130">
        <v>0</v>
      </c>
      <c r="AK130" s="130"/>
      <c r="AL130" s="127">
        <v>0</v>
      </c>
      <c r="AM130" s="127"/>
      <c r="AN130" s="127">
        <v>0</v>
      </c>
      <c r="AO130" s="128"/>
      <c r="AP130" s="128">
        <v>0</v>
      </c>
      <c r="AQ130" s="128"/>
      <c r="AR130" s="128">
        <f>+'GVFund Rev'!U131+'GVFund Rev'!W131-'GVFund Exp'!AH130-'GVFund Exp'!AL130+AJ130+AN130+AP130-'GV Fund BS'!S131</f>
        <v>0</v>
      </c>
      <c r="AS130" s="154"/>
      <c r="AT130" s="123"/>
    </row>
    <row r="131" spans="1:46" s="44" customFormat="1" ht="12.75" customHeight="1">
      <c r="A131" s="35" t="s">
        <v>157</v>
      </c>
      <c r="C131" s="35" t="s">
        <v>33</v>
      </c>
      <c r="E131" s="45">
        <v>663170</v>
      </c>
      <c r="F131" s="48"/>
      <c r="G131" s="45">
        <v>2329700</v>
      </c>
      <c r="H131" s="48"/>
      <c r="I131" s="45">
        <v>178720</v>
      </c>
      <c r="J131" s="48"/>
      <c r="K131" s="45">
        <v>63706</v>
      </c>
      <c r="L131" s="48"/>
      <c r="M131" s="45">
        <v>375093</v>
      </c>
      <c r="N131" s="48"/>
      <c r="O131" s="45">
        <v>30108</v>
      </c>
      <c r="P131" s="48"/>
      <c r="Q131" s="45">
        <v>0</v>
      </c>
      <c r="R131" s="48"/>
      <c r="S131" s="45">
        <v>346668</v>
      </c>
      <c r="T131" s="48"/>
      <c r="U131" s="45">
        <v>0</v>
      </c>
      <c r="V131" s="48"/>
      <c r="W131" s="48"/>
      <c r="X131" s="35"/>
      <c r="Z131" s="35"/>
      <c r="AA131" s="35"/>
      <c r="AB131" s="45">
        <v>201822</v>
      </c>
      <c r="AC131" s="65"/>
      <c r="AD131" s="45">
        <v>18401</v>
      </c>
      <c r="AE131" s="65"/>
      <c r="AF131" s="45">
        <v>0</v>
      </c>
      <c r="AG131" s="65"/>
      <c r="AH131" s="48">
        <f t="shared" si="3"/>
        <v>4207388</v>
      </c>
      <c r="AI131" s="48"/>
      <c r="AJ131" s="48">
        <v>0</v>
      </c>
      <c r="AK131" s="48"/>
      <c r="AL131" s="45">
        <v>61015</v>
      </c>
      <c r="AM131" s="45"/>
      <c r="AN131" s="45">
        <v>2326335</v>
      </c>
      <c r="AO131" s="45"/>
      <c r="AP131" s="45">
        <v>0</v>
      </c>
      <c r="AQ131" s="45"/>
      <c r="AR131" s="45">
        <f>+'GVFund Rev'!U132+'GVFund Rev'!W132-'GVFund Exp'!AH131-'GVFund Exp'!AL131+AJ131+AN131+AP131-'GV Fund BS'!S132</f>
        <v>0</v>
      </c>
      <c r="AS131" s="48"/>
    </row>
    <row r="132" spans="1:46" s="44" customFormat="1" ht="12.75" customHeight="1">
      <c r="A132" s="35" t="s">
        <v>158</v>
      </c>
      <c r="C132" s="35" t="s">
        <v>159</v>
      </c>
      <c r="E132" s="45">
        <v>2728701</v>
      </c>
      <c r="F132" s="48"/>
      <c r="G132" s="45">
        <f>3675949+3312107+871716</f>
        <v>7859772</v>
      </c>
      <c r="H132" s="48"/>
      <c r="I132" s="45">
        <v>2895717</v>
      </c>
      <c r="J132" s="48"/>
      <c r="K132" s="45">
        <v>357142</v>
      </c>
      <c r="L132" s="48"/>
      <c r="M132" s="45">
        <v>1188364</v>
      </c>
      <c r="N132" s="48"/>
      <c r="O132" s="45">
        <v>228893</v>
      </c>
      <c r="P132" s="48"/>
      <c r="Q132" s="45">
        <v>0</v>
      </c>
      <c r="R132" s="48"/>
      <c r="S132" s="45">
        <v>45986</v>
      </c>
      <c r="T132" s="48"/>
      <c r="U132" s="45">
        <v>0</v>
      </c>
      <c r="V132" s="48"/>
      <c r="W132" s="48"/>
      <c r="X132" s="35"/>
      <c r="Z132" s="35"/>
      <c r="AA132" s="35"/>
      <c r="AB132" s="45">
        <v>13480000</v>
      </c>
      <c r="AC132" s="65"/>
      <c r="AD132" s="45">
        <v>742369</v>
      </c>
      <c r="AE132" s="65"/>
      <c r="AF132" s="45">
        <v>0</v>
      </c>
      <c r="AG132" s="65"/>
      <c r="AH132" s="48">
        <f t="shared" si="3"/>
        <v>29526944</v>
      </c>
      <c r="AI132" s="48"/>
      <c r="AJ132" s="48">
        <v>0</v>
      </c>
      <c r="AK132" s="48"/>
      <c r="AL132" s="45">
        <v>1851529</v>
      </c>
      <c r="AM132" s="45"/>
      <c r="AN132" s="45">
        <v>7145769</v>
      </c>
      <c r="AO132" s="45"/>
      <c r="AP132" s="45">
        <v>0</v>
      </c>
      <c r="AQ132" s="45"/>
      <c r="AR132" s="45">
        <f>+'GVFund Rev'!U133+'GVFund Rev'!W133-'GVFund Exp'!AH132-'GVFund Exp'!AL132+AJ132+AN132+AP132-'GV Fund BS'!S133</f>
        <v>0</v>
      </c>
      <c r="AS132" s="48"/>
    </row>
    <row r="133" spans="1:46" s="46" customFormat="1" ht="12.75" customHeight="1">
      <c r="A133" s="64" t="s">
        <v>160</v>
      </c>
      <c r="C133" s="64" t="s">
        <v>111</v>
      </c>
      <c r="E133" s="48">
        <v>7718852</v>
      </c>
      <c r="F133" s="48"/>
      <c r="G133" s="48">
        <v>11054466</v>
      </c>
      <c r="H133" s="48"/>
      <c r="I133" s="48">
        <v>2010136</v>
      </c>
      <c r="J133" s="48"/>
      <c r="K133" s="48">
        <v>0</v>
      </c>
      <c r="L133" s="48"/>
      <c r="M133" s="48">
        <v>2753102</v>
      </c>
      <c r="N133" s="48"/>
      <c r="O133" s="48">
        <v>1787595</v>
      </c>
      <c r="P133" s="48"/>
      <c r="Q133" s="48">
        <v>224627</v>
      </c>
      <c r="R133" s="48"/>
      <c r="S133" s="48">
        <v>9280897</v>
      </c>
      <c r="T133" s="48"/>
      <c r="U133" s="48">
        <v>0</v>
      </c>
      <c r="V133" s="48"/>
      <c r="W133" s="48"/>
      <c r="X133" s="35"/>
      <c r="Y133" s="44"/>
      <c r="Z133" s="35"/>
      <c r="AA133" s="35"/>
      <c r="AB133" s="48">
        <v>1240000</v>
      </c>
      <c r="AC133" s="65"/>
      <c r="AD133" s="48">
        <v>1434655</v>
      </c>
      <c r="AE133" s="65"/>
      <c r="AF133" s="44">
        <v>122165</v>
      </c>
      <c r="AG133" s="65"/>
      <c r="AH133" s="48">
        <f t="shared" ref="AH133" si="4">SUM(E133:AF133)</f>
        <v>37626495</v>
      </c>
      <c r="AI133" s="48"/>
      <c r="AJ133" s="48">
        <v>0</v>
      </c>
      <c r="AK133" s="48"/>
      <c r="AL133" s="45">
        <f>1550000+20217446+3372367</f>
        <v>25139813</v>
      </c>
      <c r="AM133" s="45"/>
      <c r="AN133" s="45">
        <v>34743173</v>
      </c>
      <c r="AO133" s="45"/>
      <c r="AP133" s="45">
        <v>-147762</v>
      </c>
      <c r="AQ133" s="45"/>
      <c r="AR133" s="45">
        <f>+'GVFund Rev'!U134+'GVFund Rev'!W134-'GVFund Exp'!AH133-'GVFund Exp'!AL133+AJ133+AN133+AP133-'GV Fund BS'!S134</f>
        <v>0</v>
      </c>
      <c r="AS133" s="68"/>
    </row>
    <row r="134" spans="1:46" s="44" customFormat="1" ht="12.75" customHeight="1">
      <c r="A134" s="35" t="s">
        <v>161</v>
      </c>
      <c r="C134" s="35" t="s">
        <v>15</v>
      </c>
      <c r="E134" s="45">
        <v>6545222</v>
      </c>
      <c r="F134" s="48"/>
      <c r="G134" s="45">
        <v>9503545</v>
      </c>
      <c r="H134" s="48"/>
      <c r="I134" s="45">
        <f>1879529+134308</f>
        <v>2013837</v>
      </c>
      <c r="J134" s="48"/>
      <c r="K134" s="45">
        <v>588941</v>
      </c>
      <c r="L134" s="48"/>
      <c r="M134" s="45">
        <v>2779938</v>
      </c>
      <c r="N134" s="48"/>
      <c r="O134" s="45">
        <v>2263649</v>
      </c>
      <c r="P134" s="48"/>
      <c r="Q134" s="45">
        <v>18660</v>
      </c>
      <c r="R134" s="48"/>
      <c r="S134" s="45">
        <v>836448</v>
      </c>
      <c r="T134" s="48"/>
      <c r="U134" s="45">
        <v>0</v>
      </c>
      <c r="V134" s="48"/>
      <c r="W134" s="48"/>
      <c r="X134" s="35"/>
      <c r="Z134" s="35"/>
      <c r="AA134" s="35"/>
      <c r="AB134" s="45">
        <v>937514</v>
      </c>
      <c r="AC134" s="65"/>
      <c r="AD134" s="45">
        <v>1350046</v>
      </c>
      <c r="AE134" s="65"/>
      <c r="AF134" s="45">
        <v>0</v>
      </c>
      <c r="AG134" s="65"/>
      <c r="AH134" s="48">
        <f t="shared" ref="AH134:AH194" si="5">SUM(E134:AF134)</f>
        <v>26837800</v>
      </c>
      <c r="AI134" s="48"/>
      <c r="AJ134" s="48">
        <v>0</v>
      </c>
      <c r="AK134" s="48"/>
      <c r="AL134" s="45">
        <v>1766811</v>
      </c>
      <c r="AM134" s="45"/>
      <c r="AN134" s="45">
        <v>7521874</v>
      </c>
      <c r="AO134" s="45"/>
      <c r="AP134" s="45">
        <v>0</v>
      </c>
      <c r="AQ134" s="45"/>
      <c r="AR134" s="45">
        <f>+'GVFund Rev'!U135+'GVFund Rev'!W135-'GVFund Exp'!AH134-'GVFund Exp'!AL134+AJ134+AN134+AP134-'GV Fund BS'!S135</f>
        <v>0</v>
      </c>
      <c r="AS134" s="48"/>
    </row>
    <row r="135" spans="1:46" s="44" customFormat="1" ht="12.75" customHeight="1">
      <c r="A135" s="35"/>
      <c r="C135" s="35"/>
      <c r="E135" s="45"/>
      <c r="F135" s="48"/>
      <c r="G135" s="45"/>
      <c r="H135" s="48"/>
      <c r="I135" s="45"/>
      <c r="J135" s="48"/>
      <c r="K135" s="45"/>
      <c r="L135" s="48"/>
      <c r="M135" s="45"/>
      <c r="N135" s="48"/>
      <c r="O135" s="45"/>
      <c r="P135" s="48"/>
      <c r="Q135" s="45"/>
      <c r="R135" s="48"/>
      <c r="S135" s="45"/>
      <c r="T135" s="48"/>
      <c r="U135" s="45"/>
      <c r="V135" s="48"/>
      <c r="W135" s="48"/>
      <c r="X135" s="35"/>
      <c r="Z135" s="35"/>
      <c r="AA135" s="35"/>
      <c r="AB135" s="45"/>
      <c r="AC135" s="65"/>
      <c r="AD135" s="45"/>
      <c r="AE135" s="65"/>
      <c r="AF135" s="45"/>
      <c r="AG135" s="65"/>
      <c r="AH135" s="48"/>
      <c r="AI135" s="48"/>
      <c r="AJ135" s="48"/>
      <c r="AK135" s="48"/>
      <c r="AL135" s="48" t="s">
        <v>484</v>
      </c>
      <c r="AM135" s="45"/>
      <c r="AN135" s="45"/>
      <c r="AO135" s="45"/>
      <c r="AP135" s="45"/>
      <c r="AQ135" s="45"/>
      <c r="AR135" s="45"/>
      <c r="AS135" s="48"/>
    </row>
    <row r="136" spans="1:46" s="46" customFormat="1" ht="12.75" customHeight="1">
      <c r="A136" s="64" t="s">
        <v>162</v>
      </c>
      <c r="C136" s="64" t="s">
        <v>163</v>
      </c>
      <c r="E136" s="94">
        <v>4175633</v>
      </c>
      <c r="F136" s="68"/>
      <c r="G136" s="94">
        <v>10151772</v>
      </c>
      <c r="H136" s="68"/>
      <c r="I136" s="94">
        <v>1781946</v>
      </c>
      <c r="J136" s="68"/>
      <c r="K136" s="94">
        <v>186856</v>
      </c>
      <c r="L136" s="68"/>
      <c r="M136" s="94">
        <v>2942107</v>
      </c>
      <c r="N136" s="68"/>
      <c r="O136" s="94">
        <v>1804745</v>
      </c>
      <c r="P136" s="68"/>
      <c r="Q136" s="94">
        <v>1006156</v>
      </c>
      <c r="R136" s="68"/>
      <c r="S136" s="94">
        <v>1290490</v>
      </c>
      <c r="T136" s="68"/>
      <c r="U136" s="94">
        <v>0</v>
      </c>
      <c r="V136" s="68"/>
      <c r="W136" s="68"/>
      <c r="X136" s="64"/>
      <c r="Z136" s="64"/>
      <c r="AA136" s="64"/>
      <c r="AB136" s="94">
        <v>1047097</v>
      </c>
      <c r="AC136" s="66"/>
      <c r="AD136" s="94">
        <v>962954</v>
      </c>
      <c r="AE136" s="66"/>
      <c r="AF136" s="94">
        <v>0</v>
      </c>
      <c r="AG136" s="66"/>
      <c r="AH136" s="68">
        <f t="shared" si="5"/>
        <v>25349756</v>
      </c>
      <c r="AI136" s="68"/>
      <c r="AJ136" s="68">
        <v>0</v>
      </c>
      <c r="AK136" s="68"/>
      <c r="AL136" s="94">
        <v>14418047</v>
      </c>
      <c r="AM136" s="94"/>
      <c r="AN136" s="94">
        <v>30636317</v>
      </c>
      <c r="AO136" s="94"/>
      <c r="AP136" s="94">
        <v>22684</v>
      </c>
      <c r="AQ136" s="94"/>
      <c r="AR136" s="94">
        <f>+'GVFund Rev'!U136+'GVFund Rev'!W136-'GVFund Exp'!AH136-'GVFund Exp'!AL136+AJ136+AN136+AP136-'GV Fund BS'!S136</f>
        <v>0</v>
      </c>
      <c r="AS136" s="68"/>
    </row>
    <row r="137" spans="1:46" s="44" customFormat="1" ht="12.75" customHeight="1">
      <c r="A137" s="35" t="s">
        <v>164</v>
      </c>
      <c r="C137" s="35" t="s">
        <v>27</v>
      </c>
      <c r="E137" s="45">
        <v>2365964</v>
      </c>
      <c r="F137" s="48"/>
      <c r="G137" s="45">
        <v>11284297</v>
      </c>
      <c r="H137" s="48"/>
      <c r="I137" s="45">
        <v>1023320</v>
      </c>
      <c r="J137" s="48"/>
      <c r="K137" s="45">
        <v>342901</v>
      </c>
      <c r="L137" s="48"/>
      <c r="M137" s="45">
        <v>4117465</v>
      </c>
      <c r="N137" s="48"/>
      <c r="O137" s="45">
        <v>1810369</v>
      </c>
      <c r="P137" s="48"/>
      <c r="Q137" s="45">
        <v>898540</v>
      </c>
      <c r="R137" s="48"/>
      <c r="S137" s="45">
        <v>0</v>
      </c>
      <c r="T137" s="48"/>
      <c r="U137" s="45">
        <v>0</v>
      </c>
      <c r="V137" s="48"/>
      <c r="W137" s="48"/>
      <c r="X137" s="35"/>
      <c r="Z137" s="35"/>
      <c r="AA137" s="35"/>
      <c r="AB137" s="45">
        <v>4540250</v>
      </c>
      <c r="AC137" s="65"/>
      <c r="AD137" s="45">
        <v>56250</v>
      </c>
      <c r="AE137" s="65"/>
      <c r="AF137" s="45">
        <v>0</v>
      </c>
      <c r="AG137" s="65"/>
      <c r="AH137" s="48">
        <f t="shared" si="5"/>
        <v>26439356</v>
      </c>
      <c r="AI137" s="48"/>
      <c r="AJ137" s="48">
        <v>0</v>
      </c>
      <c r="AK137" s="48"/>
      <c r="AL137" s="45">
        <v>1677500</v>
      </c>
      <c r="AM137" s="45"/>
      <c r="AN137" s="45">
        <v>19670307</v>
      </c>
      <c r="AO137" s="45"/>
      <c r="AP137" s="45">
        <v>20416</v>
      </c>
      <c r="AQ137" s="45"/>
      <c r="AR137" s="45">
        <f>+'GVFund Rev'!U137+'GVFund Rev'!W137-'GVFund Exp'!AH137-'GVFund Exp'!AL137+AJ137+AN137+AP137-'GV Fund BS'!S137</f>
        <v>0</v>
      </c>
      <c r="AS137" s="48"/>
    </row>
    <row r="138" spans="1:46" s="44" customFormat="1" ht="12.75" customHeight="1">
      <c r="A138" s="35" t="s">
        <v>53</v>
      </c>
      <c r="C138" s="35" t="s">
        <v>53</v>
      </c>
      <c r="E138" s="45">
        <v>6975042</v>
      </c>
      <c r="F138" s="48"/>
      <c r="G138" s="45">
        <v>7301385</v>
      </c>
      <c r="H138" s="48"/>
      <c r="I138" s="45">
        <v>991046</v>
      </c>
      <c r="J138" s="48"/>
      <c r="K138" s="45">
        <v>194841</v>
      </c>
      <c r="L138" s="48"/>
      <c r="M138" s="45">
        <v>4078509</v>
      </c>
      <c r="N138" s="48"/>
      <c r="O138" s="45">
        <v>940836</v>
      </c>
      <c r="P138" s="48"/>
      <c r="Q138" s="45">
        <v>70207</v>
      </c>
      <c r="R138" s="48"/>
      <c r="S138" s="45">
        <v>19400</v>
      </c>
      <c r="T138" s="48"/>
      <c r="U138" s="45">
        <v>0</v>
      </c>
      <c r="V138" s="48"/>
      <c r="W138" s="48"/>
      <c r="X138" s="35"/>
      <c r="Z138" s="35"/>
      <c r="AA138" s="35"/>
      <c r="AB138" s="45">
        <v>967832</v>
      </c>
      <c r="AC138" s="65"/>
      <c r="AD138" s="45">
        <v>85664</v>
      </c>
      <c r="AE138" s="65"/>
      <c r="AF138" s="45">
        <v>145000</v>
      </c>
      <c r="AG138" s="65"/>
      <c r="AH138" s="48">
        <f t="shared" si="5"/>
        <v>21769762</v>
      </c>
      <c r="AI138" s="48"/>
      <c r="AJ138" s="48">
        <v>0</v>
      </c>
      <c r="AK138" s="48"/>
      <c r="AL138" s="45">
        <v>0</v>
      </c>
      <c r="AM138" s="45"/>
      <c r="AN138" s="45">
        <v>31742423</v>
      </c>
      <c r="AO138" s="45"/>
      <c r="AP138" s="45">
        <v>0</v>
      </c>
      <c r="AQ138" s="45"/>
      <c r="AR138" s="45">
        <f>+'GVFund Rev'!U138+'GVFund Rev'!W138-'GVFund Exp'!AH138-'GVFund Exp'!AL138+AJ138+AN138+AP138-'GV Fund BS'!S138</f>
        <v>0</v>
      </c>
      <c r="AS138" s="48"/>
    </row>
    <row r="139" spans="1:46" s="44" customFormat="1" ht="12.75" customHeight="1">
      <c r="A139" s="35" t="s">
        <v>165</v>
      </c>
      <c r="C139" s="35" t="s">
        <v>92</v>
      </c>
      <c r="E139" s="45">
        <v>7045850</v>
      </c>
      <c r="F139" s="48"/>
      <c r="G139" s="45">
        <f>12076194+11329917</f>
        <v>23406111</v>
      </c>
      <c r="H139" s="48"/>
      <c r="I139" s="45">
        <v>1946043</v>
      </c>
      <c r="J139" s="48"/>
      <c r="K139" s="45">
        <v>0</v>
      </c>
      <c r="L139" s="48"/>
      <c r="M139" s="45">
        <v>14580839</v>
      </c>
      <c r="N139" s="48"/>
      <c r="O139" s="45">
        <v>6813566</v>
      </c>
      <c r="P139" s="48"/>
      <c r="Q139" s="45">
        <v>2214863</v>
      </c>
      <c r="R139" s="48"/>
      <c r="S139" s="45">
        <v>2201521</v>
      </c>
      <c r="T139" s="48"/>
      <c r="U139" s="45">
        <v>0</v>
      </c>
      <c r="V139" s="48"/>
      <c r="W139" s="48"/>
      <c r="X139" s="35"/>
      <c r="Z139" s="35"/>
      <c r="AA139" s="35"/>
      <c r="AB139" s="45">
        <v>2549781</v>
      </c>
      <c r="AC139" s="65"/>
      <c r="AD139" s="45">
        <v>1495005</v>
      </c>
      <c r="AE139" s="65"/>
      <c r="AF139" s="45">
        <v>0</v>
      </c>
      <c r="AG139" s="65"/>
      <c r="AH139" s="48">
        <f t="shared" si="5"/>
        <v>62253579</v>
      </c>
      <c r="AI139" s="48"/>
      <c r="AJ139" s="48">
        <v>0</v>
      </c>
      <c r="AK139" s="48"/>
      <c r="AL139" s="45">
        <v>711190</v>
      </c>
      <c r="AM139" s="45"/>
      <c r="AN139" s="45">
        <v>25276839</v>
      </c>
      <c r="AO139" s="45"/>
      <c r="AP139" s="45">
        <v>36866</v>
      </c>
      <c r="AQ139" s="45"/>
      <c r="AR139" s="45">
        <f>+'GVFund Rev'!U139+'GVFund Rev'!W139-'GVFund Exp'!AH139-'GVFund Exp'!AL139+AJ139+AN139+AP139-'GV Fund BS'!S139</f>
        <v>0</v>
      </c>
      <c r="AS139" s="48"/>
    </row>
    <row r="140" spans="1:46" s="44" customFormat="1" ht="12.75" customHeight="1">
      <c r="A140" s="35" t="s">
        <v>166</v>
      </c>
      <c r="C140" s="35" t="s">
        <v>92</v>
      </c>
      <c r="E140" s="45">
        <v>692130</v>
      </c>
      <c r="F140" s="48"/>
      <c r="G140" s="45">
        <v>2374189</v>
      </c>
      <c r="H140" s="48"/>
      <c r="I140" s="45">
        <v>0</v>
      </c>
      <c r="J140" s="48"/>
      <c r="K140" s="45">
        <v>65189</v>
      </c>
      <c r="L140" s="48"/>
      <c r="M140" s="45">
        <v>539518</v>
      </c>
      <c r="N140" s="48"/>
      <c r="O140" s="45">
        <v>40827</v>
      </c>
      <c r="P140" s="48"/>
      <c r="Q140" s="45">
        <v>292798</v>
      </c>
      <c r="R140" s="48"/>
      <c r="S140" s="45">
        <v>104553</v>
      </c>
      <c r="T140" s="48"/>
      <c r="U140" s="45">
        <v>0</v>
      </c>
      <c r="V140" s="48"/>
      <c r="W140" s="48"/>
      <c r="X140" s="35"/>
      <c r="Z140" s="35"/>
      <c r="AA140" s="35"/>
      <c r="AB140" s="45">
        <v>43464</v>
      </c>
      <c r="AC140" s="65"/>
      <c r="AD140" s="45">
        <v>18523</v>
      </c>
      <c r="AE140" s="65"/>
      <c r="AF140" s="45">
        <v>11943</v>
      </c>
      <c r="AG140" s="65"/>
      <c r="AH140" s="48">
        <f t="shared" si="5"/>
        <v>4183134</v>
      </c>
      <c r="AI140" s="48"/>
      <c r="AJ140" s="48">
        <v>0</v>
      </c>
      <c r="AK140" s="48"/>
      <c r="AL140" s="45">
        <v>409119</v>
      </c>
      <c r="AM140" s="45"/>
      <c r="AN140" s="45">
        <v>1581039</v>
      </c>
      <c r="AO140" s="45"/>
      <c r="AP140" s="45">
        <v>0</v>
      </c>
      <c r="AQ140" s="45"/>
      <c r="AR140" s="45">
        <f>+'GVFund Rev'!U140+'GVFund Rev'!W140-'GVFund Exp'!AH140-'GVFund Exp'!AL140+AJ140+AN140+AP140-'GV Fund BS'!S140</f>
        <v>0</v>
      </c>
      <c r="AS140" s="48"/>
    </row>
    <row r="141" spans="1:46" s="44" customFormat="1" ht="12.75" customHeight="1">
      <c r="A141" s="35" t="s">
        <v>167</v>
      </c>
      <c r="C141" s="35" t="s">
        <v>66</v>
      </c>
      <c r="E141" s="45">
        <v>4216315</v>
      </c>
      <c r="F141" s="48"/>
      <c r="G141" s="45">
        <v>8726762</v>
      </c>
      <c r="H141" s="48"/>
      <c r="I141" s="45">
        <v>906064</v>
      </c>
      <c r="J141" s="48"/>
      <c r="K141" s="45">
        <v>9322</v>
      </c>
      <c r="L141" s="48"/>
      <c r="M141" s="45">
        <v>1093654</v>
      </c>
      <c r="N141" s="48"/>
      <c r="O141" s="45">
        <v>2153280</v>
      </c>
      <c r="P141" s="48"/>
      <c r="Q141" s="45">
        <v>894392</v>
      </c>
      <c r="R141" s="48"/>
      <c r="S141" s="45">
        <v>1757670</v>
      </c>
      <c r="T141" s="48"/>
      <c r="U141" s="45">
        <v>0</v>
      </c>
      <c r="V141" s="48"/>
      <c r="W141" s="48"/>
      <c r="X141" s="35"/>
      <c r="Z141" s="35"/>
      <c r="AA141" s="35"/>
      <c r="AB141" s="45">
        <v>450498</v>
      </c>
      <c r="AC141" s="65"/>
      <c r="AD141" s="45">
        <v>255626</v>
      </c>
      <c r="AE141" s="65"/>
      <c r="AF141" s="45">
        <v>232123</v>
      </c>
      <c r="AG141" s="65"/>
      <c r="AH141" s="48">
        <f t="shared" si="5"/>
        <v>20695706</v>
      </c>
      <c r="AI141" s="48"/>
      <c r="AJ141" s="48">
        <v>0</v>
      </c>
      <c r="AK141" s="48"/>
      <c r="AL141" s="45">
        <v>993244</v>
      </c>
      <c r="AM141" s="45"/>
      <c r="AN141" s="45">
        <v>8442570</v>
      </c>
      <c r="AO141" s="45"/>
      <c r="AP141" s="45">
        <v>0</v>
      </c>
      <c r="AQ141" s="45"/>
      <c r="AR141" s="45">
        <f>+'GVFund Rev'!U141+'GVFund Rev'!W141-'GVFund Exp'!AH141-'GVFund Exp'!AL141+AJ141+AN141+AP141-'GV Fund BS'!S141</f>
        <v>0</v>
      </c>
      <c r="AS141" s="48"/>
    </row>
    <row r="142" spans="1:46" s="44" customFormat="1" ht="12.75" customHeight="1">
      <c r="A142" s="44" t="s">
        <v>168</v>
      </c>
      <c r="C142" s="44" t="s">
        <v>27</v>
      </c>
      <c r="E142" s="45">
        <v>6771287</v>
      </c>
      <c r="F142" s="48"/>
      <c r="G142" s="45">
        <f>5025129+3649261+62191</f>
        <v>8736581</v>
      </c>
      <c r="H142" s="48"/>
      <c r="I142" s="45">
        <f>544812+321510</f>
        <v>866322</v>
      </c>
      <c r="J142" s="48"/>
      <c r="K142" s="45">
        <v>362515</v>
      </c>
      <c r="L142" s="48"/>
      <c r="M142" s="45">
        <v>1758271</v>
      </c>
      <c r="N142" s="48"/>
      <c r="O142" s="45">
        <v>2844270</v>
      </c>
      <c r="P142" s="48"/>
      <c r="Q142" s="45">
        <v>933094</v>
      </c>
      <c r="R142" s="48"/>
      <c r="S142" s="45">
        <v>2131384</v>
      </c>
      <c r="T142" s="48"/>
      <c r="U142" s="45">
        <v>0</v>
      </c>
      <c r="V142" s="48"/>
      <c r="W142" s="48"/>
      <c r="X142" s="35"/>
      <c r="Z142" s="35"/>
      <c r="AA142" s="35"/>
      <c r="AB142" s="45">
        <v>1973229</v>
      </c>
      <c r="AC142" s="65"/>
      <c r="AD142" s="45">
        <v>477982</v>
      </c>
      <c r="AE142" s="65"/>
      <c r="AF142" s="45">
        <v>0</v>
      </c>
      <c r="AG142" s="65"/>
      <c r="AH142" s="48">
        <f t="shared" si="5"/>
        <v>26854935</v>
      </c>
      <c r="AI142" s="48"/>
      <c r="AJ142" s="48">
        <v>0</v>
      </c>
      <c r="AK142" s="48"/>
      <c r="AL142" s="45">
        <v>2118585</v>
      </c>
      <c r="AM142" s="45"/>
      <c r="AN142" s="45">
        <v>9005389</v>
      </c>
      <c r="AO142" s="45"/>
      <c r="AP142" s="45">
        <v>0</v>
      </c>
      <c r="AQ142" s="45"/>
      <c r="AR142" s="45">
        <f>+'GVFund Rev'!U142+'GVFund Rev'!W142-'GVFund Exp'!AH142-'GVFund Exp'!AL142+AJ142+AN142+AP142-'GV Fund BS'!S142</f>
        <v>0</v>
      </c>
      <c r="AS142" s="48"/>
    </row>
    <row r="143" spans="1:46" s="44" customFormat="1" ht="12.75" customHeight="1">
      <c r="A143" s="35" t="s">
        <v>169</v>
      </c>
      <c r="C143" s="35" t="s">
        <v>103</v>
      </c>
      <c r="E143" s="45">
        <v>4322676</v>
      </c>
      <c r="F143" s="48"/>
      <c r="G143" s="45">
        <v>23933161</v>
      </c>
      <c r="H143" s="48"/>
      <c r="I143" s="45">
        <v>16422210</v>
      </c>
      <c r="J143" s="48"/>
      <c r="K143" s="45">
        <v>898669</v>
      </c>
      <c r="L143" s="48"/>
      <c r="M143" s="45">
        <v>6222630</v>
      </c>
      <c r="N143" s="48"/>
      <c r="O143" s="45">
        <v>856404</v>
      </c>
      <c r="P143" s="48"/>
      <c r="Q143" s="45">
        <v>1724929</v>
      </c>
      <c r="R143" s="48"/>
      <c r="S143" s="45">
        <v>0</v>
      </c>
      <c r="T143" s="48"/>
      <c r="U143" s="45">
        <v>0</v>
      </c>
      <c r="V143" s="48"/>
      <c r="W143" s="48"/>
      <c r="X143" s="35"/>
      <c r="Z143" s="35"/>
      <c r="AA143" s="35"/>
      <c r="AB143" s="45">
        <v>2128939</v>
      </c>
      <c r="AC143" s="65"/>
      <c r="AD143" s="45">
        <v>1381403</v>
      </c>
      <c r="AE143" s="65"/>
      <c r="AF143" s="45">
        <v>0</v>
      </c>
      <c r="AG143" s="65"/>
      <c r="AH143" s="48">
        <f t="shared" si="5"/>
        <v>57891021</v>
      </c>
      <c r="AI143" s="48"/>
      <c r="AJ143" s="48">
        <v>0</v>
      </c>
      <c r="AK143" s="48"/>
      <c r="AL143" s="45">
        <v>198000</v>
      </c>
      <c r="AM143" s="45"/>
      <c r="AN143" s="45">
        <v>24780989</v>
      </c>
      <c r="AO143" s="45"/>
      <c r="AP143" s="45">
        <v>0</v>
      </c>
      <c r="AQ143" s="45"/>
      <c r="AR143" s="45">
        <f>+'GVFund Rev'!U143+'GVFund Rev'!W143-'GVFund Exp'!AH143-'GVFund Exp'!AL143+AJ143+AN143+AP143-'GV Fund BS'!S143</f>
        <v>0</v>
      </c>
      <c r="AS143" s="48"/>
    </row>
    <row r="144" spans="1:46" s="44" customFormat="1" ht="12.75" customHeight="1">
      <c r="A144" s="35" t="s">
        <v>170</v>
      </c>
      <c r="C144" s="35" t="s">
        <v>171</v>
      </c>
      <c r="E144" s="45">
        <v>1363392</v>
      </c>
      <c r="F144" s="48"/>
      <c r="G144" s="45">
        <v>3447391</v>
      </c>
      <c r="H144" s="48"/>
      <c r="I144" s="45">
        <v>0</v>
      </c>
      <c r="J144" s="48"/>
      <c r="K144" s="45">
        <v>500704</v>
      </c>
      <c r="L144" s="48"/>
      <c r="M144" s="45">
        <v>763547</v>
      </c>
      <c r="N144" s="48"/>
      <c r="O144" s="45">
        <v>78178</v>
      </c>
      <c r="P144" s="48"/>
      <c r="Q144" s="45">
        <v>0</v>
      </c>
      <c r="R144" s="48"/>
      <c r="S144" s="45">
        <v>168463</v>
      </c>
      <c r="T144" s="48"/>
      <c r="U144" s="45">
        <v>50000</v>
      </c>
      <c r="V144" s="48"/>
      <c r="W144" s="48"/>
      <c r="X144" s="35"/>
      <c r="Z144" s="35"/>
      <c r="AA144" s="35"/>
      <c r="AB144" s="45">
        <v>265000</v>
      </c>
      <c r="AC144" s="65"/>
      <c r="AD144" s="45">
        <v>176475</v>
      </c>
      <c r="AE144" s="65"/>
      <c r="AF144" s="45">
        <v>0</v>
      </c>
      <c r="AG144" s="65"/>
      <c r="AH144" s="48">
        <f t="shared" si="5"/>
        <v>6813150</v>
      </c>
      <c r="AI144" s="48"/>
      <c r="AJ144" s="48">
        <v>0</v>
      </c>
      <c r="AK144" s="48"/>
      <c r="AL144" s="45">
        <v>291864</v>
      </c>
      <c r="AM144" s="45"/>
      <c r="AN144" s="45">
        <v>6202082</v>
      </c>
      <c r="AO144" s="45"/>
      <c r="AP144" s="45">
        <v>0</v>
      </c>
      <c r="AQ144" s="45"/>
      <c r="AR144" s="45">
        <f>+'GVFund Rev'!U144+'GVFund Rev'!W144-'GVFund Exp'!AH144-'GVFund Exp'!AL144+AJ144+AN144+AP144-'GV Fund BS'!S144</f>
        <v>0</v>
      </c>
      <c r="AS144" s="48"/>
    </row>
    <row r="145" spans="1:45" s="44" customFormat="1" ht="12.75" customHeight="1">
      <c r="A145" s="35" t="s">
        <v>172</v>
      </c>
      <c r="C145" s="35" t="s">
        <v>103</v>
      </c>
      <c r="E145" s="45">
        <v>1964892</v>
      </c>
      <c r="F145" s="48"/>
      <c r="G145" s="45">
        <v>6881493</v>
      </c>
      <c r="H145" s="48"/>
      <c r="I145" s="45">
        <v>0</v>
      </c>
      <c r="J145" s="48"/>
      <c r="K145" s="45">
        <v>237599</v>
      </c>
      <c r="L145" s="48"/>
      <c r="M145" s="45">
        <v>1188487</v>
      </c>
      <c r="N145" s="48"/>
      <c r="O145" s="45">
        <v>261285</v>
      </c>
      <c r="P145" s="48"/>
      <c r="Q145" s="45">
        <v>0</v>
      </c>
      <c r="R145" s="48"/>
      <c r="S145" s="45">
        <v>1928489</v>
      </c>
      <c r="T145" s="48"/>
      <c r="U145" s="45">
        <v>1835317</v>
      </c>
      <c r="V145" s="48"/>
      <c r="W145" s="48"/>
      <c r="X145" s="35"/>
      <c r="Z145" s="35"/>
      <c r="AA145" s="35"/>
      <c r="AB145" s="45">
        <v>786979</v>
      </c>
      <c r="AC145" s="65"/>
      <c r="AD145" s="45">
        <v>598974</v>
      </c>
      <c r="AE145" s="65"/>
      <c r="AF145" s="45">
        <v>0</v>
      </c>
      <c r="AG145" s="65"/>
      <c r="AH145" s="48">
        <f t="shared" si="5"/>
        <v>15683515</v>
      </c>
      <c r="AI145" s="48"/>
      <c r="AJ145" s="48">
        <v>0</v>
      </c>
      <c r="AK145" s="48"/>
      <c r="AL145" s="45">
        <v>6595376</v>
      </c>
      <c r="AM145" s="45"/>
      <c r="AN145" s="45">
        <v>2619563</v>
      </c>
      <c r="AO145" s="45"/>
      <c r="AP145" s="45">
        <v>0</v>
      </c>
      <c r="AQ145" s="45"/>
      <c r="AR145" s="45">
        <f>+'GVFund Rev'!U145+'GVFund Rev'!W145-'GVFund Exp'!AH145-'GVFund Exp'!AL145+AJ145+AN145+AP145-'GV Fund BS'!S145</f>
        <v>0</v>
      </c>
      <c r="AS145" s="48"/>
    </row>
    <row r="146" spans="1:45" s="44" customFormat="1" ht="12.75" customHeight="1">
      <c r="A146" s="35" t="s">
        <v>66</v>
      </c>
      <c r="C146" s="35" t="s">
        <v>45</v>
      </c>
      <c r="E146" s="45">
        <v>3797300</v>
      </c>
      <c r="F146" s="48"/>
      <c r="G146" s="45">
        <v>5124108</v>
      </c>
      <c r="H146" s="48"/>
      <c r="I146" s="45">
        <v>338006</v>
      </c>
      <c r="J146" s="48"/>
      <c r="K146" s="45">
        <v>13668</v>
      </c>
      <c r="L146" s="48"/>
      <c r="M146" s="45">
        <v>1573712</v>
      </c>
      <c r="N146" s="48"/>
      <c r="O146" s="45">
        <v>1180610</v>
      </c>
      <c r="P146" s="48"/>
      <c r="Q146" s="45">
        <v>0</v>
      </c>
      <c r="R146" s="48"/>
      <c r="S146" s="45">
        <v>2269630</v>
      </c>
      <c r="T146" s="48"/>
      <c r="U146" s="45">
        <v>0</v>
      </c>
      <c r="V146" s="48"/>
      <c r="W146" s="48"/>
      <c r="X146" s="35"/>
      <c r="Z146" s="35"/>
      <c r="AA146" s="35"/>
      <c r="AB146" s="45">
        <v>614883</v>
      </c>
      <c r="AC146" s="65"/>
      <c r="AD146" s="45">
        <v>162428</v>
      </c>
      <c r="AE146" s="65"/>
      <c r="AF146" s="45">
        <v>0</v>
      </c>
      <c r="AG146" s="65"/>
      <c r="AH146" s="48">
        <f t="shared" si="5"/>
        <v>15074345</v>
      </c>
      <c r="AI146" s="48"/>
      <c r="AJ146" s="48">
        <v>0</v>
      </c>
      <c r="AK146" s="48"/>
      <c r="AL146" s="45">
        <v>1579614</v>
      </c>
      <c r="AM146" s="45"/>
      <c r="AN146" s="45">
        <v>26686997</v>
      </c>
      <c r="AO146" s="45"/>
      <c r="AP146" s="45">
        <v>0</v>
      </c>
      <c r="AQ146" s="45"/>
      <c r="AR146" s="45">
        <f>+'GVFund Rev'!U146+'GVFund Rev'!W146-'GVFund Exp'!AH146-'GVFund Exp'!AL146+AJ146+AN146+AP146-'GV Fund BS'!S146</f>
        <v>0</v>
      </c>
      <c r="AS146" s="48"/>
    </row>
    <row r="147" spans="1:45" s="44" customFormat="1" ht="12.75" customHeight="1">
      <c r="A147" s="35" t="s">
        <v>173</v>
      </c>
      <c r="C147" s="35" t="s">
        <v>66</v>
      </c>
      <c r="E147" s="45">
        <v>3867810</v>
      </c>
      <c r="F147" s="48"/>
      <c r="G147" s="45">
        <v>8310584</v>
      </c>
      <c r="H147" s="48"/>
      <c r="I147" s="45">
        <v>299120</v>
      </c>
      <c r="J147" s="48"/>
      <c r="K147" s="45">
        <v>76564</v>
      </c>
      <c r="L147" s="48"/>
      <c r="M147" s="45">
        <v>2318580</v>
      </c>
      <c r="N147" s="48"/>
      <c r="O147" s="45">
        <v>999561</v>
      </c>
      <c r="P147" s="48"/>
      <c r="Q147" s="45">
        <v>345969</v>
      </c>
      <c r="R147" s="48"/>
      <c r="S147" s="45">
        <f>1664043+48283</f>
        <v>1712326</v>
      </c>
      <c r="T147" s="48"/>
      <c r="U147" s="45">
        <v>0</v>
      </c>
      <c r="V147" s="48"/>
      <c r="W147" s="48"/>
      <c r="X147" s="35"/>
      <c r="Z147" s="35"/>
      <c r="AA147" s="35"/>
      <c r="AB147" s="45">
        <v>5474948</v>
      </c>
      <c r="AC147" s="65"/>
      <c r="AD147" s="45">
        <v>66501</v>
      </c>
      <c r="AE147" s="65"/>
      <c r="AF147" s="45">
        <v>182313</v>
      </c>
      <c r="AG147" s="65"/>
      <c r="AH147" s="48">
        <f t="shared" si="5"/>
        <v>23654276</v>
      </c>
      <c r="AI147" s="48"/>
      <c r="AJ147" s="48">
        <v>0</v>
      </c>
      <c r="AK147" s="48"/>
      <c r="AL147" s="45">
        <v>2805000</v>
      </c>
      <c r="AM147" s="45"/>
      <c r="AN147" s="45">
        <v>18012984</v>
      </c>
      <c r="AO147" s="45"/>
      <c r="AP147" s="45">
        <v>0</v>
      </c>
      <c r="AQ147" s="45"/>
      <c r="AR147" s="45">
        <f>+'GVFund Rev'!U147+'GVFund Rev'!W147-'GVFund Exp'!AH147-'GVFund Exp'!AL147+AJ147+AN147+AP147-'GV Fund BS'!S147</f>
        <v>0</v>
      </c>
      <c r="AS147" s="48"/>
    </row>
    <row r="148" spans="1:45" s="46" customFormat="1" ht="12.75" customHeight="1">
      <c r="A148" s="35" t="s">
        <v>174</v>
      </c>
      <c r="B148" s="44"/>
      <c r="C148" s="35" t="s">
        <v>45</v>
      </c>
      <c r="D148" s="44"/>
      <c r="E148" s="45">
        <v>603255</v>
      </c>
      <c r="F148" s="48"/>
      <c r="G148" s="45">
        <v>1955789</v>
      </c>
      <c r="H148" s="48"/>
      <c r="I148" s="45">
        <v>88011</v>
      </c>
      <c r="J148" s="48"/>
      <c r="K148" s="45">
        <v>0</v>
      </c>
      <c r="L148" s="48"/>
      <c r="M148" s="45">
        <v>389081</v>
      </c>
      <c r="N148" s="48"/>
      <c r="O148" s="45">
        <v>150802</v>
      </c>
      <c r="P148" s="48"/>
      <c r="Q148" s="45">
        <v>476773</v>
      </c>
      <c r="R148" s="48"/>
      <c r="S148" s="45">
        <v>1231128</v>
      </c>
      <c r="T148" s="48"/>
      <c r="U148" s="45">
        <v>0</v>
      </c>
      <c r="V148" s="48"/>
      <c r="W148" s="48"/>
      <c r="X148" s="35"/>
      <c r="Y148" s="44"/>
      <c r="Z148" s="35"/>
      <c r="AA148" s="35"/>
      <c r="AB148" s="45">
        <v>118024</v>
      </c>
      <c r="AC148" s="65"/>
      <c r="AD148" s="45">
        <v>91333</v>
      </c>
      <c r="AE148" s="65"/>
      <c r="AF148" s="45">
        <v>0</v>
      </c>
      <c r="AG148" s="65"/>
      <c r="AH148" s="48">
        <f t="shared" si="5"/>
        <v>5104196</v>
      </c>
      <c r="AI148" s="48"/>
      <c r="AJ148" s="48">
        <v>0</v>
      </c>
      <c r="AK148" s="48"/>
      <c r="AL148" s="45">
        <f>308623+411467</f>
        <v>720090</v>
      </c>
      <c r="AM148" s="45"/>
      <c r="AN148" s="45">
        <v>111003</v>
      </c>
      <c r="AO148" s="45"/>
      <c r="AP148" s="45">
        <v>0</v>
      </c>
      <c r="AQ148" s="45"/>
      <c r="AR148" s="45">
        <f>+'GVFund Rev'!U148+'GVFund Rev'!W148-'GVFund Exp'!AH148-'GVFund Exp'!AL148+AJ148+AN148+AP148-'GV Fund BS'!S148</f>
        <v>0</v>
      </c>
      <c r="AS148" s="48"/>
    </row>
    <row r="149" spans="1:45" s="44" customFormat="1" ht="12.75" customHeight="1">
      <c r="A149" s="35" t="s">
        <v>175</v>
      </c>
      <c r="C149" s="35" t="s">
        <v>176</v>
      </c>
      <c r="E149" s="45">
        <v>5443844</v>
      </c>
      <c r="F149" s="48"/>
      <c r="G149" s="45">
        <v>5584614</v>
      </c>
      <c r="H149" s="48"/>
      <c r="I149" s="45">
        <v>1560761</v>
      </c>
      <c r="J149" s="48"/>
      <c r="K149" s="45">
        <v>677715</v>
      </c>
      <c r="L149" s="48"/>
      <c r="M149" s="45">
        <v>3675011</v>
      </c>
      <c r="N149" s="48"/>
      <c r="O149" s="45">
        <v>728146</v>
      </c>
      <c r="P149" s="48"/>
      <c r="Q149" s="45">
        <v>0</v>
      </c>
      <c r="R149" s="48"/>
      <c r="S149" s="45">
        <v>0</v>
      </c>
      <c r="T149" s="48"/>
      <c r="U149" s="45">
        <v>0</v>
      </c>
      <c r="V149" s="48"/>
      <c r="W149" s="48"/>
      <c r="X149" s="35"/>
      <c r="Z149" s="35"/>
      <c r="AA149" s="35"/>
      <c r="AB149" s="45">
        <v>422401</v>
      </c>
      <c r="AC149" s="65"/>
      <c r="AD149" s="45">
        <v>339425</v>
      </c>
      <c r="AE149" s="65"/>
      <c r="AF149" s="45">
        <v>0</v>
      </c>
      <c r="AG149" s="65"/>
      <c r="AH149" s="48">
        <f t="shared" si="5"/>
        <v>18431917</v>
      </c>
      <c r="AI149" s="48"/>
      <c r="AJ149" s="48">
        <v>0</v>
      </c>
      <c r="AK149" s="48"/>
      <c r="AL149" s="45">
        <v>827126</v>
      </c>
      <c r="AM149" s="45"/>
      <c r="AN149" s="45">
        <v>10600254</v>
      </c>
      <c r="AO149" s="45"/>
      <c r="AP149" s="45">
        <v>11398</v>
      </c>
      <c r="AQ149" s="45"/>
      <c r="AR149" s="45">
        <f>+'GVFund Rev'!U149+'GVFund Rev'!W149-'GVFund Exp'!AH149-'GVFund Exp'!AL149+AJ149+AN149+AP149-'GV Fund BS'!S149</f>
        <v>0</v>
      </c>
      <c r="AS149" s="48"/>
    </row>
    <row r="150" spans="1:45" s="44" customFormat="1" ht="12.75" customHeight="1">
      <c r="A150" s="35" t="s">
        <v>177</v>
      </c>
      <c r="C150" s="35" t="s">
        <v>13</v>
      </c>
      <c r="E150" s="45">
        <v>697259</v>
      </c>
      <c r="F150" s="48"/>
      <c r="G150" s="45">
        <v>1471811</v>
      </c>
      <c r="H150" s="48"/>
      <c r="I150" s="45">
        <v>0</v>
      </c>
      <c r="J150" s="48"/>
      <c r="K150" s="45">
        <v>39749</v>
      </c>
      <c r="L150" s="48"/>
      <c r="M150" s="45">
        <v>367828</v>
      </c>
      <c r="N150" s="48"/>
      <c r="O150" s="45">
        <v>42900</v>
      </c>
      <c r="P150" s="48"/>
      <c r="Q150" s="45">
        <v>0</v>
      </c>
      <c r="R150" s="48"/>
      <c r="S150" s="45">
        <v>526937</v>
      </c>
      <c r="T150" s="48"/>
      <c r="U150" s="45">
        <v>0</v>
      </c>
      <c r="V150" s="48"/>
      <c r="W150" s="48"/>
      <c r="X150" s="35"/>
      <c r="Z150" s="35"/>
      <c r="AA150" s="35"/>
      <c r="AB150" s="45">
        <v>317109</v>
      </c>
      <c r="AC150" s="65"/>
      <c r="AD150" s="45">
        <v>43452</v>
      </c>
      <c r="AE150" s="65"/>
      <c r="AF150" s="45">
        <v>0</v>
      </c>
      <c r="AG150" s="65"/>
      <c r="AH150" s="48">
        <f t="shared" si="5"/>
        <v>3507045</v>
      </c>
      <c r="AI150" s="48"/>
      <c r="AJ150" s="48">
        <v>0</v>
      </c>
      <c r="AK150" s="48"/>
      <c r="AL150" s="45">
        <v>34447</v>
      </c>
      <c r="AM150" s="45"/>
      <c r="AN150" s="45">
        <v>3679714</v>
      </c>
      <c r="AO150" s="45"/>
      <c r="AP150" s="45">
        <v>0</v>
      </c>
      <c r="AQ150" s="45"/>
      <c r="AR150" s="45">
        <f>+'GVFund Rev'!U150+'GVFund Rev'!W150-'GVFund Exp'!AH150-'GVFund Exp'!AL150+AJ150+AN150+AP150-'GV Fund BS'!S150</f>
        <v>0</v>
      </c>
      <c r="AS150" s="48"/>
    </row>
    <row r="151" spans="1:45" s="44" customFormat="1" ht="12.75" customHeight="1">
      <c r="A151" s="35" t="s">
        <v>178</v>
      </c>
      <c r="C151" s="35" t="s">
        <v>179</v>
      </c>
      <c r="E151" s="45">
        <v>995519</v>
      </c>
      <c r="F151" s="48"/>
      <c r="G151" s="45">
        <v>2940171</v>
      </c>
      <c r="H151" s="48"/>
      <c r="I151" s="45">
        <v>508348</v>
      </c>
      <c r="J151" s="48"/>
      <c r="K151" s="45">
        <v>100971</v>
      </c>
      <c r="L151" s="48"/>
      <c r="M151" s="45">
        <v>579940</v>
      </c>
      <c r="N151" s="48"/>
      <c r="O151" s="45">
        <v>819118</v>
      </c>
      <c r="P151" s="48"/>
      <c r="Q151" s="45">
        <v>0</v>
      </c>
      <c r="R151" s="48"/>
      <c r="S151" s="45">
        <v>873383</v>
      </c>
      <c r="T151" s="48"/>
      <c r="U151" s="45">
        <v>0</v>
      </c>
      <c r="V151" s="48"/>
      <c r="W151" s="48"/>
      <c r="X151" s="35"/>
      <c r="Z151" s="35"/>
      <c r="AA151" s="35"/>
      <c r="AB151" s="45">
        <v>112551</v>
      </c>
      <c r="AC151" s="65"/>
      <c r="AD151" s="45">
        <v>85064</v>
      </c>
      <c r="AE151" s="65"/>
      <c r="AF151" s="45">
        <v>0</v>
      </c>
      <c r="AG151" s="65"/>
      <c r="AH151" s="48">
        <f t="shared" si="5"/>
        <v>7015065</v>
      </c>
      <c r="AI151" s="48"/>
      <c r="AJ151" s="48">
        <v>0</v>
      </c>
      <c r="AK151" s="48"/>
      <c r="AL151" s="45">
        <v>2170069</v>
      </c>
      <c r="AM151" s="45"/>
      <c r="AN151" s="45">
        <v>4869531</v>
      </c>
      <c r="AO151" s="45"/>
      <c r="AP151" s="45">
        <v>-13167</v>
      </c>
      <c r="AQ151" s="45"/>
      <c r="AR151" s="45">
        <f>+'GVFund Rev'!U151+'GVFund Rev'!W151-'GVFund Exp'!AH151-'GVFund Exp'!AL151+AJ151+AN151+AP151-'GV Fund BS'!S151</f>
        <v>0</v>
      </c>
      <c r="AS151" s="48"/>
    </row>
    <row r="152" spans="1:45" s="44" customFormat="1" ht="12.75" customHeight="1">
      <c r="A152" s="35" t="s">
        <v>180</v>
      </c>
      <c r="C152" s="35" t="s">
        <v>20</v>
      </c>
      <c r="E152" s="45">
        <v>711729</v>
      </c>
      <c r="F152" s="48"/>
      <c r="G152" s="45">
        <f>823716+337597</f>
        <v>1161313</v>
      </c>
      <c r="H152" s="48"/>
      <c r="I152" s="45">
        <v>94166</v>
      </c>
      <c r="J152" s="48"/>
      <c r="K152" s="45">
        <v>0</v>
      </c>
      <c r="L152" s="48"/>
      <c r="M152" s="45">
        <v>470323</v>
      </c>
      <c r="N152" s="48"/>
      <c r="O152" s="45">
        <v>192214</v>
      </c>
      <c r="P152" s="48"/>
      <c r="Q152" s="45">
        <v>0</v>
      </c>
      <c r="R152" s="48"/>
      <c r="S152" s="45">
        <v>213463</v>
      </c>
      <c r="T152" s="48"/>
      <c r="U152" s="45">
        <v>0</v>
      </c>
      <c r="V152" s="48"/>
      <c r="W152" s="48"/>
      <c r="X152" s="35"/>
      <c r="Z152" s="35"/>
      <c r="AA152" s="35"/>
      <c r="AB152" s="45">
        <v>127879</v>
      </c>
      <c r="AC152" s="65"/>
      <c r="AD152" s="45">
        <v>35935</v>
      </c>
      <c r="AE152" s="65"/>
      <c r="AF152" s="45">
        <v>125000</v>
      </c>
      <c r="AG152" s="65"/>
      <c r="AH152" s="48">
        <f t="shared" si="5"/>
        <v>3132022</v>
      </c>
      <c r="AI152" s="48"/>
      <c r="AJ152" s="48">
        <v>0</v>
      </c>
      <c r="AK152" s="48"/>
      <c r="AL152" s="45">
        <f>250000+40000</f>
        <v>290000</v>
      </c>
      <c r="AM152" s="45"/>
      <c r="AN152" s="45">
        <v>3412976</v>
      </c>
      <c r="AO152" s="45"/>
      <c r="AP152" s="45">
        <v>0</v>
      </c>
      <c r="AQ152" s="45"/>
      <c r="AR152" s="45">
        <f>+'GVFund Rev'!U152+'GVFund Rev'!W152-'GVFund Exp'!AH152-'GVFund Exp'!AL152+AJ152+AN152+AP152-'GV Fund BS'!S152</f>
        <v>0</v>
      </c>
      <c r="AS152" s="48"/>
    </row>
    <row r="153" spans="1:45" s="44" customFormat="1" ht="12.75" customHeight="1">
      <c r="A153" s="35" t="s">
        <v>182</v>
      </c>
      <c r="C153" s="35" t="s">
        <v>183</v>
      </c>
      <c r="E153" s="45">
        <v>653396</v>
      </c>
      <c r="F153" s="48"/>
      <c r="G153" s="45">
        <v>572410</v>
      </c>
      <c r="H153" s="48"/>
      <c r="I153" s="45">
        <v>42408</v>
      </c>
      <c r="J153" s="48"/>
      <c r="K153" s="45">
        <v>715655</v>
      </c>
      <c r="L153" s="48"/>
      <c r="M153" s="45">
        <v>283156</v>
      </c>
      <c r="N153" s="48"/>
      <c r="O153" s="45">
        <v>60710</v>
      </c>
      <c r="P153" s="48"/>
      <c r="Q153" s="45">
        <v>0</v>
      </c>
      <c r="R153" s="48"/>
      <c r="S153" s="45">
        <v>362421</v>
      </c>
      <c r="T153" s="48"/>
      <c r="U153" s="45">
        <v>0</v>
      </c>
      <c r="V153" s="48"/>
      <c r="W153" s="48"/>
      <c r="X153" s="35"/>
      <c r="Z153" s="35"/>
      <c r="AA153" s="35"/>
      <c r="AB153" s="45">
        <v>138292</v>
      </c>
      <c r="AC153" s="65"/>
      <c r="AD153" s="45">
        <v>188353</v>
      </c>
      <c r="AE153" s="65"/>
      <c r="AF153" s="45">
        <v>0</v>
      </c>
      <c r="AG153" s="65"/>
      <c r="AH153" s="48">
        <f t="shared" si="5"/>
        <v>3016801</v>
      </c>
      <c r="AI153" s="48"/>
      <c r="AJ153" s="48">
        <v>0</v>
      </c>
      <c r="AK153" s="48"/>
      <c r="AL153" s="45">
        <v>200483</v>
      </c>
      <c r="AM153" s="45"/>
      <c r="AN153" s="45">
        <v>588154</v>
      </c>
      <c r="AO153" s="45"/>
      <c r="AP153" s="45">
        <v>0</v>
      </c>
      <c r="AQ153" s="45"/>
      <c r="AR153" s="45">
        <f>+'GVFund Rev'!U153+'GVFund Rev'!W153-'GVFund Exp'!AH153-'GVFund Exp'!AL153+AJ153+AN153+AP153-'GV Fund BS'!S153</f>
        <v>0</v>
      </c>
      <c r="AS153" s="48"/>
    </row>
    <row r="154" spans="1:45" s="44" customFormat="1" ht="12.75" customHeight="1">
      <c r="A154" s="64" t="s">
        <v>487</v>
      </c>
      <c r="B154" s="46"/>
      <c r="C154" s="64" t="s">
        <v>13</v>
      </c>
      <c r="D154" s="46"/>
      <c r="E154" s="45">
        <v>1330282</v>
      </c>
      <c r="F154" s="48"/>
      <c r="G154" s="45">
        <v>3974322</v>
      </c>
      <c r="H154" s="48"/>
      <c r="I154" s="45">
        <v>128194</v>
      </c>
      <c r="J154" s="48"/>
      <c r="K154" s="45">
        <v>127998</v>
      </c>
      <c r="L154" s="48"/>
      <c r="M154" s="45">
        <v>1148235</v>
      </c>
      <c r="N154" s="48"/>
      <c r="O154" s="45">
        <v>48850</v>
      </c>
      <c r="P154" s="48"/>
      <c r="Q154" s="45">
        <v>0</v>
      </c>
      <c r="R154" s="48"/>
      <c r="S154" s="45">
        <v>431390</v>
      </c>
      <c r="T154" s="48"/>
      <c r="U154" s="45">
        <v>0</v>
      </c>
      <c r="V154" s="48"/>
      <c r="W154" s="48"/>
      <c r="X154" s="35"/>
      <c r="Z154" s="35"/>
      <c r="AA154" s="35"/>
      <c r="AB154" s="45">
        <v>26041</v>
      </c>
      <c r="AC154" s="65"/>
      <c r="AD154" s="45">
        <v>5073</v>
      </c>
      <c r="AE154" s="65"/>
      <c r="AF154" s="45">
        <v>0</v>
      </c>
      <c r="AG154" s="65"/>
      <c r="AH154" s="48">
        <f t="shared" si="5"/>
        <v>7220385</v>
      </c>
      <c r="AI154" s="48"/>
      <c r="AJ154" s="48">
        <v>0</v>
      </c>
      <c r="AK154" s="48"/>
      <c r="AL154" s="45">
        <v>50000</v>
      </c>
      <c r="AM154" s="45"/>
      <c r="AN154" s="45">
        <v>3972144</v>
      </c>
      <c r="AO154" s="45"/>
      <c r="AP154" s="45">
        <v>0</v>
      </c>
      <c r="AQ154" s="45"/>
      <c r="AR154" s="45">
        <f>+'GVFund Rev'!U154+'GVFund Rev'!W154-'GVFund Exp'!AH154-'GVFund Exp'!AL154+AJ154+AN154+AP154-'GV Fund BS'!S154</f>
        <v>0</v>
      </c>
      <c r="AS154" s="48"/>
    </row>
    <row r="155" spans="1:45" s="44" customFormat="1" ht="12.75" customHeight="1">
      <c r="A155" s="64" t="s">
        <v>184</v>
      </c>
      <c r="B155" s="46"/>
      <c r="C155" s="64" t="s">
        <v>89</v>
      </c>
      <c r="D155" s="46"/>
      <c r="E155" s="45">
        <v>3284543</v>
      </c>
      <c r="F155" s="48"/>
      <c r="G155" s="45">
        <v>4466846</v>
      </c>
      <c r="H155" s="48"/>
      <c r="I155" s="45">
        <v>195346</v>
      </c>
      <c r="J155" s="48"/>
      <c r="K155" s="45">
        <v>603020</v>
      </c>
      <c r="L155" s="48"/>
      <c r="M155" s="45">
        <v>1357515</v>
      </c>
      <c r="N155" s="48"/>
      <c r="O155" s="45">
        <v>701872</v>
      </c>
      <c r="P155" s="48"/>
      <c r="Q155" s="45">
        <v>0</v>
      </c>
      <c r="R155" s="48"/>
      <c r="S155" s="45">
        <v>2019872</v>
      </c>
      <c r="T155" s="48"/>
      <c r="U155" s="45">
        <v>0</v>
      </c>
      <c r="V155" s="48"/>
      <c r="W155" s="48"/>
      <c r="X155" s="35"/>
      <c r="Z155" s="35"/>
      <c r="AA155" s="35"/>
      <c r="AB155" s="45">
        <v>155750</v>
      </c>
      <c r="AC155" s="65"/>
      <c r="AD155" s="45">
        <v>95183</v>
      </c>
      <c r="AE155" s="65"/>
      <c r="AF155" s="45">
        <v>0</v>
      </c>
      <c r="AG155" s="65"/>
      <c r="AH155" s="48">
        <f t="shared" si="5"/>
        <v>12879947</v>
      </c>
      <c r="AI155" s="48"/>
      <c r="AJ155" s="48">
        <v>0</v>
      </c>
      <c r="AK155" s="48"/>
      <c r="AL155" s="45">
        <v>166978</v>
      </c>
      <c r="AM155" s="45"/>
      <c r="AN155" s="45">
        <v>6531051</v>
      </c>
      <c r="AO155" s="45"/>
      <c r="AP155" s="45">
        <v>0</v>
      </c>
      <c r="AQ155" s="45"/>
      <c r="AR155" s="45">
        <f>+'GVFund Rev'!U155+'GVFund Rev'!W155-'GVFund Exp'!AH155-'GVFund Exp'!AL155+AJ155+AN155+AP155-'GV Fund BS'!S155</f>
        <v>0</v>
      </c>
      <c r="AS155" s="48"/>
    </row>
    <row r="156" spans="1:45" s="44" customFormat="1" ht="12.75" customHeight="1">
      <c r="A156" s="35" t="s">
        <v>181</v>
      </c>
      <c r="C156" s="35" t="s">
        <v>125</v>
      </c>
      <c r="E156" s="45">
        <v>10349934</v>
      </c>
      <c r="F156" s="48"/>
      <c r="G156" s="45">
        <v>18207565</v>
      </c>
      <c r="H156" s="48"/>
      <c r="I156" s="45">
        <v>2549523</v>
      </c>
      <c r="J156" s="48"/>
      <c r="K156" s="45">
        <v>140923</v>
      </c>
      <c r="L156" s="48"/>
      <c r="M156" s="45">
        <v>3936324</v>
      </c>
      <c r="N156" s="48"/>
      <c r="O156" s="45">
        <v>0</v>
      </c>
      <c r="P156" s="48"/>
      <c r="Q156" s="45">
        <v>0</v>
      </c>
      <c r="R156" s="48"/>
      <c r="S156" s="45">
        <v>2460005</v>
      </c>
      <c r="T156" s="48"/>
      <c r="U156" s="45">
        <v>0</v>
      </c>
      <c r="V156" s="48"/>
      <c r="W156" s="48"/>
      <c r="X156" s="35"/>
      <c r="Z156" s="35"/>
      <c r="AA156" s="35"/>
      <c r="AB156" s="45">
        <v>550000</v>
      </c>
      <c r="AC156" s="65"/>
      <c r="AD156" s="45">
        <v>722471</v>
      </c>
      <c r="AE156" s="65"/>
      <c r="AF156" s="45">
        <v>0</v>
      </c>
      <c r="AG156" s="65"/>
      <c r="AH156" s="48">
        <f t="shared" si="5"/>
        <v>38916745</v>
      </c>
      <c r="AI156" s="48"/>
      <c r="AJ156" s="48">
        <v>0</v>
      </c>
      <c r="AK156" s="48"/>
      <c r="AL156" s="45">
        <v>18793050</v>
      </c>
      <c r="AM156" s="45"/>
      <c r="AN156" s="45">
        <v>8165055</v>
      </c>
      <c r="AO156" s="45"/>
      <c r="AP156" s="45">
        <v>83099</v>
      </c>
      <c r="AQ156" s="45"/>
      <c r="AR156" s="45">
        <f>+'GVFund Rev'!U156+'GVFund Rev'!W156-'GVFund Exp'!AH156-'GVFund Exp'!AL156+AJ156+AN156+AP156-'GV Fund BS'!S156</f>
        <v>0</v>
      </c>
      <c r="AS156" s="48"/>
    </row>
    <row r="157" spans="1:45" s="44" customFormat="1" ht="12.75" customHeight="1">
      <c r="A157" s="35" t="s">
        <v>185</v>
      </c>
      <c r="C157" s="35" t="s">
        <v>80</v>
      </c>
      <c r="E157" s="45">
        <v>2065694</v>
      </c>
      <c r="F157" s="48"/>
      <c r="G157" s="45">
        <v>8269848</v>
      </c>
      <c r="H157" s="48"/>
      <c r="I157" s="45">
        <v>676400</v>
      </c>
      <c r="J157" s="48"/>
      <c r="K157" s="45">
        <v>572408</v>
      </c>
      <c r="L157" s="48"/>
      <c r="M157" s="45">
        <v>1599081</v>
      </c>
      <c r="N157" s="48"/>
      <c r="O157" s="45">
        <v>505170</v>
      </c>
      <c r="P157" s="48"/>
      <c r="Q157" s="45">
        <v>159946</v>
      </c>
      <c r="R157" s="48"/>
      <c r="S157" s="45">
        <v>2064925</v>
      </c>
      <c r="T157" s="48"/>
      <c r="U157" s="45">
        <v>0</v>
      </c>
      <c r="V157" s="48"/>
      <c r="W157" s="48"/>
      <c r="X157" s="35"/>
      <c r="Z157" s="35"/>
      <c r="AA157" s="35"/>
      <c r="AB157" s="45">
        <v>10873</v>
      </c>
      <c r="AC157" s="65"/>
      <c r="AD157" s="45">
        <v>73868</v>
      </c>
      <c r="AE157" s="65"/>
      <c r="AF157" s="45">
        <v>0</v>
      </c>
      <c r="AG157" s="65"/>
      <c r="AH157" s="48">
        <f t="shared" si="5"/>
        <v>15998213</v>
      </c>
      <c r="AI157" s="48"/>
      <c r="AJ157" s="48">
        <v>0</v>
      </c>
      <c r="AK157" s="48"/>
      <c r="AL157" s="45">
        <v>5132914</v>
      </c>
      <c r="AM157" s="45"/>
      <c r="AN157" s="45">
        <v>13829727</v>
      </c>
      <c r="AO157" s="45"/>
      <c r="AP157" s="45">
        <v>0</v>
      </c>
      <c r="AQ157" s="45"/>
      <c r="AR157" s="45">
        <f>+'GVFund Rev'!U157+'GVFund Rev'!W157-'GVFund Exp'!AH157-'GVFund Exp'!AL157+AJ157+AN157+AP157-'GV Fund BS'!S157</f>
        <v>0</v>
      </c>
      <c r="AS157" s="48"/>
    </row>
    <row r="158" spans="1:45" s="44" customFormat="1" ht="12.75" customHeight="1">
      <c r="A158" s="35" t="s">
        <v>186</v>
      </c>
      <c r="C158" s="35" t="s">
        <v>15</v>
      </c>
      <c r="E158" s="45">
        <v>1841185</v>
      </c>
      <c r="F158" s="48"/>
      <c r="G158" s="45">
        <f>3283034+577900</f>
        <v>3860934</v>
      </c>
      <c r="H158" s="48"/>
      <c r="I158" s="45">
        <f>463094+207434</f>
        <v>670528</v>
      </c>
      <c r="J158" s="48"/>
      <c r="K158" s="45">
        <v>1474212</v>
      </c>
      <c r="L158" s="48"/>
      <c r="M158" s="45">
        <v>1494494</v>
      </c>
      <c r="N158" s="48"/>
      <c r="O158" s="45">
        <v>781696</v>
      </c>
      <c r="P158" s="48"/>
      <c r="Q158" s="45">
        <v>432980</v>
      </c>
      <c r="R158" s="48"/>
      <c r="S158" s="45">
        <v>1134967</v>
      </c>
      <c r="T158" s="48"/>
      <c r="U158" s="45">
        <v>0</v>
      </c>
      <c r="V158" s="48"/>
      <c r="W158" s="48"/>
      <c r="X158" s="35"/>
      <c r="Z158" s="35"/>
      <c r="AA158" s="35"/>
      <c r="AB158" s="45">
        <v>282274</v>
      </c>
      <c r="AC158" s="65"/>
      <c r="AD158" s="45">
        <v>20403</v>
      </c>
      <c r="AE158" s="65"/>
      <c r="AF158" s="45">
        <v>0</v>
      </c>
      <c r="AG158" s="65"/>
      <c r="AH158" s="48">
        <f t="shared" si="5"/>
        <v>11993673</v>
      </c>
      <c r="AI158" s="48"/>
      <c r="AJ158" s="48">
        <v>0</v>
      </c>
      <c r="AK158" s="48"/>
      <c r="AL158" s="45">
        <v>1928035</v>
      </c>
      <c r="AM158" s="45"/>
      <c r="AN158" s="45">
        <v>4132368</v>
      </c>
      <c r="AO158" s="45"/>
      <c r="AP158" s="45">
        <v>0</v>
      </c>
      <c r="AQ158" s="45"/>
      <c r="AR158" s="45">
        <f>+'GVFund Rev'!U158+'GVFund Rev'!W158-'GVFund Exp'!AH158-'GVFund Exp'!AL158+AJ158+AN158+AP158-'GV Fund BS'!S158</f>
        <v>0</v>
      </c>
      <c r="AS158" s="48"/>
    </row>
    <row r="159" spans="1:45" s="44" customFormat="1" ht="12.75" customHeight="1">
      <c r="A159" s="35" t="s">
        <v>187</v>
      </c>
      <c r="C159" s="35" t="s">
        <v>27</v>
      </c>
      <c r="E159" s="45">
        <v>3457202</v>
      </c>
      <c r="F159" s="48"/>
      <c r="G159" s="45">
        <v>11947782</v>
      </c>
      <c r="H159" s="48"/>
      <c r="I159" s="45">
        <v>556467</v>
      </c>
      <c r="J159" s="48"/>
      <c r="K159" s="45">
        <v>477740</v>
      </c>
      <c r="L159" s="48"/>
      <c r="M159" s="45">
        <v>4422054</v>
      </c>
      <c r="N159" s="48"/>
      <c r="O159" s="45">
        <v>2343545</v>
      </c>
      <c r="P159" s="48"/>
      <c r="Q159" s="45">
        <v>2246112</v>
      </c>
      <c r="R159" s="48"/>
      <c r="S159" s="45">
        <v>122399</v>
      </c>
      <c r="T159" s="48"/>
      <c r="U159" s="45">
        <v>0</v>
      </c>
      <c r="V159" s="48"/>
      <c r="W159" s="48"/>
      <c r="X159" s="35"/>
      <c r="Z159" s="35"/>
      <c r="AA159" s="35"/>
      <c r="AB159" s="45">
        <v>7588715</v>
      </c>
      <c r="AC159" s="65"/>
      <c r="AD159" s="45">
        <v>1606408</v>
      </c>
      <c r="AE159" s="65"/>
      <c r="AF159" s="45">
        <v>109394</v>
      </c>
      <c r="AG159" s="65"/>
      <c r="AH159" s="48">
        <f t="shared" si="5"/>
        <v>34877818</v>
      </c>
      <c r="AI159" s="48"/>
      <c r="AJ159" s="48">
        <v>0</v>
      </c>
      <c r="AK159" s="48"/>
      <c r="AL159" s="45">
        <v>1936569</v>
      </c>
      <c r="AM159" s="45"/>
      <c r="AN159" s="45">
        <v>14293630</v>
      </c>
      <c r="AO159" s="45"/>
      <c r="AP159" s="45">
        <v>0</v>
      </c>
      <c r="AQ159" s="45"/>
      <c r="AR159" s="45">
        <f>+'GVFund Rev'!U159+'GVFund Rev'!W159-'GVFund Exp'!AH159-'GVFund Exp'!AL159+AJ159+AN159+AP159-'GV Fund BS'!S159</f>
        <v>0</v>
      </c>
      <c r="AS159" s="48"/>
    </row>
    <row r="160" spans="1:45" s="44" customFormat="1" ht="12.75" customHeight="1">
      <c r="A160" s="44" t="s">
        <v>189</v>
      </c>
      <c r="C160" s="44" t="s">
        <v>17</v>
      </c>
      <c r="E160" s="45">
        <v>6438189</v>
      </c>
      <c r="F160" s="48"/>
      <c r="G160" s="45">
        <v>10335970</v>
      </c>
      <c r="H160" s="48"/>
      <c r="I160" s="45">
        <v>1465810</v>
      </c>
      <c r="J160" s="48"/>
      <c r="K160" s="45">
        <v>430594</v>
      </c>
      <c r="L160" s="48"/>
      <c r="M160" s="45">
        <v>3015750</v>
      </c>
      <c r="N160" s="48"/>
      <c r="O160" s="45">
        <v>392533</v>
      </c>
      <c r="P160" s="48"/>
      <c r="Q160" s="45">
        <v>0</v>
      </c>
      <c r="R160" s="48"/>
      <c r="S160" s="45">
        <v>1255751</v>
      </c>
      <c r="T160" s="48"/>
      <c r="U160" s="45">
        <v>0</v>
      </c>
      <c r="V160" s="48"/>
      <c r="W160" s="48"/>
      <c r="X160" s="35"/>
      <c r="Z160" s="35"/>
      <c r="AA160" s="35"/>
      <c r="AB160" s="45">
        <v>3357177</v>
      </c>
      <c r="AC160" s="65"/>
      <c r="AD160" s="45">
        <v>304569</v>
      </c>
      <c r="AE160" s="65"/>
      <c r="AF160" s="45">
        <v>3315</v>
      </c>
      <c r="AG160" s="65"/>
      <c r="AH160" s="48">
        <f t="shared" si="5"/>
        <v>26999658</v>
      </c>
      <c r="AI160" s="48"/>
      <c r="AJ160" s="48">
        <v>0</v>
      </c>
      <c r="AK160" s="48"/>
      <c r="AL160" s="45">
        <v>6650000</v>
      </c>
      <c r="AM160" s="45"/>
      <c r="AN160" s="45">
        <v>8004868</v>
      </c>
      <c r="AO160" s="45"/>
      <c r="AP160" s="45">
        <v>0</v>
      </c>
      <c r="AQ160" s="45"/>
      <c r="AR160" s="45">
        <f>+'GVFund Rev'!U160+'GVFund Rev'!W160-'GVFund Exp'!AH160-'GVFund Exp'!AL160+AJ160+AN160+AP160-'GV Fund BS'!S160</f>
        <v>0</v>
      </c>
      <c r="AS160" s="48"/>
    </row>
    <row r="161" spans="1:45" s="44" customFormat="1" ht="12.75" customHeight="1">
      <c r="A161" s="64" t="s">
        <v>188</v>
      </c>
      <c r="B161" s="46"/>
      <c r="C161" s="64" t="s">
        <v>27</v>
      </c>
      <c r="D161" s="46"/>
      <c r="E161" s="45">
        <v>2998618</v>
      </c>
      <c r="F161" s="48"/>
      <c r="G161" s="45">
        <v>11502663</v>
      </c>
      <c r="H161" s="48"/>
      <c r="I161" s="45">
        <v>681444</v>
      </c>
      <c r="J161" s="48"/>
      <c r="K161" s="45">
        <v>380727</v>
      </c>
      <c r="L161" s="48"/>
      <c r="M161" s="45">
        <v>2105815</v>
      </c>
      <c r="N161" s="48"/>
      <c r="O161" s="45">
        <v>710094</v>
      </c>
      <c r="P161" s="48"/>
      <c r="Q161" s="45">
        <v>2144840</v>
      </c>
      <c r="R161" s="48"/>
      <c r="S161" s="45">
        <v>3525484</v>
      </c>
      <c r="T161" s="48"/>
      <c r="U161" s="45">
        <v>0</v>
      </c>
      <c r="V161" s="48"/>
      <c r="W161" s="48"/>
      <c r="X161" s="35"/>
      <c r="Z161" s="35"/>
      <c r="AA161" s="35"/>
      <c r="AB161" s="45">
        <v>6373486</v>
      </c>
      <c r="AC161" s="65"/>
      <c r="AD161" s="45">
        <v>635621</v>
      </c>
      <c r="AE161" s="65"/>
      <c r="AF161" s="45">
        <v>0</v>
      </c>
      <c r="AG161" s="65"/>
      <c r="AH161" s="48">
        <f t="shared" si="5"/>
        <v>31058792</v>
      </c>
      <c r="AI161" s="48"/>
      <c r="AJ161" s="48">
        <v>0</v>
      </c>
      <c r="AK161" s="48"/>
      <c r="AL161" s="45">
        <v>4503230</v>
      </c>
      <c r="AM161" s="45"/>
      <c r="AN161" s="45">
        <v>15312512</v>
      </c>
      <c r="AO161" s="45"/>
      <c r="AP161" s="45">
        <v>0</v>
      </c>
      <c r="AQ161" s="45"/>
      <c r="AR161" s="45">
        <f>+'GVFund Rev'!U161+'GVFund Rev'!W161-'GVFund Exp'!AH161-'GVFund Exp'!AL161+AJ161+AN161+AP161-'GV Fund BS'!S161</f>
        <v>0</v>
      </c>
      <c r="AS161" s="48"/>
    </row>
    <row r="162" spans="1:45" s="44" customFormat="1" ht="12.75" customHeight="1">
      <c r="A162" s="35" t="s">
        <v>190</v>
      </c>
      <c r="C162" s="35" t="s">
        <v>47</v>
      </c>
      <c r="E162" s="45">
        <v>1425422</v>
      </c>
      <c r="F162" s="48"/>
      <c r="G162" s="45">
        <v>2393940</v>
      </c>
      <c r="H162" s="48"/>
      <c r="I162" s="45">
        <v>380054</v>
      </c>
      <c r="J162" s="48"/>
      <c r="K162" s="45">
        <v>8833</v>
      </c>
      <c r="L162" s="48"/>
      <c r="M162" s="45">
        <v>456878</v>
      </c>
      <c r="N162" s="48"/>
      <c r="O162" s="45">
        <v>51496</v>
      </c>
      <c r="P162" s="48"/>
      <c r="Q162" s="45">
        <v>118595</v>
      </c>
      <c r="R162" s="48"/>
      <c r="S162" s="45">
        <v>287514</v>
      </c>
      <c r="T162" s="48"/>
      <c r="U162" s="45">
        <v>0</v>
      </c>
      <c r="V162" s="48"/>
      <c r="W162" s="48"/>
      <c r="X162" s="35"/>
      <c r="Z162" s="35"/>
      <c r="AA162" s="35"/>
      <c r="AB162" s="45">
        <v>89390</v>
      </c>
      <c r="AC162" s="65"/>
      <c r="AD162" s="45">
        <v>181333</v>
      </c>
      <c r="AE162" s="65"/>
      <c r="AF162" s="45">
        <v>0</v>
      </c>
      <c r="AG162" s="65"/>
      <c r="AH162" s="48">
        <f t="shared" si="5"/>
        <v>5393455</v>
      </c>
      <c r="AI162" s="48"/>
      <c r="AJ162" s="48">
        <v>0</v>
      </c>
      <c r="AK162" s="48"/>
      <c r="AL162" s="45">
        <v>104000</v>
      </c>
      <c r="AM162" s="45"/>
      <c r="AN162" s="45">
        <v>4214226</v>
      </c>
      <c r="AO162" s="45"/>
      <c r="AP162" s="45">
        <v>-5430</v>
      </c>
      <c r="AQ162" s="45"/>
      <c r="AR162" s="45">
        <f>+'GVFund Rev'!U162+'GVFund Rev'!W162-'GVFund Exp'!AH162-'GVFund Exp'!AL162+AJ162+AN162+AP162-'GV Fund BS'!S162</f>
        <v>0</v>
      </c>
      <c r="AS162" s="48"/>
    </row>
    <row r="163" spans="1:45" s="44" customFormat="1" ht="12.75" customHeight="1">
      <c r="A163" s="35" t="s">
        <v>191</v>
      </c>
      <c r="C163" s="35" t="s">
        <v>13</v>
      </c>
      <c r="E163" s="45">
        <v>2239735</v>
      </c>
      <c r="F163" s="48"/>
      <c r="G163" s="45">
        <v>6642522</v>
      </c>
      <c r="H163" s="48"/>
      <c r="I163" s="45">
        <v>209513</v>
      </c>
      <c r="J163" s="48"/>
      <c r="K163" s="45">
        <v>1037150</v>
      </c>
      <c r="L163" s="48"/>
      <c r="M163" s="45">
        <v>1715381</v>
      </c>
      <c r="N163" s="48"/>
      <c r="O163" s="45">
        <v>133830</v>
      </c>
      <c r="P163" s="48"/>
      <c r="Q163" s="45">
        <v>0</v>
      </c>
      <c r="R163" s="48"/>
      <c r="S163" s="45">
        <v>516896</v>
      </c>
      <c r="T163" s="48"/>
      <c r="U163" s="45">
        <v>0</v>
      </c>
      <c r="V163" s="48"/>
      <c r="W163" s="48"/>
      <c r="X163" s="35"/>
      <c r="Z163" s="35"/>
      <c r="AA163" s="35"/>
      <c r="AB163" s="45">
        <v>225000</v>
      </c>
      <c r="AC163" s="65"/>
      <c r="AD163" s="45">
        <v>355139</v>
      </c>
      <c r="AE163" s="65"/>
      <c r="AF163" s="45">
        <v>0</v>
      </c>
      <c r="AG163" s="65"/>
      <c r="AH163" s="48">
        <f t="shared" si="5"/>
        <v>13075166</v>
      </c>
      <c r="AI163" s="48"/>
      <c r="AJ163" s="48">
        <v>0</v>
      </c>
      <c r="AK163" s="48"/>
      <c r="AL163" s="45">
        <v>857821</v>
      </c>
      <c r="AM163" s="45"/>
      <c r="AN163" s="45">
        <v>2186565</v>
      </c>
      <c r="AO163" s="45"/>
      <c r="AP163" s="45">
        <v>0</v>
      </c>
      <c r="AQ163" s="45"/>
      <c r="AR163" s="45">
        <f>+'GVFund Rev'!U163+'GVFund Rev'!W163-'GVFund Exp'!AH163-'GVFund Exp'!AL163+AJ163+AN163+AP163-'GV Fund BS'!S163</f>
        <v>0</v>
      </c>
      <c r="AS163" s="48"/>
    </row>
    <row r="164" spans="1:45" s="44" customFormat="1" ht="12.75" customHeight="1">
      <c r="A164" s="64" t="s">
        <v>192</v>
      </c>
      <c r="B164" s="46"/>
      <c r="C164" s="64" t="s">
        <v>38</v>
      </c>
      <c r="D164" s="46"/>
      <c r="E164" s="45">
        <v>2042015</v>
      </c>
      <c r="F164" s="48"/>
      <c r="G164" s="45">
        <v>4732067</v>
      </c>
      <c r="H164" s="48"/>
      <c r="I164" s="45">
        <v>1240110</v>
      </c>
      <c r="J164" s="48"/>
      <c r="K164" s="45">
        <v>149795</v>
      </c>
      <c r="L164" s="48"/>
      <c r="M164" s="45">
        <v>929886</v>
      </c>
      <c r="N164" s="48"/>
      <c r="O164" s="45">
        <v>1538114</v>
      </c>
      <c r="P164" s="48"/>
      <c r="Q164" s="45">
        <v>0</v>
      </c>
      <c r="R164" s="48"/>
      <c r="S164" s="45">
        <v>1192995</v>
      </c>
      <c r="T164" s="48"/>
      <c r="U164" s="45">
        <v>0</v>
      </c>
      <c r="V164" s="48"/>
      <c r="W164" s="48"/>
      <c r="X164" s="35"/>
      <c r="Z164" s="35"/>
      <c r="AA164" s="35"/>
      <c r="AB164" s="45">
        <v>173070</v>
      </c>
      <c r="AC164" s="65"/>
      <c r="AD164" s="45">
        <v>59567</v>
      </c>
      <c r="AE164" s="65"/>
      <c r="AF164" s="45">
        <v>0</v>
      </c>
      <c r="AG164" s="65"/>
      <c r="AH164" s="48">
        <f t="shared" si="5"/>
        <v>12057619</v>
      </c>
      <c r="AI164" s="48"/>
      <c r="AJ164" s="48">
        <v>0</v>
      </c>
      <c r="AK164" s="48"/>
      <c r="AL164" s="45">
        <v>897148</v>
      </c>
      <c r="AM164" s="45"/>
      <c r="AN164" s="45">
        <v>12263817</v>
      </c>
      <c r="AO164" s="45"/>
      <c r="AP164" s="45">
        <v>0</v>
      </c>
      <c r="AQ164" s="45"/>
      <c r="AR164" s="45">
        <f>+'GVFund Rev'!U164+'GVFund Rev'!W164-'GVFund Exp'!AH164-'GVFund Exp'!AL164+AJ164+AN164+AP164-'GV Fund BS'!S165</f>
        <v>0</v>
      </c>
      <c r="AS164" s="48"/>
    </row>
    <row r="165" spans="1:45" s="44" customFormat="1" ht="12.75" customHeight="1">
      <c r="A165" s="35" t="s">
        <v>193</v>
      </c>
      <c r="C165" s="35" t="s">
        <v>45</v>
      </c>
      <c r="E165" s="45">
        <v>4359962</v>
      </c>
      <c r="F165" s="48"/>
      <c r="G165" s="45">
        <f>7417854+7704464</f>
        <v>15122318</v>
      </c>
      <c r="H165" s="48"/>
      <c r="I165" s="45">
        <v>45552</v>
      </c>
      <c r="J165" s="48"/>
      <c r="K165" s="45">
        <v>1156731</v>
      </c>
      <c r="L165" s="48"/>
      <c r="M165" s="45">
        <v>1300069</v>
      </c>
      <c r="N165" s="48"/>
      <c r="O165" s="45">
        <v>429452</v>
      </c>
      <c r="P165" s="48"/>
      <c r="Q165" s="45">
        <v>61571</v>
      </c>
      <c r="R165" s="48"/>
      <c r="S165" s="45">
        <v>439073</v>
      </c>
      <c r="T165" s="48"/>
      <c r="U165" s="45">
        <v>316189</v>
      </c>
      <c r="V165" s="48"/>
      <c r="W165" s="48"/>
      <c r="X165" s="35"/>
      <c r="Z165" s="35"/>
      <c r="AA165" s="35"/>
      <c r="AB165" s="45">
        <v>4831558</v>
      </c>
      <c r="AC165" s="65"/>
      <c r="AD165" s="45">
        <v>1416578</v>
      </c>
      <c r="AE165" s="65"/>
      <c r="AF165" s="45">
        <v>118745</v>
      </c>
      <c r="AG165" s="65"/>
      <c r="AH165" s="48">
        <f t="shared" si="5"/>
        <v>29597798</v>
      </c>
      <c r="AI165" s="48"/>
      <c r="AJ165" s="48">
        <v>0</v>
      </c>
      <c r="AK165" s="48"/>
      <c r="AL165" s="45">
        <v>1310049</v>
      </c>
      <c r="AM165" s="45"/>
      <c r="AN165" s="45">
        <v>7144247</v>
      </c>
      <c r="AO165" s="45"/>
      <c r="AP165" s="45">
        <v>0</v>
      </c>
      <c r="AQ165" s="45"/>
      <c r="AR165" s="45">
        <f>+'GVFund Rev'!U165+'GVFund Rev'!W165-'GVFund Exp'!AH165-'GVFund Exp'!AL165+AJ165+AN165+AP165-'GV Fund BS'!S166</f>
        <v>0</v>
      </c>
      <c r="AS165" s="65"/>
    </row>
    <row r="166" spans="1:45" s="44" customFormat="1" ht="12.75" customHeight="1">
      <c r="A166" s="35" t="s">
        <v>194</v>
      </c>
      <c r="C166" s="35" t="s">
        <v>66</v>
      </c>
      <c r="E166" s="45">
        <v>2148109</v>
      </c>
      <c r="F166" s="48"/>
      <c r="G166" s="45">
        <v>5135599</v>
      </c>
      <c r="H166" s="48"/>
      <c r="I166" s="45">
        <v>1845298</v>
      </c>
      <c r="J166" s="48"/>
      <c r="K166" s="45">
        <v>108545</v>
      </c>
      <c r="L166" s="48"/>
      <c r="M166" s="45">
        <v>1006553</v>
      </c>
      <c r="N166" s="48"/>
      <c r="O166" s="45">
        <v>1053539</v>
      </c>
      <c r="P166" s="48"/>
      <c r="Q166" s="45">
        <v>0</v>
      </c>
      <c r="R166" s="48"/>
      <c r="S166" s="45">
        <v>1736104</v>
      </c>
      <c r="T166" s="48"/>
      <c r="U166" s="45">
        <v>0</v>
      </c>
      <c r="V166" s="48"/>
      <c r="W166" s="48"/>
      <c r="X166" s="35"/>
      <c r="Z166" s="35"/>
      <c r="AA166" s="35"/>
      <c r="AB166" s="45">
        <v>12453</v>
      </c>
      <c r="AC166" s="65"/>
      <c r="AD166" s="45">
        <v>52657</v>
      </c>
      <c r="AE166" s="65"/>
      <c r="AF166" s="45">
        <v>0</v>
      </c>
      <c r="AG166" s="65"/>
      <c r="AH166" s="48">
        <f t="shared" si="5"/>
        <v>13098857</v>
      </c>
      <c r="AI166" s="48"/>
      <c r="AJ166" s="48">
        <v>0</v>
      </c>
      <c r="AK166" s="48"/>
      <c r="AL166" s="45">
        <v>3380223</v>
      </c>
      <c r="AM166" s="45"/>
      <c r="AN166" s="45">
        <v>12361442</v>
      </c>
      <c r="AO166" s="45"/>
      <c r="AP166" s="45">
        <v>0</v>
      </c>
      <c r="AQ166" s="45"/>
      <c r="AR166" s="45">
        <f>+'GVFund Rev'!U166+'GVFund Rev'!W166-'GVFund Exp'!AH166-'GVFund Exp'!AL166+AJ166+AN166+AP166-'GV Fund BS'!S167</f>
        <v>0</v>
      </c>
      <c r="AS166" s="48"/>
    </row>
    <row r="167" spans="1:45" s="44" customFormat="1" ht="12.75" customHeight="1">
      <c r="A167" s="35" t="s">
        <v>195</v>
      </c>
      <c r="C167" s="35" t="s">
        <v>17</v>
      </c>
      <c r="E167" s="45">
        <v>3370939</v>
      </c>
      <c r="F167" s="48"/>
      <c r="G167" s="45">
        <v>3142386</v>
      </c>
      <c r="H167" s="48"/>
      <c r="I167" s="45">
        <v>501289</v>
      </c>
      <c r="J167" s="48"/>
      <c r="K167" s="45">
        <v>126752</v>
      </c>
      <c r="L167" s="48"/>
      <c r="M167" s="45">
        <v>710003</v>
      </c>
      <c r="N167" s="48"/>
      <c r="O167" s="45">
        <v>661024</v>
      </c>
      <c r="P167" s="48"/>
      <c r="Q167" s="45">
        <v>224287</v>
      </c>
      <c r="R167" s="48"/>
      <c r="S167" s="45">
        <v>5111860</v>
      </c>
      <c r="T167" s="48"/>
      <c r="U167" s="45">
        <v>0</v>
      </c>
      <c r="V167" s="48"/>
      <c r="W167" s="48"/>
      <c r="X167" s="35"/>
      <c r="Z167" s="35"/>
      <c r="AA167" s="35"/>
      <c r="AB167" s="45">
        <v>203940</v>
      </c>
      <c r="AC167" s="65"/>
      <c r="AD167" s="45">
        <v>200957</v>
      </c>
      <c r="AE167" s="65"/>
      <c r="AF167" s="45">
        <v>0</v>
      </c>
      <c r="AG167" s="65"/>
      <c r="AH167" s="48">
        <f t="shared" si="5"/>
        <v>14253437</v>
      </c>
      <c r="AI167" s="48"/>
      <c r="AJ167" s="48">
        <v>0</v>
      </c>
      <c r="AK167" s="48"/>
      <c r="AL167" s="45">
        <v>1431598</v>
      </c>
      <c r="AM167" s="45"/>
      <c r="AN167" s="45">
        <v>12419733</v>
      </c>
      <c r="AO167" s="45"/>
      <c r="AP167" s="45">
        <v>3467</v>
      </c>
      <c r="AQ167" s="45"/>
      <c r="AR167" s="45">
        <f>+'GVFund Rev'!U168+'GVFund Rev'!W168-'GVFund Exp'!AH167-'GVFund Exp'!AL167+AJ167+AN167+AP167-'GV Fund BS'!S168</f>
        <v>0</v>
      </c>
      <c r="AS167" s="48"/>
    </row>
    <row r="168" spans="1:45" s="46" customFormat="1" ht="12.75" customHeight="1">
      <c r="A168" s="64" t="s">
        <v>196</v>
      </c>
      <c r="C168" s="64" t="s">
        <v>27</v>
      </c>
      <c r="E168" s="45">
        <v>1178015</v>
      </c>
      <c r="F168" s="48"/>
      <c r="G168" s="45">
        <v>2915402</v>
      </c>
      <c r="H168" s="48"/>
      <c r="I168" s="45">
        <f>294220+402295</f>
        <v>696515</v>
      </c>
      <c r="J168" s="48"/>
      <c r="K168" s="45">
        <v>86785</v>
      </c>
      <c r="L168" s="48"/>
      <c r="M168" s="45">
        <v>832588</v>
      </c>
      <c r="N168" s="48"/>
      <c r="O168" s="45">
        <v>187730</v>
      </c>
      <c r="P168" s="48"/>
      <c r="Q168" s="45">
        <v>0</v>
      </c>
      <c r="R168" s="48"/>
      <c r="S168" s="45">
        <v>7201654</v>
      </c>
      <c r="T168" s="48"/>
      <c r="U168" s="45">
        <v>0</v>
      </c>
      <c r="V168" s="48"/>
      <c r="W168" s="48"/>
      <c r="X168" s="35"/>
      <c r="Y168" s="44"/>
      <c r="Z168" s="35"/>
      <c r="AA168" s="35"/>
      <c r="AB168" s="45">
        <v>3154807</v>
      </c>
      <c r="AC168" s="65"/>
      <c r="AD168" s="45">
        <v>279681</v>
      </c>
      <c r="AE168" s="65"/>
      <c r="AF168" s="45">
        <v>0</v>
      </c>
      <c r="AG168" s="65"/>
      <c r="AH168" s="48">
        <f t="shared" si="5"/>
        <v>16533177</v>
      </c>
      <c r="AI168" s="48"/>
      <c r="AJ168" s="48">
        <v>0</v>
      </c>
      <c r="AK168" s="48"/>
      <c r="AL168" s="45">
        <v>0</v>
      </c>
      <c r="AM168" s="45"/>
      <c r="AN168" s="45">
        <v>6175472</v>
      </c>
      <c r="AO168" s="45"/>
      <c r="AP168" s="45">
        <v>0</v>
      </c>
      <c r="AQ168" s="45"/>
      <c r="AR168" s="45">
        <f>+'GVFund Rev'!U169+'GVFund Rev'!W169-'GVFund Exp'!AH168-'GVFund Exp'!AL168+AJ168+AN168+AP168-'GV Fund BS'!S169</f>
        <v>0</v>
      </c>
      <c r="AS168" s="48"/>
    </row>
    <row r="169" spans="1:45" s="44" customFormat="1" ht="12.75" customHeight="1">
      <c r="A169" s="35" t="s">
        <v>386</v>
      </c>
      <c r="C169" s="35" t="s">
        <v>153</v>
      </c>
      <c r="E169" s="45">
        <v>1669483</v>
      </c>
      <c r="F169" s="48"/>
      <c r="G169" s="45">
        <v>2075084</v>
      </c>
      <c r="H169" s="48"/>
      <c r="I169" s="45">
        <v>33085</v>
      </c>
      <c r="J169" s="48"/>
      <c r="K169" s="45">
        <v>1973</v>
      </c>
      <c r="L169" s="48"/>
      <c r="M169" s="45">
        <v>933457</v>
      </c>
      <c r="N169" s="48"/>
      <c r="O169" s="45">
        <v>108933</v>
      </c>
      <c r="P169" s="48"/>
      <c r="Q169" s="45">
        <v>0</v>
      </c>
      <c r="R169" s="48"/>
      <c r="S169" s="45">
        <v>232893</v>
      </c>
      <c r="T169" s="48"/>
      <c r="U169" s="45">
        <v>0</v>
      </c>
      <c r="V169" s="48"/>
      <c r="W169" s="48"/>
      <c r="X169" s="35"/>
      <c r="Z169" s="35"/>
      <c r="AA169" s="35"/>
      <c r="AB169" s="45">
        <v>86126</v>
      </c>
      <c r="AC169" s="65"/>
      <c r="AD169" s="45">
        <v>71941</v>
      </c>
      <c r="AE169" s="65"/>
      <c r="AF169" s="45">
        <v>0</v>
      </c>
      <c r="AG169" s="65"/>
      <c r="AH169" s="48">
        <f t="shared" si="5"/>
        <v>5212975</v>
      </c>
      <c r="AI169" s="48"/>
      <c r="AJ169" s="48">
        <v>0</v>
      </c>
      <c r="AK169" s="48"/>
      <c r="AL169" s="45">
        <v>203493</v>
      </c>
      <c r="AM169" s="45"/>
      <c r="AN169" s="45">
        <v>5764186</v>
      </c>
      <c r="AO169" s="45"/>
      <c r="AP169" s="45">
        <v>0</v>
      </c>
      <c r="AQ169" s="45"/>
      <c r="AR169" s="45">
        <f>+'GVFund Rev'!U170+'GVFund Rev'!W170-'GVFund Exp'!AH169-'GVFund Exp'!AL169+AJ169+AN169+AP169-'GV Fund BS'!S170</f>
        <v>0</v>
      </c>
      <c r="AS169" s="48"/>
    </row>
    <row r="170" spans="1:45" s="44" customFormat="1" ht="12.75" customHeight="1">
      <c r="A170" s="35" t="s">
        <v>197</v>
      </c>
      <c r="C170" s="35" t="s">
        <v>163</v>
      </c>
      <c r="E170" s="45">
        <v>5408084</v>
      </c>
      <c r="F170" s="48"/>
      <c r="G170" s="45">
        <v>10015782</v>
      </c>
      <c r="H170" s="48"/>
      <c r="I170" s="45">
        <v>1345896</v>
      </c>
      <c r="J170" s="48"/>
      <c r="K170" s="45">
        <v>426055</v>
      </c>
      <c r="L170" s="48"/>
      <c r="M170" s="45">
        <v>4041540</v>
      </c>
      <c r="N170" s="48"/>
      <c r="O170" s="45">
        <v>817714</v>
      </c>
      <c r="P170" s="48"/>
      <c r="Q170" s="45">
        <v>460504</v>
      </c>
      <c r="R170" s="48"/>
      <c r="S170" s="45">
        <v>11295666</v>
      </c>
      <c r="T170" s="48"/>
      <c r="U170" s="45">
        <v>0</v>
      </c>
      <c r="V170" s="48"/>
      <c r="W170" s="48"/>
      <c r="X170" s="35"/>
      <c r="Z170" s="35"/>
      <c r="AA170" s="35"/>
      <c r="AB170" s="45">
        <v>946618</v>
      </c>
      <c r="AC170" s="65"/>
      <c r="AD170" s="45">
        <v>572267</v>
      </c>
      <c r="AE170" s="65"/>
      <c r="AF170" s="45">
        <v>0</v>
      </c>
      <c r="AG170" s="65"/>
      <c r="AH170" s="48">
        <f t="shared" si="5"/>
        <v>35330126</v>
      </c>
      <c r="AI170" s="48"/>
      <c r="AJ170" s="48">
        <v>0</v>
      </c>
      <c r="AK170" s="48"/>
      <c r="AL170" s="45">
        <v>9126297</v>
      </c>
      <c r="AM170" s="45"/>
      <c r="AN170" s="45">
        <v>29018452</v>
      </c>
      <c r="AO170" s="45"/>
      <c r="AP170" s="45">
        <v>-111787</v>
      </c>
      <c r="AQ170" s="45"/>
      <c r="AR170" s="45">
        <f>+'GVFund Rev'!U171+'GVFund Rev'!W171-'GVFund Exp'!AH170-'GVFund Exp'!AL170+AJ170+AN170+AP170-'GV Fund BS'!S171</f>
        <v>0</v>
      </c>
      <c r="AS170" s="48"/>
    </row>
    <row r="171" spans="1:45" s="46" customFormat="1" ht="12.75" customHeight="1">
      <c r="A171" s="35" t="s">
        <v>198</v>
      </c>
      <c r="B171" s="44"/>
      <c r="C171" s="35" t="s">
        <v>199</v>
      </c>
      <c r="D171" s="44"/>
      <c r="E171" s="45">
        <v>971591</v>
      </c>
      <c r="F171" s="48"/>
      <c r="G171" s="45">
        <f>1707584+492705</f>
        <v>2200289</v>
      </c>
      <c r="H171" s="48"/>
      <c r="I171" s="45">
        <v>0</v>
      </c>
      <c r="J171" s="48"/>
      <c r="K171" s="45">
        <v>340315</v>
      </c>
      <c r="L171" s="48"/>
      <c r="M171" s="45">
        <v>1405313</v>
      </c>
      <c r="N171" s="48"/>
      <c r="O171" s="45">
        <v>297717</v>
      </c>
      <c r="P171" s="48"/>
      <c r="Q171" s="45">
        <v>407762</v>
      </c>
      <c r="R171" s="48"/>
      <c r="S171" s="45">
        <v>1327598</v>
      </c>
      <c r="T171" s="48"/>
      <c r="U171" s="45">
        <v>0</v>
      </c>
      <c r="V171" s="48"/>
      <c r="W171" s="48"/>
      <c r="X171" s="35"/>
      <c r="Y171" s="44"/>
      <c r="Z171" s="35"/>
      <c r="AA171" s="35"/>
      <c r="AB171" s="45">
        <v>15950</v>
      </c>
      <c r="AC171" s="65"/>
      <c r="AD171" s="45">
        <v>64786</v>
      </c>
      <c r="AE171" s="65"/>
      <c r="AF171" s="45">
        <v>0</v>
      </c>
      <c r="AG171" s="65"/>
      <c r="AH171" s="48">
        <f t="shared" si="5"/>
        <v>7031321</v>
      </c>
      <c r="AI171" s="48"/>
      <c r="AJ171" s="48">
        <v>0</v>
      </c>
      <c r="AK171" s="48"/>
      <c r="AL171" s="45">
        <v>1213124</v>
      </c>
      <c r="AM171" s="45"/>
      <c r="AN171" s="45">
        <v>4661203</v>
      </c>
      <c r="AO171" s="45"/>
      <c r="AP171" s="45">
        <v>0</v>
      </c>
      <c r="AQ171" s="45"/>
      <c r="AR171" s="45">
        <f>+'GVFund Rev'!U172+'GVFund Rev'!W172-'GVFund Exp'!AH171-'GVFund Exp'!AL171+AJ171+AN171+AP171-'GV Fund BS'!S172</f>
        <v>0</v>
      </c>
      <c r="AS171" s="48"/>
    </row>
    <row r="172" spans="1:45" s="44" customFormat="1" ht="12.75" customHeight="1">
      <c r="A172" s="35" t="s">
        <v>200</v>
      </c>
      <c r="C172" s="35" t="s">
        <v>103</v>
      </c>
      <c r="E172" s="45">
        <v>1693251</v>
      </c>
      <c r="F172" s="48"/>
      <c r="G172" s="45">
        <v>5432718</v>
      </c>
      <c r="H172" s="48"/>
      <c r="I172" s="45">
        <v>1141033</v>
      </c>
      <c r="J172" s="48"/>
      <c r="K172" s="45">
        <v>125408</v>
      </c>
      <c r="L172" s="48"/>
      <c r="M172" s="45">
        <v>1266576</v>
      </c>
      <c r="N172" s="48"/>
      <c r="O172" s="45">
        <v>1282923</v>
      </c>
      <c r="P172" s="48"/>
      <c r="Q172" s="45">
        <v>0</v>
      </c>
      <c r="R172" s="48"/>
      <c r="S172" s="45">
        <v>2432847</v>
      </c>
      <c r="T172" s="48"/>
      <c r="U172" s="45">
        <v>0</v>
      </c>
      <c r="V172" s="48"/>
      <c r="W172" s="48"/>
      <c r="X172" s="35"/>
      <c r="Z172" s="35"/>
      <c r="AA172" s="35"/>
      <c r="AB172" s="45">
        <v>1730000</v>
      </c>
      <c r="AC172" s="65"/>
      <c r="AD172" s="45">
        <v>142408</v>
      </c>
      <c r="AE172" s="65"/>
      <c r="AF172" s="45">
        <v>0</v>
      </c>
      <c r="AG172" s="65"/>
      <c r="AH172" s="48">
        <f t="shared" si="5"/>
        <v>15247164</v>
      </c>
      <c r="AI172" s="48"/>
      <c r="AJ172" s="48">
        <v>0</v>
      </c>
      <c r="AK172" s="48"/>
      <c r="AL172" s="45">
        <v>1531013</v>
      </c>
      <c r="AM172" s="45"/>
      <c r="AN172" s="45">
        <v>13806519</v>
      </c>
      <c r="AO172" s="45"/>
      <c r="AP172" s="45">
        <v>0</v>
      </c>
      <c r="AQ172" s="45"/>
      <c r="AR172" s="45">
        <f>+'GVFund Rev'!U173+'GVFund Rev'!W173-'GVFund Exp'!AH172-'GVFund Exp'!AL172+AJ172+AN172+AP172-'GV Fund BS'!S173</f>
        <v>0</v>
      </c>
      <c r="AS172" s="48"/>
    </row>
    <row r="173" spans="1:45" s="44" customFormat="1" ht="12.75" customHeight="1">
      <c r="A173" s="35" t="s">
        <v>201</v>
      </c>
      <c r="C173" s="35" t="s">
        <v>92</v>
      </c>
      <c r="E173" s="45">
        <v>4498245</v>
      </c>
      <c r="F173" s="48"/>
      <c r="G173" s="45">
        <v>7178506</v>
      </c>
      <c r="H173" s="48"/>
      <c r="I173" s="45">
        <v>509372</v>
      </c>
      <c r="J173" s="48"/>
      <c r="K173" s="45">
        <v>618599</v>
      </c>
      <c r="L173" s="48"/>
      <c r="M173" s="45">
        <v>1880062</v>
      </c>
      <c r="N173" s="48"/>
      <c r="O173" s="45">
        <v>712688</v>
      </c>
      <c r="P173" s="48"/>
      <c r="Q173" s="45">
        <v>0</v>
      </c>
      <c r="R173" s="48"/>
      <c r="S173" s="45">
        <v>1702801</v>
      </c>
      <c r="T173" s="48"/>
      <c r="U173" s="45">
        <v>0</v>
      </c>
      <c r="V173" s="48"/>
      <c r="W173" s="48"/>
      <c r="X173" s="35"/>
      <c r="Z173" s="35"/>
      <c r="AA173" s="35"/>
      <c r="AB173" s="45">
        <v>399072</v>
      </c>
      <c r="AC173" s="65"/>
      <c r="AD173" s="45">
        <v>241274</v>
      </c>
      <c r="AE173" s="65"/>
      <c r="AF173" s="45">
        <v>0</v>
      </c>
      <c r="AG173" s="65"/>
      <c r="AH173" s="48">
        <f t="shared" si="5"/>
        <v>17740619</v>
      </c>
      <c r="AI173" s="48"/>
      <c r="AJ173" s="48">
        <v>0</v>
      </c>
      <c r="AK173" s="48"/>
      <c r="AL173" s="45">
        <v>986276</v>
      </c>
      <c r="AM173" s="45"/>
      <c r="AN173" s="45">
        <v>10449941</v>
      </c>
      <c r="AO173" s="45"/>
      <c r="AP173" s="45">
        <v>-15299</v>
      </c>
      <c r="AQ173" s="45"/>
      <c r="AR173" s="45">
        <f>+'GVFund Rev'!U174+'GVFund Rev'!W174-'GVFund Exp'!AH173-'GVFund Exp'!AL173+AJ173+AN173+AP173-'GV Fund BS'!S174</f>
        <v>0</v>
      </c>
      <c r="AS173" s="48"/>
    </row>
    <row r="174" spans="1:45" s="44" customFormat="1" ht="12.75" customHeight="1">
      <c r="A174" s="35" t="s">
        <v>202</v>
      </c>
      <c r="C174" s="35" t="s">
        <v>27</v>
      </c>
      <c r="E174" s="45">
        <v>23265829</v>
      </c>
      <c r="F174" s="48"/>
      <c r="G174" s="45">
        <v>27969232</v>
      </c>
      <c r="H174" s="48"/>
      <c r="I174" s="45">
        <v>9224052</v>
      </c>
      <c r="J174" s="48"/>
      <c r="K174" s="45">
        <v>316924</v>
      </c>
      <c r="L174" s="48"/>
      <c r="M174" s="45">
        <v>5293366</v>
      </c>
      <c r="N174" s="48"/>
      <c r="O174" s="45">
        <v>3215673</v>
      </c>
      <c r="P174" s="48"/>
      <c r="Q174" s="45">
        <v>1823792</v>
      </c>
      <c r="R174" s="48"/>
      <c r="S174" s="45">
        <v>1544204</v>
      </c>
      <c r="T174" s="48"/>
      <c r="U174" s="45">
        <v>0</v>
      </c>
      <c r="V174" s="48"/>
      <c r="W174" s="48"/>
      <c r="X174" s="35"/>
      <c r="Z174" s="35"/>
      <c r="AA174" s="35"/>
      <c r="AB174" s="45">
        <v>3315705</v>
      </c>
      <c r="AC174" s="65"/>
      <c r="AD174" s="45">
        <v>1263922</v>
      </c>
      <c r="AE174" s="65"/>
      <c r="AF174" s="45">
        <v>0</v>
      </c>
      <c r="AG174" s="65"/>
      <c r="AH174" s="48">
        <f t="shared" si="5"/>
        <v>77232699</v>
      </c>
      <c r="AI174" s="48"/>
      <c r="AJ174" s="48">
        <v>0</v>
      </c>
      <c r="AK174" s="48"/>
      <c r="AL174" s="45">
        <v>8462077</v>
      </c>
      <c r="AM174" s="45"/>
      <c r="AN174" s="45">
        <v>13499003</v>
      </c>
      <c r="AO174" s="45"/>
      <c r="AP174" s="45">
        <v>0</v>
      </c>
      <c r="AQ174" s="45"/>
      <c r="AR174" s="45">
        <f>+'GVFund Rev'!U175+'GVFund Rev'!W175-'GVFund Exp'!AH174-'GVFund Exp'!AL174+AJ174+AN174+AP174-'GV Fund BS'!S175</f>
        <v>0</v>
      </c>
      <c r="AS174" s="48"/>
    </row>
    <row r="175" spans="1:45" s="44" customFormat="1" ht="12.75" customHeight="1">
      <c r="A175" s="35" t="s">
        <v>203</v>
      </c>
      <c r="C175" s="35" t="s">
        <v>27</v>
      </c>
      <c r="E175" s="45">
        <v>1803879</v>
      </c>
      <c r="F175" s="48"/>
      <c r="G175" s="45">
        <v>8609199</v>
      </c>
      <c r="H175" s="48"/>
      <c r="I175" s="45">
        <v>2785536</v>
      </c>
      <c r="J175" s="48"/>
      <c r="K175" s="45">
        <v>374606</v>
      </c>
      <c r="L175" s="48"/>
      <c r="M175" s="45">
        <v>736370</v>
      </c>
      <c r="N175" s="48"/>
      <c r="O175" s="45">
        <v>480814</v>
      </c>
      <c r="P175" s="48"/>
      <c r="Q175" s="45">
        <v>147577</v>
      </c>
      <c r="R175" s="48"/>
      <c r="S175" s="45">
        <v>3879908</v>
      </c>
      <c r="T175" s="48"/>
      <c r="U175" s="45">
        <v>0</v>
      </c>
      <c r="V175" s="48"/>
      <c r="W175" s="48"/>
      <c r="X175" s="35"/>
      <c r="Z175" s="35"/>
      <c r="AA175" s="35"/>
      <c r="AB175" s="45">
        <f>5218514+190164</f>
        <v>5408678</v>
      </c>
      <c r="AC175" s="65"/>
      <c r="AD175" s="45">
        <v>470288</v>
      </c>
      <c r="AE175" s="65"/>
      <c r="AF175" s="45">
        <v>0</v>
      </c>
      <c r="AG175" s="65"/>
      <c r="AH175" s="48">
        <f t="shared" si="5"/>
        <v>24696855</v>
      </c>
      <c r="AI175" s="48"/>
      <c r="AJ175" s="48">
        <v>0</v>
      </c>
      <c r="AK175" s="48"/>
      <c r="AL175" s="45">
        <v>246700</v>
      </c>
      <c r="AM175" s="45"/>
      <c r="AN175" s="45">
        <v>2001035</v>
      </c>
      <c r="AO175" s="45"/>
      <c r="AP175" s="45">
        <v>0</v>
      </c>
      <c r="AQ175" s="45"/>
      <c r="AR175" s="45">
        <f>+'GVFund Rev'!U176+'GVFund Rev'!W176-'GVFund Exp'!AH175-'GVFund Exp'!AL175+AJ175+AN175+AP175-'GV Fund BS'!S176</f>
        <v>0</v>
      </c>
      <c r="AS175" s="48"/>
    </row>
    <row r="176" spans="1:45" s="44" customFormat="1" ht="12.75" customHeight="1">
      <c r="A176" s="35" t="s">
        <v>204</v>
      </c>
      <c r="C176" s="35" t="s">
        <v>125</v>
      </c>
      <c r="E176" s="45">
        <v>855648</v>
      </c>
      <c r="F176" s="48"/>
      <c r="G176" s="45">
        <v>1360206</v>
      </c>
      <c r="H176" s="48"/>
      <c r="I176" s="45">
        <f>239698+4462</f>
        <v>244160</v>
      </c>
      <c r="J176" s="48"/>
      <c r="K176" s="45">
        <v>59300</v>
      </c>
      <c r="L176" s="48"/>
      <c r="M176" s="45">
        <v>1166311</v>
      </c>
      <c r="N176" s="48"/>
      <c r="O176" s="45">
        <v>20352</v>
      </c>
      <c r="P176" s="48"/>
      <c r="Q176" s="45">
        <v>0</v>
      </c>
      <c r="R176" s="48"/>
      <c r="S176" s="45">
        <v>1170248</v>
      </c>
      <c r="T176" s="48"/>
      <c r="U176" s="45">
        <v>0</v>
      </c>
      <c r="V176" s="48"/>
      <c r="W176" s="48"/>
      <c r="X176" s="35"/>
      <c r="Z176" s="35"/>
      <c r="AA176" s="35"/>
      <c r="AB176" s="45">
        <v>299833</v>
      </c>
      <c r="AC176" s="65"/>
      <c r="AD176" s="45">
        <v>48563</v>
      </c>
      <c r="AE176" s="65"/>
      <c r="AF176" s="45">
        <v>0</v>
      </c>
      <c r="AG176" s="65"/>
      <c r="AH176" s="48">
        <f t="shared" si="5"/>
        <v>5224621</v>
      </c>
      <c r="AI176" s="48"/>
      <c r="AJ176" s="48">
        <v>0</v>
      </c>
      <c r="AK176" s="48"/>
      <c r="AL176" s="45">
        <v>172445</v>
      </c>
      <c r="AM176" s="45"/>
      <c r="AN176" s="45">
        <v>2817951</v>
      </c>
      <c r="AO176" s="45"/>
      <c r="AP176" s="45">
        <v>0</v>
      </c>
      <c r="AQ176" s="45"/>
      <c r="AR176" s="45">
        <f>+'GVFund Rev'!U177+'GVFund Rev'!W177-'GVFund Exp'!AH176-'GVFund Exp'!AL176+AJ176+AN176+AP176-'GV Fund BS'!S177</f>
        <v>0</v>
      </c>
      <c r="AS176" s="48"/>
    </row>
    <row r="177" spans="1:45" s="121" customFormat="1" ht="12.75" hidden="1" customHeight="1">
      <c r="A177" s="126" t="s">
        <v>205</v>
      </c>
      <c r="C177" s="126" t="s">
        <v>27</v>
      </c>
      <c r="E177" s="127">
        <v>0</v>
      </c>
      <c r="F177" s="130"/>
      <c r="G177" s="127">
        <v>0</v>
      </c>
      <c r="H177" s="130"/>
      <c r="I177" s="127">
        <v>0</v>
      </c>
      <c r="J177" s="130"/>
      <c r="K177" s="127">
        <v>0</v>
      </c>
      <c r="L177" s="130"/>
      <c r="M177" s="127">
        <v>0</v>
      </c>
      <c r="N177" s="130"/>
      <c r="O177" s="127">
        <v>0</v>
      </c>
      <c r="P177" s="130"/>
      <c r="Q177" s="127">
        <v>0</v>
      </c>
      <c r="R177" s="130"/>
      <c r="S177" s="127">
        <v>0</v>
      </c>
      <c r="T177" s="130"/>
      <c r="U177" s="127">
        <v>0</v>
      </c>
      <c r="V177" s="130"/>
      <c r="W177" s="130"/>
      <c r="X177" s="126"/>
      <c r="Z177" s="126"/>
      <c r="AA177" s="126"/>
      <c r="AB177" s="127">
        <v>0</v>
      </c>
      <c r="AC177" s="125"/>
      <c r="AD177" s="127">
        <v>0</v>
      </c>
      <c r="AE177" s="125"/>
      <c r="AF177" s="127">
        <v>0</v>
      </c>
      <c r="AG177" s="125"/>
      <c r="AH177" s="130">
        <f t="shared" si="5"/>
        <v>0</v>
      </c>
      <c r="AI177" s="130"/>
      <c r="AJ177" s="130">
        <v>0</v>
      </c>
      <c r="AK177" s="130"/>
      <c r="AL177" s="127">
        <v>0</v>
      </c>
      <c r="AM177" s="127"/>
      <c r="AN177" s="127">
        <v>0</v>
      </c>
      <c r="AO177" s="127"/>
      <c r="AP177" s="127">
        <v>0</v>
      </c>
      <c r="AQ177" s="127"/>
      <c r="AR177" s="127">
        <f>+'GVFund Rev'!U178+'GVFund Rev'!W178-'GVFund Exp'!AH177-'GVFund Exp'!AL177+AJ177+AN177+AP177-'GV Fund BS'!S178</f>
        <v>0</v>
      </c>
      <c r="AS177" s="130"/>
    </row>
    <row r="178" spans="1:45" s="44" customFormat="1" ht="12.75" customHeight="1">
      <c r="A178" s="35" t="s">
        <v>206</v>
      </c>
      <c r="C178" s="35" t="s">
        <v>47</v>
      </c>
      <c r="E178" s="45">
        <v>4160626</v>
      </c>
      <c r="F178" s="48"/>
      <c r="G178" s="45">
        <v>7735659</v>
      </c>
      <c r="H178" s="48"/>
      <c r="I178" s="45">
        <v>730093</v>
      </c>
      <c r="J178" s="48"/>
      <c r="K178" s="45">
        <v>36301</v>
      </c>
      <c r="L178" s="48"/>
      <c r="M178" s="45">
        <v>2802053</v>
      </c>
      <c r="N178" s="48"/>
      <c r="O178" s="45">
        <v>1258079</v>
      </c>
      <c r="P178" s="48"/>
      <c r="Q178" s="45">
        <v>1232836</v>
      </c>
      <c r="R178" s="48"/>
      <c r="S178" s="45">
        <v>1642746</v>
      </c>
      <c r="T178" s="48"/>
      <c r="U178" s="45">
        <v>0</v>
      </c>
      <c r="V178" s="48"/>
      <c r="W178" s="48"/>
      <c r="X178" s="35"/>
      <c r="Z178" s="35"/>
      <c r="AA178" s="35"/>
      <c r="AB178" s="45">
        <v>0</v>
      </c>
      <c r="AC178" s="65"/>
      <c r="AD178" s="45">
        <v>94004</v>
      </c>
      <c r="AE178" s="65"/>
      <c r="AF178" s="45">
        <v>0</v>
      </c>
      <c r="AG178" s="65"/>
      <c r="AH178" s="48">
        <f t="shared" si="5"/>
        <v>19692397</v>
      </c>
      <c r="AI178" s="48"/>
      <c r="AJ178" s="48">
        <v>0</v>
      </c>
      <c r="AK178" s="48"/>
      <c r="AL178" s="45">
        <v>4116440</v>
      </c>
      <c r="AM178" s="45"/>
      <c r="AN178" s="45">
        <v>2934756</v>
      </c>
      <c r="AO178" s="45"/>
      <c r="AP178" s="45">
        <v>11761</v>
      </c>
      <c r="AQ178" s="45"/>
      <c r="AR178" s="45">
        <f>+'GVFund Rev'!U179+'GVFund Rev'!W179-'GVFund Exp'!AH178-'GVFund Exp'!AL178+AJ178+AN178+AP178-'GV Fund BS'!S179</f>
        <v>0</v>
      </c>
      <c r="AS178" s="48"/>
    </row>
    <row r="179" spans="1:45" s="44" customFormat="1" ht="12.75" customHeight="1">
      <c r="A179" s="35" t="s">
        <v>207</v>
      </c>
      <c r="C179" s="35" t="s">
        <v>102</v>
      </c>
      <c r="E179" s="45">
        <v>2604829</v>
      </c>
      <c r="F179" s="48"/>
      <c r="G179" s="45">
        <v>4035685</v>
      </c>
      <c r="H179" s="48"/>
      <c r="I179" s="45">
        <v>653044</v>
      </c>
      <c r="J179" s="48"/>
      <c r="K179" s="45">
        <v>93643</v>
      </c>
      <c r="L179" s="48"/>
      <c r="M179" s="45">
        <v>990005</v>
      </c>
      <c r="N179" s="48"/>
      <c r="O179" s="45">
        <v>532160</v>
      </c>
      <c r="P179" s="48"/>
      <c r="Q179" s="45">
        <v>0</v>
      </c>
      <c r="R179" s="48"/>
      <c r="S179" s="45">
        <v>1992242</v>
      </c>
      <c r="T179" s="48"/>
      <c r="U179" s="45">
        <v>0</v>
      </c>
      <c r="V179" s="48"/>
      <c r="W179" s="48"/>
      <c r="X179" s="35"/>
      <c r="Z179" s="35"/>
      <c r="AA179" s="35"/>
      <c r="AB179" s="45">
        <f>485000+913707</f>
        <v>1398707</v>
      </c>
      <c r="AC179" s="65"/>
      <c r="AD179" s="45">
        <v>446075</v>
      </c>
      <c r="AE179" s="65"/>
      <c r="AF179" s="45">
        <v>0</v>
      </c>
      <c r="AG179" s="65"/>
      <c r="AH179" s="48">
        <f t="shared" si="5"/>
        <v>12746390</v>
      </c>
      <c r="AI179" s="48"/>
      <c r="AJ179" s="48">
        <v>0</v>
      </c>
      <c r="AK179" s="48"/>
      <c r="AL179" s="45">
        <f>2295000+4416872</f>
        <v>6711872</v>
      </c>
      <c r="AM179" s="45"/>
      <c r="AN179" s="45">
        <v>2376346</v>
      </c>
      <c r="AO179" s="45"/>
      <c r="AP179" s="45">
        <v>0</v>
      </c>
      <c r="AQ179" s="45"/>
      <c r="AR179" s="45">
        <f>+'GVFund Rev'!U180+'GVFund Rev'!W180-'GVFund Exp'!AH179-'GVFund Exp'!AL179+AJ179+AN179+AP179-'GV Fund BS'!S180</f>
        <v>0</v>
      </c>
      <c r="AS179" s="48"/>
    </row>
    <row r="180" spans="1:45" s="44" customFormat="1" ht="12.75" customHeight="1">
      <c r="A180" s="35" t="s">
        <v>208</v>
      </c>
      <c r="C180" s="35" t="s">
        <v>209</v>
      </c>
      <c r="E180" s="45">
        <v>1278817</v>
      </c>
      <c r="F180" s="48"/>
      <c r="G180" s="45">
        <v>7464385</v>
      </c>
      <c r="H180" s="48"/>
      <c r="I180" s="45">
        <v>610155</v>
      </c>
      <c r="J180" s="48"/>
      <c r="K180" s="45">
        <v>360499</v>
      </c>
      <c r="L180" s="48"/>
      <c r="M180" s="45">
        <v>2192766</v>
      </c>
      <c r="N180" s="48"/>
      <c r="O180" s="45">
        <v>461977</v>
      </c>
      <c r="P180" s="48"/>
      <c r="Q180" s="45">
        <v>55043</v>
      </c>
      <c r="R180" s="48"/>
      <c r="S180" s="45">
        <v>1240777</v>
      </c>
      <c r="T180" s="48"/>
      <c r="U180" s="45">
        <v>0</v>
      </c>
      <c r="V180" s="48"/>
      <c r="W180" s="48"/>
      <c r="X180" s="35"/>
      <c r="Z180" s="35"/>
      <c r="AA180" s="35"/>
      <c r="AB180" s="45">
        <v>871353</v>
      </c>
      <c r="AC180" s="65"/>
      <c r="AD180" s="45">
        <v>248969</v>
      </c>
      <c r="AE180" s="65"/>
      <c r="AF180" s="45">
        <v>0</v>
      </c>
      <c r="AG180" s="65"/>
      <c r="AH180" s="48">
        <f t="shared" si="5"/>
        <v>14784741</v>
      </c>
      <c r="AI180" s="48"/>
      <c r="AJ180" s="48">
        <v>0</v>
      </c>
      <c r="AK180" s="48"/>
      <c r="AL180" s="45">
        <v>1366662</v>
      </c>
      <c r="AM180" s="45"/>
      <c r="AN180" s="45">
        <v>23832949</v>
      </c>
      <c r="AO180" s="45"/>
      <c r="AP180" s="45">
        <v>0</v>
      </c>
      <c r="AQ180" s="45"/>
      <c r="AR180" s="45">
        <f>+'GVFund Rev'!U181+'GVFund Rev'!W181-'GVFund Exp'!AH180-'GVFund Exp'!AL180+AJ180+AN180+AP180-'GV Fund BS'!S181</f>
        <v>0</v>
      </c>
      <c r="AS180" s="48"/>
    </row>
    <row r="181" spans="1:45" s="44" customFormat="1" ht="12.75" customHeight="1">
      <c r="A181" s="44" t="s">
        <v>210</v>
      </c>
      <c r="C181" s="44" t="s">
        <v>211</v>
      </c>
      <c r="E181" s="45">
        <v>1385309</v>
      </c>
      <c r="F181" s="48"/>
      <c r="G181" s="45">
        <f>1884779+307132</f>
        <v>2191911</v>
      </c>
      <c r="H181" s="48"/>
      <c r="I181" s="45">
        <v>405086</v>
      </c>
      <c r="J181" s="48"/>
      <c r="K181" s="45">
        <v>193057</v>
      </c>
      <c r="L181" s="48"/>
      <c r="M181" s="45">
        <v>483502</v>
      </c>
      <c r="N181" s="48"/>
      <c r="O181" s="45">
        <v>51573</v>
      </c>
      <c r="P181" s="48"/>
      <c r="Q181" s="45">
        <v>0</v>
      </c>
      <c r="R181" s="48"/>
      <c r="S181" s="45">
        <v>538183</v>
      </c>
      <c r="T181" s="48"/>
      <c r="U181" s="45">
        <v>0</v>
      </c>
      <c r="V181" s="48"/>
      <c r="W181" s="48"/>
      <c r="X181" s="35"/>
      <c r="Z181" s="35"/>
      <c r="AA181" s="35"/>
      <c r="AB181" s="45">
        <v>96141</v>
      </c>
      <c r="AC181" s="65"/>
      <c r="AD181" s="45">
        <v>28787</v>
      </c>
      <c r="AE181" s="65"/>
      <c r="AF181" s="45">
        <v>0</v>
      </c>
      <c r="AG181" s="65"/>
      <c r="AH181" s="48">
        <f t="shared" si="5"/>
        <v>5373549</v>
      </c>
      <c r="AI181" s="48"/>
      <c r="AJ181" s="48">
        <v>0</v>
      </c>
      <c r="AK181" s="48"/>
      <c r="AL181" s="45">
        <v>528390</v>
      </c>
      <c r="AM181" s="45"/>
      <c r="AN181" s="45">
        <v>2135736</v>
      </c>
      <c r="AO181" s="45"/>
      <c r="AP181" s="45">
        <v>0</v>
      </c>
      <c r="AQ181" s="45"/>
      <c r="AR181" s="45">
        <f>+'GVFund Rev'!U182+'GVFund Rev'!W182-'GVFund Exp'!AH181-'GVFund Exp'!AL181+AJ181+AN181+AP181-'GV Fund BS'!S182</f>
        <v>0</v>
      </c>
      <c r="AS181" s="48"/>
    </row>
    <row r="182" spans="1:45" s="44" customFormat="1" ht="12.75" customHeight="1">
      <c r="A182" s="44" t="s">
        <v>212</v>
      </c>
      <c r="C182" s="44" t="s">
        <v>213</v>
      </c>
      <c r="E182" s="45">
        <v>3343309</v>
      </c>
      <c r="F182" s="48"/>
      <c r="G182" s="45">
        <v>7389885</v>
      </c>
      <c r="H182" s="48"/>
      <c r="I182" s="45">
        <v>484915</v>
      </c>
      <c r="J182" s="48"/>
      <c r="K182" s="45">
        <v>3083638</v>
      </c>
      <c r="L182" s="48"/>
      <c r="M182" s="45">
        <v>1319595</v>
      </c>
      <c r="N182" s="48"/>
      <c r="O182" s="45">
        <v>53261</v>
      </c>
      <c r="P182" s="48"/>
      <c r="Q182" s="45">
        <v>0</v>
      </c>
      <c r="R182" s="48"/>
      <c r="S182" s="45">
        <v>1069168</v>
      </c>
      <c r="T182" s="48"/>
      <c r="U182" s="45">
        <v>0</v>
      </c>
      <c r="V182" s="48"/>
      <c r="W182" s="48"/>
      <c r="X182" s="35"/>
      <c r="Z182" s="35"/>
      <c r="AA182" s="35"/>
      <c r="AB182" s="45">
        <v>242748</v>
      </c>
      <c r="AC182" s="65"/>
      <c r="AD182" s="45">
        <v>127206</v>
      </c>
      <c r="AE182" s="65"/>
      <c r="AF182" s="45">
        <v>0</v>
      </c>
      <c r="AG182" s="65"/>
      <c r="AH182" s="48">
        <f t="shared" si="5"/>
        <v>17113725</v>
      </c>
      <c r="AI182" s="48"/>
      <c r="AJ182" s="48">
        <v>0</v>
      </c>
      <c r="AK182" s="48"/>
      <c r="AL182" s="45">
        <v>1529576</v>
      </c>
      <c r="AM182" s="45"/>
      <c r="AN182" s="45">
        <v>4448417</v>
      </c>
      <c r="AO182" s="45"/>
      <c r="AP182" s="45">
        <v>-45893</v>
      </c>
      <c r="AQ182" s="45"/>
      <c r="AR182" s="45">
        <f>+'GVFund Rev'!U183+'GVFund Rev'!W183-'GVFund Exp'!AH182-'GVFund Exp'!AL182+AJ182+AN182+AP182-'GV Fund BS'!S183</f>
        <v>0</v>
      </c>
      <c r="AS182" s="48"/>
    </row>
    <row r="183" spans="1:45" s="44" customFormat="1" ht="12.75" customHeight="1">
      <c r="A183" s="44" t="s">
        <v>214</v>
      </c>
      <c r="C183" s="44" t="s">
        <v>86</v>
      </c>
      <c r="E183" s="45">
        <v>1535303</v>
      </c>
      <c r="F183" s="48"/>
      <c r="G183" s="45">
        <v>2207481</v>
      </c>
      <c r="H183" s="48"/>
      <c r="I183" s="45">
        <v>975662</v>
      </c>
      <c r="J183" s="48"/>
      <c r="K183" s="45">
        <v>0</v>
      </c>
      <c r="L183" s="48"/>
      <c r="M183" s="45">
        <v>0</v>
      </c>
      <c r="N183" s="48"/>
      <c r="O183" s="45">
        <v>625075</v>
      </c>
      <c r="P183" s="48"/>
      <c r="Q183" s="45">
        <v>1345507</v>
      </c>
      <c r="R183" s="48"/>
      <c r="S183" s="45">
        <v>5500</v>
      </c>
      <c r="T183" s="48"/>
      <c r="U183" s="45">
        <v>0</v>
      </c>
      <c r="V183" s="48"/>
      <c r="W183" s="48"/>
      <c r="X183" s="35"/>
      <c r="Z183" s="35"/>
      <c r="AA183" s="35"/>
      <c r="AB183" s="45">
        <v>1620000</v>
      </c>
      <c r="AC183" s="65"/>
      <c r="AD183" s="45">
        <v>1123916</v>
      </c>
      <c r="AE183" s="65"/>
      <c r="AF183" s="45">
        <v>73946</v>
      </c>
      <c r="AG183" s="65"/>
      <c r="AH183" s="48">
        <f t="shared" si="5"/>
        <v>9512390</v>
      </c>
      <c r="AI183" s="48"/>
      <c r="AJ183" s="48">
        <v>0</v>
      </c>
      <c r="AK183" s="48"/>
      <c r="AL183" s="45">
        <f>347350+3175000</f>
        <v>3522350</v>
      </c>
      <c r="AM183" s="45"/>
      <c r="AN183" s="45">
        <v>8544431</v>
      </c>
      <c r="AO183" s="45"/>
      <c r="AP183" s="45">
        <v>0</v>
      </c>
      <c r="AQ183" s="45"/>
      <c r="AR183" s="45">
        <f>+'GVFund Rev'!U184+'GVFund Rev'!W184-'GVFund Exp'!AH183-'GVFund Exp'!AL183+AJ183+AN183+AP183-'GV Fund BS'!S184</f>
        <v>0</v>
      </c>
      <c r="AS183" s="48"/>
    </row>
    <row r="184" spans="1:45" s="44" customFormat="1" ht="12.75" customHeight="1">
      <c r="A184" s="35" t="s">
        <v>215</v>
      </c>
      <c r="C184" s="35" t="s">
        <v>22</v>
      </c>
      <c r="E184" s="45">
        <v>1526180</v>
      </c>
      <c r="F184" s="48"/>
      <c r="G184" s="45">
        <f>3137076+2065618</f>
        <v>5202694</v>
      </c>
      <c r="H184" s="48"/>
      <c r="I184" s="45">
        <f>857842+49777</f>
        <v>907619</v>
      </c>
      <c r="J184" s="48"/>
      <c r="K184" s="45">
        <v>283396</v>
      </c>
      <c r="L184" s="48"/>
      <c r="M184" s="45">
        <v>1109976</v>
      </c>
      <c r="N184" s="48"/>
      <c r="O184" s="45">
        <v>743803</v>
      </c>
      <c r="P184" s="48"/>
      <c r="Q184" s="45">
        <v>0</v>
      </c>
      <c r="R184" s="48"/>
      <c r="S184" s="45">
        <v>1258788</v>
      </c>
      <c r="T184" s="48"/>
      <c r="U184" s="45">
        <v>0</v>
      </c>
      <c r="V184" s="48"/>
      <c r="W184" s="48"/>
      <c r="X184" s="35"/>
      <c r="Z184" s="35"/>
      <c r="AA184" s="35"/>
      <c r="AB184" s="45">
        <v>476055</v>
      </c>
      <c r="AC184" s="65"/>
      <c r="AD184" s="45">
        <v>307108</v>
      </c>
      <c r="AE184" s="65"/>
      <c r="AF184" s="45">
        <v>0</v>
      </c>
      <c r="AG184" s="65"/>
      <c r="AH184" s="48">
        <f t="shared" si="5"/>
        <v>11815619</v>
      </c>
      <c r="AI184" s="48"/>
      <c r="AJ184" s="48">
        <v>0</v>
      </c>
      <c r="AK184" s="48"/>
      <c r="AL184" s="45">
        <v>616687</v>
      </c>
      <c r="AM184" s="45"/>
      <c r="AN184" s="45">
        <v>13172177</v>
      </c>
      <c r="AO184" s="45"/>
      <c r="AP184" s="45">
        <v>0</v>
      </c>
      <c r="AQ184" s="45"/>
      <c r="AR184" s="45">
        <f>+'GVFund Rev'!U185+'GVFund Rev'!W185-'GVFund Exp'!AH184-'GVFund Exp'!AL184+AJ184+AN184+AP184-'GV Fund BS'!S185</f>
        <v>0</v>
      </c>
      <c r="AS184" s="48"/>
    </row>
    <row r="185" spans="1:45" s="44" customFormat="1" ht="12.75" customHeight="1">
      <c r="A185" s="35" t="s">
        <v>216</v>
      </c>
      <c r="C185" s="35" t="s">
        <v>45</v>
      </c>
      <c r="E185" s="45">
        <v>1953010</v>
      </c>
      <c r="F185" s="48"/>
      <c r="G185" s="45">
        <v>5463357</v>
      </c>
      <c r="H185" s="48"/>
      <c r="I185" s="45">
        <v>172574</v>
      </c>
      <c r="J185" s="48"/>
      <c r="K185" s="45">
        <v>10552</v>
      </c>
      <c r="L185" s="48"/>
      <c r="M185" s="45">
        <v>1994896</v>
      </c>
      <c r="N185" s="48"/>
      <c r="O185" s="45">
        <v>469888</v>
      </c>
      <c r="P185" s="48"/>
      <c r="Q185" s="45">
        <v>873428</v>
      </c>
      <c r="R185" s="48"/>
      <c r="S185" s="45">
        <v>364589</v>
      </c>
      <c r="T185" s="48"/>
      <c r="U185" s="45">
        <v>0</v>
      </c>
      <c r="V185" s="48"/>
      <c r="W185" s="48"/>
      <c r="X185" s="35"/>
      <c r="Z185" s="35"/>
      <c r="AA185" s="35"/>
      <c r="AB185" s="45">
        <v>175160</v>
      </c>
      <c r="AC185" s="65"/>
      <c r="AD185" s="45">
        <v>88236</v>
      </c>
      <c r="AE185" s="65"/>
      <c r="AF185" s="45">
        <v>0</v>
      </c>
      <c r="AG185" s="65"/>
      <c r="AH185" s="48">
        <f t="shared" si="5"/>
        <v>11565690</v>
      </c>
      <c r="AI185" s="48"/>
      <c r="AJ185" s="48">
        <v>0</v>
      </c>
      <c r="AK185" s="48"/>
      <c r="AL185" s="45">
        <v>648944</v>
      </c>
      <c r="AM185" s="45"/>
      <c r="AN185" s="45">
        <v>3457736</v>
      </c>
      <c r="AO185" s="45"/>
      <c r="AP185" s="45">
        <v>0</v>
      </c>
      <c r="AQ185" s="45"/>
      <c r="AR185" s="45">
        <f>+'GVFund Rev'!U186+'GVFund Rev'!W186-'GVFund Exp'!AH185-'GVFund Exp'!AL185+AJ185+AN185+AP185-'GV Fund BS'!S186</f>
        <v>0</v>
      </c>
      <c r="AS185" s="48"/>
    </row>
    <row r="186" spans="1:45" s="44" customFormat="1" ht="12.75" customHeight="1">
      <c r="A186" s="35" t="s">
        <v>217</v>
      </c>
      <c r="C186" s="35" t="s">
        <v>43</v>
      </c>
      <c r="E186" s="45">
        <v>5587780</v>
      </c>
      <c r="F186" s="48"/>
      <c r="G186" s="45">
        <v>7722369</v>
      </c>
      <c r="H186" s="48"/>
      <c r="I186" s="45">
        <v>1367087</v>
      </c>
      <c r="J186" s="48"/>
      <c r="K186" s="45">
        <v>202756</v>
      </c>
      <c r="L186" s="48"/>
      <c r="M186" s="45">
        <v>2242205</v>
      </c>
      <c r="N186" s="48"/>
      <c r="O186" s="45">
        <v>994898</v>
      </c>
      <c r="P186" s="48"/>
      <c r="Q186" s="45">
        <v>0</v>
      </c>
      <c r="R186" s="48"/>
      <c r="S186" s="45">
        <v>2674842</v>
      </c>
      <c r="T186" s="48"/>
      <c r="U186" s="45">
        <v>0</v>
      </c>
      <c r="V186" s="48"/>
      <c r="W186" s="48"/>
      <c r="X186" s="35"/>
      <c r="Z186" s="35"/>
      <c r="AA186" s="35"/>
      <c r="AB186" s="45">
        <v>1830983</v>
      </c>
      <c r="AC186" s="65"/>
      <c r="AD186" s="45">
        <v>992110</v>
      </c>
      <c r="AE186" s="65"/>
      <c r="AF186" s="45">
        <v>0</v>
      </c>
      <c r="AG186" s="65"/>
      <c r="AH186" s="48">
        <f t="shared" si="5"/>
        <v>23615030</v>
      </c>
      <c r="AI186" s="48"/>
      <c r="AJ186" s="48">
        <v>0</v>
      </c>
      <c r="AK186" s="48"/>
      <c r="AL186" s="45">
        <v>1300000</v>
      </c>
      <c r="AM186" s="45"/>
      <c r="AN186" s="45">
        <v>18086829</v>
      </c>
      <c r="AO186" s="45"/>
      <c r="AP186" s="45">
        <v>-99994</v>
      </c>
      <c r="AQ186" s="45"/>
      <c r="AR186" s="45">
        <f>+'GVFund Rev'!U187+'GVFund Rev'!W187-'GVFund Exp'!AH186-'GVFund Exp'!AL186+AJ186+AN186+AP186-'GV Fund BS'!S187</f>
        <v>0</v>
      </c>
      <c r="AS186" s="48"/>
    </row>
    <row r="187" spans="1:45" s="121" customFormat="1" ht="12.75" hidden="1" customHeight="1">
      <c r="A187" s="126" t="s">
        <v>218</v>
      </c>
      <c r="C187" s="126" t="s">
        <v>27</v>
      </c>
      <c r="E187" s="127">
        <v>0</v>
      </c>
      <c r="F187" s="130"/>
      <c r="G187" s="127">
        <v>0</v>
      </c>
      <c r="H187" s="130"/>
      <c r="I187" s="127">
        <v>0</v>
      </c>
      <c r="J187" s="130"/>
      <c r="K187" s="127">
        <v>0</v>
      </c>
      <c r="L187" s="130"/>
      <c r="M187" s="127">
        <v>0</v>
      </c>
      <c r="N187" s="130"/>
      <c r="O187" s="127">
        <v>0</v>
      </c>
      <c r="P187" s="130"/>
      <c r="Q187" s="127">
        <v>0</v>
      </c>
      <c r="R187" s="130"/>
      <c r="S187" s="127">
        <v>0</v>
      </c>
      <c r="T187" s="130"/>
      <c r="U187" s="127">
        <v>0</v>
      </c>
      <c r="V187" s="130"/>
      <c r="W187" s="130"/>
      <c r="X187" s="126"/>
      <c r="Z187" s="126"/>
      <c r="AA187" s="126"/>
      <c r="AB187" s="127">
        <v>0</v>
      </c>
      <c r="AC187" s="125"/>
      <c r="AD187" s="127">
        <v>0</v>
      </c>
      <c r="AE187" s="125"/>
      <c r="AF187" s="127">
        <v>0</v>
      </c>
      <c r="AG187" s="125"/>
      <c r="AH187" s="130">
        <f t="shared" si="5"/>
        <v>0</v>
      </c>
      <c r="AI187" s="130"/>
      <c r="AJ187" s="130">
        <v>0</v>
      </c>
      <c r="AK187" s="130"/>
      <c r="AL187" s="127">
        <v>0</v>
      </c>
      <c r="AM187" s="127"/>
      <c r="AN187" s="127">
        <v>0</v>
      </c>
      <c r="AO187" s="127"/>
      <c r="AP187" s="127">
        <v>0</v>
      </c>
      <c r="AQ187" s="127"/>
      <c r="AR187" s="127">
        <f>+'GVFund Rev'!U188+'GVFund Rev'!W188-'GVFund Exp'!AH187-'GVFund Exp'!AL187+AJ187+AN187+AP187-'GV Fund BS'!S188</f>
        <v>0</v>
      </c>
      <c r="AS187" s="130"/>
    </row>
    <row r="188" spans="1:45" s="44" customFormat="1" ht="12.75" customHeight="1">
      <c r="A188" s="35" t="s">
        <v>219</v>
      </c>
      <c r="C188" s="35" t="s">
        <v>199</v>
      </c>
      <c r="E188" s="45">
        <v>640856</v>
      </c>
      <c r="F188" s="48"/>
      <c r="G188" s="45">
        <v>1465034</v>
      </c>
      <c r="H188" s="48"/>
      <c r="I188" s="45">
        <v>0</v>
      </c>
      <c r="J188" s="48"/>
      <c r="K188" s="45">
        <v>111622</v>
      </c>
      <c r="L188" s="48"/>
      <c r="M188" s="45">
        <v>588847</v>
      </c>
      <c r="N188" s="48"/>
      <c r="O188" s="45">
        <v>460206</v>
      </c>
      <c r="P188" s="48"/>
      <c r="Q188" s="45">
        <v>459797</v>
      </c>
      <c r="R188" s="48"/>
      <c r="S188" s="45">
        <v>112717</v>
      </c>
      <c r="T188" s="48"/>
      <c r="U188" s="45">
        <v>0</v>
      </c>
      <c r="V188" s="48"/>
      <c r="W188" s="48"/>
      <c r="X188" s="35"/>
      <c r="Z188" s="35"/>
      <c r="AA188" s="35"/>
      <c r="AB188" s="45">
        <v>93577</v>
      </c>
      <c r="AC188" s="65"/>
      <c r="AD188" s="45">
        <v>49031</v>
      </c>
      <c r="AE188" s="65"/>
      <c r="AF188" s="45">
        <v>0</v>
      </c>
      <c r="AG188" s="65"/>
      <c r="AH188" s="48">
        <f t="shared" si="5"/>
        <v>3981687</v>
      </c>
      <c r="AI188" s="48"/>
      <c r="AJ188" s="48">
        <v>0</v>
      </c>
      <c r="AK188" s="48"/>
      <c r="AL188" s="45">
        <v>165000</v>
      </c>
      <c r="AM188" s="45"/>
      <c r="AN188" s="45">
        <v>1807048</v>
      </c>
      <c r="AO188" s="45"/>
      <c r="AP188" s="45">
        <v>0</v>
      </c>
      <c r="AQ188" s="45"/>
      <c r="AR188" s="45">
        <f>+'GVFund Rev'!U189+'GVFund Rev'!W189-'GVFund Exp'!AH188-'GVFund Exp'!AL188+AJ188+AN188+AP188-'GV Fund BS'!S189</f>
        <v>0</v>
      </c>
      <c r="AS188" s="48"/>
    </row>
    <row r="189" spans="1:45" s="44" customFormat="1" ht="12.75" customHeight="1">
      <c r="A189" s="35" t="s">
        <v>220</v>
      </c>
      <c r="C189" s="35" t="s">
        <v>66</v>
      </c>
      <c r="E189" s="45">
        <v>2349034</v>
      </c>
      <c r="F189" s="48"/>
      <c r="G189" s="45">
        <v>6110318</v>
      </c>
      <c r="H189" s="48"/>
      <c r="I189" s="45">
        <v>254769</v>
      </c>
      <c r="J189" s="48"/>
      <c r="K189" s="45">
        <v>3143</v>
      </c>
      <c r="L189" s="48"/>
      <c r="M189" s="45">
        <v>1450207</v>
      </c>
      <c r="N189" s="48"/>
      <c r="O189" s="45">
        <v>1538</v>
      </c>
      <c r="P189" s="48"/>
      <c r="Q189" s="45">
        <v>0</v>
      </c>
      <c r="R189" s="48"/>
      <c r="S189" s="45">
        <v>2254055</v>
      </c>
      <c r="T189" s="48"/>
      <c r="U189" s="45">
        <v>0</v>
      </c>
      <c r="V189" s="48"/>
      <c r="W189" s="48"/>
      <c r="X189" s="35"/>
      <c r="Z189" s="35"/>
      <c r="AA189" s="35"/>
      <c r="AB189" s="45">
        <v>234818</v>
      </c>
      <c r="AC189" s="65"/>
      <c r="AD189" s="45">
        <v>90061</v>
      </c>
      <c r="AE189" s="65"/>
      <c r="AF189" s="45">
        <v>0</v>
      </c>
      <c r="AG189" s="65"/>
      <c r="AH189" s="48">
        <f t="shared" si="5"/>
        <v>12747943</v>
      </c>
      <c r="AI189" s="48"/>
      <c r="AJ189" s="48">
        <v>0</v>
      </c>
      <c r="AK189" s="48"/>
      <c r="AL189" s="45">
        <v>4559733</v>
      </c>
      <c r="AM189" s="45"/>
      <c r="AN189" s="45">
        <v>6759827</v>
      </c>
      <c r="AO189" s="45"/>
      <c r="AP189" s="45">
        <v>0</v>
      </c>
      <c r="AQ189" s="45"/>
      <c r="AR189" s="45">
        <f>+'GVFund Rev'!U190+'GVFund Rev'!W190-'GVFund Exp'!AH189-'GVFund Exp'!AL189+AJ189+AN189+AP189-'GV Fund BS'!S190</f>
        <v>0</v>
      </c>
      <c r="AS189" s="48"/>
    </row>
    <row r="190" spans="1:45" s="44" customFormat="1" ht="12.75" customHeight="1">
      <c r="A190" s="35" t="s">
        <v>221</v>
      </c>
      <c r="C190" s="35" t="s">
        <v>27</v>
      </c>
      <c r="E190" s="45">
        <v>4886854</v>
      </c>
      <c r="F190" s="48"/>
      <c r="G190" s="45">
        <v>8768009</v>
      </c>
      <c r="H190" s="48"/>
      <c r="I190" s="45">
        <v>773306</v>
      </c>
      <c r="J190" s="48"/>
      <c r="K190" s="45">
        <v>1275714</v>
      </c>
      <c r="L190" s="48"/>
      <c r="M190" s="45">
        <v>2156384</v>
      </c>
      <c r="N190" s="48"/>
      <c r="O190" s="45">
        <v>3320100</v>
      </c>
      <c r="P190" s="48"/>
      <c r="Q190" s="45">
        <v>3353744</v>
      </c>
      <c r="R190" s="48"/>
      <c r="S190" s="45">
        <v>2118804</v>
      </c>
      <c r="T190" s="48"/>
      <c r="U190" s="45">
        <v>0</v>
      </c>
      <c r="V190" s="48"/>
      <c r="W190" s="48"/>
      <c r="X190" s="35"/>
      <c r="Z190" s="35"/>
      <c r="AA190" s="35"/>
      <c r="AB190" s="45">
        <v>1138080</v>
      </c>
      <c r="AC190" s="65"/>
      <c r="AD190" s="45">
        <v>815274</v>
      </c>
      <c r="AE190" s="65"/>
      <c r="AF190" s="45">
        <v>0</v>
      </c>
      <c r="AG190" s="65"/>
      <c r="AH190" s="48">
        <f t="shared" si="5"/>
        <v>28606269</v>
      </c>
      <c r="AI190" s="48"/>
      <c r="AJ190" s="48">
        <v>0</v>
      </c>
      <c r="AK190" s="48"/>
      <c r="AL190" s="45">
        <v>4471000</v>
      </c>
      <c r="AM190" s="45"/>
      <c r="AN190" s="45">
        <v>12089179</v>
      </c>
      <c r="AO190" s="45"/>
      <c r="AP190" s="45">
        <v>0</v>
      </c>
      <c r="AQ190" s="45"/>
      <c r="AR190" s="45">
        <f>+'GVFund Rev'!U191+'GVFund Rev'!W191-'GVFund Exp'!AH190-'GVFund Exp'!AL190+AJ190+AN190+AP190-'GV Fund BS'!S191</f>
        <v>0</v>
      </c>
      <c r="AS190" s="48"/>
    </row>
    <row r="191" spans="1:45" s="44" customFormat="1" ht="12.75" customHeight="1">
      <c r="A191" s="35" t="s">
        <v>222</v>
      </c>
      <c r="C191" s="35" t="s">
        <v>47</v>
      </c>
      <c r="E191" s="45">
        <v>1096015</v>
      </c>
      <c r="F191" s="48"/>
      <c r="G191" s="45">
        <v>2026427</v>
      </c>
      <c r="H191" s="48"/>
      <c r="I191" s="45">
        <v>0</v>
      </c>
      <c r="J191" s="48"/>
      <c r="K191" s="45">
        <v>0</v>
      </c>
      <c r="L191" s="48"/>
      <c r="M191" s="45">
        <v>1256501</v>
      </c>
      <c r="N191" s="48"/>
      <c r="O191" s="45">
        <v>310586</v>
      </c>
      <c r="P191" s="48"/>
      <c r="Q191" s="45">
        <v>245451</v>
      </c>
      <c r="R191" s="48"/>
      <c r="S191" s="45">
        <v>788085</v>
      </c>
      <c r="T191" s="48"/>
      <c r="U191" s="45">
        <v>0</v>
      </c>
      <c r="V191" s="48"/>
      <c r="W191" s="48"/>
      <c r="X191" s="35"/>
      <c r="Z191" s="35"/>
      <c r="AA191" s="35"/>
      <c r="AB191" s="45">
        <v>185000</v>
      </c>
      <c r="AC191" s="65"/>
      <c r="AD191" s="45">
        <v>170803</v>
      </c>
      <c r="AE191" s="65"/>
      <c r="AF191" s="45">
        <v>0</v>
      </c>
      <c r="AG191" s="65"/>
      <c r="AH191" s="48">
        <f t="shared" si="5"/>
        <v>6078868</v>
      </c>
      <c r="AI191" s="48"/>
      <c r="AJ191" s="48">
        <v>0</v>
      </c>
      <c r="AK191" s="48"/>
      <c r="AL191" s="45">
        <v>890663</v>
      </c>
      <c r="AM191" s="45"/>
      <c r="AN191" s="45">
        <v>4896438</v>
      </c>
      <c r="AO191" s="45"/>
      <c r="AP191" s="45">
        <v>0</v>
      </c>
      <c r="AQ191" s="45"/>
      <c r="AR191" s="45">
        <f>+'GVFund Rev'!U192+'GVFund Rev'!W192-'GVFund Exp'!AH191-'GVFund Exp'!AL191+AJ191+AN191+AP191-'GV Fund BS'!S192</f>
        <v>0</v>
      </c>
      <c r="AS191" s="48"/>
    </row>
    <row r="192" spans="1:45" s="44" customFormat="1" ht="12.75" customHeight="1">
      <c r="A192" s="35" t="s">
        <v>223</v>
      </c>
      <c r="C192" s="35" t="s">
        <v>94</v>
      </c>
      <c r="E192" s="45">
        <v>1183858</v>
      </c>
      <c r="F192" s="48"/>
      <c r="G192" s="45">
        <v>3489692</v>
      </c>
      <c r="H192" s="48"/>
      <c r="I192" s="45">
        <v>498429</v>
      </c>
      <c r="J192" s="48"/>
      <c r="K192" s="45">
        <v>98676</v>
      </c>
      <c r="L192" s="48"/>
      <c r="M192" s="45">
        <v>785054</v>
      </c>
      <c r="N192" s="48"/>
      <c r="O192" s="45">
        <v>462938</v>
      </c>
      <c r="P192" s="48"/>
      <c r="Q192" s="45">
        <v>0</v>
      </c>
      <c r="R192" s="48"/>
      <c r="S192" s="45">
        <v>728702</v>
      </c>
      <c r="T192" s="48"/>
      <c r="U192" s="45">
        <v>0</v>
      </c>
      <c r="V192" s="48"/>
      <c r="W192" s="48"/>
      <c r="X192" s="35"/>
      <c r="Z192" s="35"/>
      <c r="AA192" s="35"/>
      <c r="AB192" s="45">
        <v>177393</v>
      </c>
      <c r="AC192" s="65"/>
      <c r="AD192" s="45">
        <v>167222</v>
      </c>
      <c r="AE192" s="65"/>
      <c r="AF192" s="45">
        <v>0</v>
      </c>
      <c r="AG192" s="65"/>
      <c r="AH192" s="48">
        <f t="shared" si="5"/>
        <v>7591964</v>
      </c>
      <c r="AI192" s="48"/>
      <c r="AJ192" s="48">
        <v>0</v>
      </c>
      <c r="AK192" s="48"/>
      <c r="AL192" s="45">
        <v>4031794</v>
      </c>
      <c r="AM192" s="45"/>
      <c r="AN192" s="45">
        <v>1352136</v>
      </c>
      <c r="AO192" s="45"/>
      <c r="AP192" s="45">
        <v>31374</v>
      </c>
      <c r="AQ192" s="45"/>
      <c r="AR192" s="45">
        <f>+'GVFund Rev'!U193+'GVFund Rev'!W193-'GVFund Exp'!AH192-'GVFund Exp'!AL192+AJ192+AN192+AP192-'GV Fund BS'!S193</f>
        <v>0</v>
      </c>
      <c r="AS192" s="48"/>
    </row>
    <row r="193" spans="1:46" s="46" customFormat="1" ht="12.75" customHeight="1">
      <c r="A193" s="35" t="s">
        <v>76</v>
      </c>
      <c r="B193" s="44"/>
      <c r="C193" s="35" t="s">
        <v>132</v>
      </c>
      <c r="D193" s="44"/>
      <c r="E193" s="45">
        <f>957168+2795838+68108</f>
        <v>3821114</v>
      </c>
      <c r="F193" s="48"/>
      <c r="G193" s="45">
        <f>5440140+5263815+249581</f>
        <v>10953536</v>
      </c>
      <c r="H193" s="48"/>
      <c r="I193" s="45">
        <v>3464442</v>
      </c>
      <c r="J193" s="48"/>
      <c r="K193" s="45">
        <v>353288</v>
      </c>
      <c r="L193" s="48"/>
      <c r="M193" s="45">
        <v>3864900</v>
      </c>
      <c r="N193" s="48"/>
      <c r="O193" s="45">
        <v>340606</v>
      </c>
      <c r="P193" s="48"/>
      <c r="Q193" s="45">
        <v>0</v>
      </c>
      <c r="R193" s="48"/>
      <c r="S193" s="45">
        <v>4507569</v>
      </c>
      <c r="T193" s="48"/>
      <c r="U193" s="45">
        <v>0</v>
      </c>
      <c r="V193" s="48"/>
      <c r="W193" s="48"/>
      <c r="X193" s="35"/>
      <c r="Y193" s="44"/>
      <c r="Z193" s="35"/>
      <c r="AA193" s="35"/>
      <c r="AB193" s="45">
        <v>1213401</v>
      </c>
      <c r="AC193" s="65"/>
      <c r="AD193" s="45">
        <v>1241563</v>
      </c>
      <c r="AE193" s="65"/>
      <c r="AF193" s="45">
        <v>0</v>
      </c>
      <c r="AG193" s="65"/>
      <c r="AH193" s="48">
        <f t="shared" si="5"/>
        <v>29760419</v>
      </c>
      <c r="AI193" s="48"/>
      <c r="AJ193" s="48">
        <v>0</v>
      </c>
      <c r="AK193" s="48"/>
      <c r="AL193" s="45">
        <v>3567252</v>
      </c>
      <c r="AM193" s="45"/>
      <c r="AN193" s="45">
        <v>6793258</v>
      </c>
      <c r="AO193" s="45"/>
      <c r="AP193" s="45">
        <v>0</v>
      </c>
      <c r="AQ193" s="45"/>
      <c r="AR193" s="45">
        <f>+'GVFund Rev'!U194+'GVFund Rev'!W194-'GVFund Exp'!AH193-'GVFund Exp'!AL193+AJ193+AN193+AP193-'GV Fund BS'!S194</f>
        <v>0</v>
      </c>
      <c r="AS193" s="48"/>
    </row>
    <row r="194" spans="1:46" s="44" customFormat="1" ht="12.75" customHeight="1">
      <c r="A194" s="64" t="s">
        <v>224</v>
      </c>
      <c r="B194" s="46"/>
      <c r="C194" s="64" t="s">
        <v>27</v>
      </c>
      <c r="D194" s="46"/>
      <c r="E194" s="45">
        <v>1986330</v>
      </c>
      <c r="F194" s="48"/>
      <c r="G194" s="45">
        <v>4030208</v>
      </c>
      <c r="H194" s="48"/>
      <c r="I194" s="45">
        <v>682030</v>
      </c>
      <c r="J194" s="48"/>
      <c r="K194" s="45">
        <v>943836</v>
      </c>
      <c r="L194" s="48"/>
      <c r="M194" s="45">
        <v>2090904</v>
      </c>
      <c r="N194" s="48"/>
      <c r="O194" s="45">
        <v>1313384</v>
      </c>
      <c r="P194" s="48"/>
      <c r="Q194" s="45">
        <v>114526</v>
      </c>
      <c r="R194" s="48"/>
      <c r="S194" s="45">
        <v>544509</v>
      </c>
      <c r="T194" s="48"/>
      <c r="U194" s="45">
        <v>0</v>
      </c>
      <c r="V194" s="48"/>
      <c r="W194" s="48"/>
      <c r="X194" s="35"/>
      <c r="Z194" s="35"/>
      <c r="AA194" s="35"/>
      <c r="AB194" s="45">
        <v>3804729</v>
      </c>
      <c r="AC194" s="65"/>
      <c r="AD194" s="45">
        <v>848992</v>
      </c>
      <c r="AE194" s="65"/>
      <c r="AF194" s="45">
        <v>1995</v>
      </c>
      <c r="AG194" s="65"/>
      <c r="AH194" s="48">
        <f t="shared" si="5"/>
        <v>16361443</v>
      </c>
      <c r="AI194" s="48"/>
      <c r="AJ194" s="48">
        <v>0</v>
      </c>
      <c r="AK194" s="48"/>
      <c r="AL194" s="45">
        <v>1269069</v>
      </c>
      <c r="AM194" s="45"/>
      <c r="AN194" s="45">
        <v>6967389</v>
      </c>
      <c r="AO194" s="45"/>
      <c r="AP194" s="45">
        <v>0</v>
      </c>
      <c r="AQ194" s="45"/>
      <c r="AR194" s="45">
        <f>+'GVFund Rev'!U195+'GVFund Rev'!W195-'GVFund Exp'!AH194-'GVFund Exp'!AL194+AJ194+AN194+AP194-'GV Fund BS'!S195</f>
        <v>0</v>
      </c>
      <c r="AS194" s="48"/>
    </row>
    <row r="195" spans="1:46" s="44" customFormat="1" ht="12.75" customHeight="1">
      <c r="A195" s="35" t="s">
        <v>225</v>
      </c>
      <c r="C195" s="35" t="s">
        <v>27</v>
      </c>
      <c r="E195" s="48">
        <f>4587798+2364373</f>
        <v>6952171</v>
      </c>
      <c r="F195" s="48"/>
      <c r="G195" s="48">
        <f>13716293+7561580+818337</f>
        <v>22096210</v>
      </c>
      <c r="H195" s="48"/>
      <c r="I195" s="48">
        <v>6748290</v>
      </c>
      <c r="J195" s="48"/>
      <c r="K195" s="48">
        <v>584712</v>
      </c>
      <c r="L195" s="48"/>
      <c r="M195" s="48">
        <v>3598187</v>
      </c>
      <c r="N195" s="48"/>
      <c r="O195" s="48">
        <f>3231369+924244</f>
        <v>4155613</v>
      </c>
      <c r="P195" s="48"/>
      <c r="Q195" s="48">
        <f>4697166+2428497</f>
        <v>7125663</v>
      </c>
      <c r="R195" s="48"/>
      <c r="S195" s="48">
        <v>0</v>
      </c>
      <c r="T195" s="48"/>
      <c r="U195" s="48">
        <v>0</v>
      </c>
      <c r="V195" s="48"/>
      <c r="W195" s="48"/>
      <c r="X195" s="35"/>
      <c r="Z195" s="35"/>
      <c r="AA195" s="35"/>
      <c r="AB195" s="48">
        <v>1993420</v>
      </c>
      <c r="AC195" s="65"/>
      <c r="AD195" s="48">
        <v>903720</v>
      </c>
      <c r="AE195" s="65"/>
      <c r="AF195" s="44">
        <v>0</v>
      </c>
      <c r="AG195" s="65"/>
      <c r="AH195" s="48">
        <f t="shared" ref="AH195" si="6">SUM(E195:AF195)</f>
        <v>54157986</v>
      </c>
      <c r="AI195" s="48"/>
      <c r="AJ195" s="48">
        <v>0</v>
      </c>
      <c r="AK195" s="48"/>
      <c r="AL195" s="45">
        <v>4249037</v>
      </c>
      <c r="AM195" s="45"/>
      <c r="AN195" s="45">
        <v>40285955</v>
      </c>
      <c r="AO195" s="94"/>
      <c r="AP195" s="94">
        <v>0</v>
      </c>
      <c r="AQ195" s="94"/>
      <c r="AR195" s="94">
        <f>+'GVFund Rev'!U196+'GVFund Rev'!W196-'GVFund Exp'!AH195-'GVFund Exp'!AL195+AJ195+AN195+AP195-'GV Fund BS'!S196</f>
        <v>0</v>
      </c>
      <c r="AS195" s="68"/>
      <c r="AT195" s="46"/>
    </row>
    <row r="196" spans="1:46" s="44" customFormat="1" ht="12.75" customHeight="1">
      <c r="A196" s="64"/>
      <c r="B196" s="46"/>
      <c r="C196" s="64"/>
      <c r="D196" s="46"/>
      <c r="E196" s="45"/>
      <c r="F196" s="48"/>
      <c r="G196" s="45"/>
      <c r="H196" s="48"/>
      <c r="I196" s="45"/>
      <c r="J196" s="48"/>
      <c r="K196" s="45"/>
      <c r="L196" s="48"/>
      <c r="M196" s="45"/>
      <c r="N196" s="48"/>
      <c r="O196" s="45"/>
      <c r="P196" s="48"/>
      <c r="Q196" s="45"/>
      <c r="R196" s="48"/>
      <c r="S196" s="45"/>
      <c r="T196" s="48"/>
      <c r="U196" s="45"/>
      <c r="V196" s="48"/>
      <c r="W196" s="48"/>
      <c r="X196" s="35"/>
      <c r="Z196" s="35"/>
      <c r="AA196" s="35"/>
      <c r="AB196" s="45"/>
      <c r="AC196" s="65"/>
      <c r="AD196" s="45"/>
      <c r="AE196" s="65"/>
      <c r="AF196" s="45"/>
      <c r="AG196" s="65"/>
      <c r="AH196" s="48"/>
      <c r="AI196" s="48"/>
      <c r="AJ196" s="48"/>
      <c r="AK196" s="48"/>
      <c r="AL196" s="48" t="s">
        <v>484</v>
      </c>
      <c r="AM196" s="45"/>
      <c r="AN196" s="45"/>
      <c r="AO196" s="45"/>
      <c r="AP196" s="45"/>
      <c r="AQ196" s="45"/>
      <c r="AR196" s="45"/>
      <c r="AS196" s="48"/>
    </row>
    <row r="197" spans="1:46" s="46" customFormat="1" ht="12.75" customHeight="1">
      <c r="A197" s="64" t="s">
        <v>226</v>
      </c>
      <c r="C197" s="64" t="s">
        <v>45</v>
      </c>
      <c r="E197" s="94">
        <v>3252463</v>
      </c>
      <c r="F197" s="68"/>
      <c r="G197" s="94">
        <v>11522061</v>
      </c>
      <c r="H197" s="68"/>
      <c r="I197" s="94">
        <v>543526</v>
      </c>
      <c r="J197" s="68"/>
      <c r="K197" s="94">
        <v>445765</v>
      </c>
      <c r="L197" s="68"/>
      <c r="M197" s="94">
        <v>1785519</v>
      </c>
      <c r="N197" s="68"/>
      <c r="O197" s="94">
        <v>2664712</v>
      </c>
      <c r="P197" s="68"/>
      <c r="Q197" s="94">
        <v>466805</v>
      </c>
      <c r="R197" s="68"/>
      <c r="S197" s="94">
        <v>3921251</v>
      </c>
      <c r="T197" s="68"/>
      <c r="U197" s="94">
        <v>0</v>
      </c>
      <c r="V197" s="68"/>
      <c r="W197" s="68"/>
      <c r="X197" s="64"/>
      <c r="Z197" s="64"/>
      <c r="AA197" s="64"/>
      <c r="AB197" s="94">
        <v>1325000</v>
      </c>
      <c r="AC197" s="66"/>
      <c r="AD197" s="94">
        <v>643042</v>
      </c>
      <c r="AE197" s="66"/>
      <c r="AF197" s="94">
        <v>0</v>
      </c>
      <c r="AG197" s="66"/>
      <c r="AH197" s="68">
        <f t="shared" ref="AH197:AH255" si="7">SUM(E197:AF197)</f>
        <v>26570144</v>
      </c>
      <c r="AI197" s="68"/>
      <c r="AJ197" s="68">
        <v>0</v>
      </c>
      <c r="AK197" s="68"/>
      <c r="AL197" s="94">
        <v>1957663</v>
      </c>
      <c r="AM197" s="94"/>
      <c r="AN197" s="94">
        <v>7923633</v>
      </c>
      <c r="AO197" s="94"/>
      <c r="AP197" s="94">
        <v>-88315</v>
      </c>
      <c r="AQ197" s="94"/>
      <c r="AR197" s="94">
        <f>+'GVFund Rev'!U197+'GVFund Rev'!W197-'GVFund Exp'!AH197-'GVFund Exp'!AL197+AJ197+AN197+AP197-'GV Fund BS'!S197</f>
        <v>0</v>
      </c>
      <c r="AS197" s="68"/>
    </row>
    <row r="198" spans="1:46" s="46" customFormat="1" ht="12.75" customHeight="1">
      <c r="A198" s="64" t="s">
        <v>227</v>
      </c>
      <c r="C198" s="64" t="s">
        <v>17</v>
      </c>
      <c r="E198" s="45">
        <v>1237684</v>
      </c>
      <c r="F198" s="48"/>
      <c r="G198" s="45">
        <v>2694963</v>
      </c>
      <c r="H198" s="48"/>
      <c r="I198" s="45">
        <v>173985</v>
      </c>
      <c r="J198" s="48"/>
      <c r="K198" s="45">
        <v>22205</v>
      </c>
      <c r="L198" s="48"/>
      <c r="M198" s="45">
        <v>1010225</v>
      </c>
      <c r="N198" s="48"/>
      <c r="O198" s="45">
        <v>120202</v>
      </c>
      <c r="P198" s="48"/>
      <c r="Q198" s="45">
        <v>674524</v>
      </c>
      <c r="R198" s="48"/>
      <c r="S198" s="45">
        <v>205580</v>
      </c>
      <c r="T198" s="48"/>
      <c r="U198" s="45">
        <v>0</v>
      </c>
      <c r="V198" s="48"/>
      <c r="W198" s="48"/>
      <c r="X198" s="35"/>
      <c r="Y198" s="44"/>
      <c r="Z198" s="35"/>
      <c r="AA198" s="35"/>
      <c r="AB198" s="45">
        <f>833720+110000+15106+24457</f>
        <v>983283</v>
      </c>
      <c r="AC198" s="65"/>
      <c r="AD198" s="45">
        <v>112132</v>
      </c>
      <c r="AE198" s="65"/>
      <c r="AF198" s="45">
        <v>0</v>
      </c>
      <c r="AG198" s="65"/>
      <c r="AH198" s="48">
        <f t="shared" si="7"/>
        <v>7234783</v>
      </c>
      <c r="AI198" s="48"/>
      <c r="AJ198" s="48">
        <v>0</v>
      </c>
      <c r="AK198" s="48"/>
      <c r="AL198" s="45">
        <v>378705</v>
      </c>
      <c r="AM198" s="45"/>
      <c r="AN198" s="45">
        <v>1727632</v>
      </c>
      <c r="AO198" s="45"/>
      <c r="AP198" s="45">
        <v>0</v>
      </c>
      <c r="AQ198" s="45"/>
      <c r="AR198" s="45">
        <f>+'GVFund Rev'!U198+'GVFund Rev'!W198-'GVFund Exp'!AH198-'GVFund Exp'!AL198+AJ198+AN198+AP198-'GV Fund BS'!S198</f>
        <v>0</v>
      </c>
      <c r="AS198" s="68"/>
    </row>
    <row r="199" spans="1:46" s="46" customFormat="1" ht="12.75" customHeight="1">
      <c r="A199" s="35" t="s">
        <v>228</v>
      </c>
      <c r="B199" s="44"/>
      <c r="C199" s="35" t="s">
        <v>153</v>
      </c>
      <c r="D199" s="44"/>
      <c r="E199" s="45">
        <v>1101600</v>
      </c>
      <c r="F199" s="48"/>
      <c r="G199" s="45">
        <v>3126716</v>
      </c>
      <c r="H199" s="48"/>
      <c r="I199" s="45">
        <v>972904</v>
      </c>
      <c r="J199" s="48"/>
      <c r="K199" s="45">
        <v>279589</v>
      </c>
      <c r="L199" s="48"/>
      <c r="M199" s="45">
        <v>645244</v>
      </c>
      <c r="N199" s="48"/>
      <c r="O199" s="45">
        <v>71971</v>
      </c>
      <c r="P199" s="48"/>
      <c r="Q199" s="45">
        <v>42995</v>
      </c>
      <c r="R199" s="48"/>
      <c r="S199" s="45">
        <v>514173</v>
      </c>
      <c r="T199" s="48"/>
      <c r="U199" s="45">
        <v>0</v>
      </c>
      <c r="V199" s="48"/>
      <c r="W199" s="48"/>
      <c r="X199" s="35"/>
      <c r="Y199" s="44"/>
      <c r="Z199" s="35"/>
      <c r="AA199" s="35"/>
      <c r="AB199" s="45">
        <v>195164</v>
      </c>
      <c r="AC199" s="65"/>
      <c r="AD199" s="45">
        <v>34973</v>
      </c>
      <c r="AE199" s="65"/>
      <c r="AF199" s="45">
        <v>0</v>
      </c>
      <c r="AG199" s="65"/>
      <c r="AH199" s="48">
        <f t="shared" si="7"/>
        <v>6985329</v>
      </c>
      <c r="AI199" s="48"/>
      <c r="AJ199" s="48">
        <v>0</v>
      </c>
      <c r="AK199" s="48"/>
      <c r="AL199" s="45">
        <v>280250</v>
      </c>
      <c r="AM199" s="45"/>
      <c r="AN199" s="45">
        <v>4411851</v>
      </c>
      <c r="AO199" s="45"/>
      <c r="AP199" s="45">
        <v>38027</v>
      </c>
      <c r="AQ199" s="45"/>
      <c r="AR199" s="45">
        <f>+'GVFund Rev'!U199+'GVFund Rev'!W199-'GVFund Exp'!AH199-'GVFund Exp'!AL199+AJ199+AN199+AP199-'GV Fund BS'!S199</f>
        <v>0</v>
      </c>
      <c r="AS199" s="68"/>
    </row>
    <row r="200" spans="1:46" s="44" customFormat="1" ht="12.75" customHeight="1">
      <c r="A200" s="35" t="s">
        <v>229</v>
      </c>
      <c r="C200" s="35" t="s">
        <v>228</v>
      </c>
      <c r="E200" s="45">
        <v>1250657</v>
      </c>
      <c r="F200" s="48"/>
      <c r="G200" s="45">
        <f>5736959+4112147+1421674</f>
        <v>11270780</v>
      </c>
      <c r="H200" s="48"/>
      <c r="I200" s="45">
        <f>440069+1080338</f>
        <v>1520407</v>
      </c>
      <c r="J200" s="48"/>
      <c r="K200" s="45">
        <v>193334</v>
      </c>
      <c r="L200" s="48"/>
      <c r="M200" s="45">
        <v>1443553</v>
      </c>
      <c r="N200" s="48"/>
      <c r="O200" s="45">
        <v>1186393</v>
      </c>
      <c r="P200" s="48"/>
      <c r="Q200" s="45">
        <v>14127</v>
      </c>
      <c r="R200" s="48"/>
      <c r="S200" s="45">
        <v>2077675</v>
      </c>
      <c r="T200" s="48"/>
      <c r="U200" s="45">
        <v>0</v>
      </c>
      <c r="V200" s="48"/>
      <c r="W200" s="48"/>
      <c r="X200" s="35"/>
      <c r="Z200" s="35"/>
      <c r="AA200" s="35"/>
      <c r="AB200" s="45">
        <v>1360000</v>
      </c>
      <c r="AC200" s="65"/>
      <c r="AD200" s="45">
        <v>360066</v>
      </c>
      <c r="AE200" s="65"/>
      <c r="AF200" s="45">
        <v>0</v>
      </c>
      <c r="AG200" s="65"/>
      <c r="AH200" s="48">
        <f t="shared" si="7"/>
        <v>20676992</v>
      </c>
      <c r="AI200" s="48"/>
      <c r="AJ200" s="48">
        <v>0</v>
      </c>
      <c r="AK200" s="48"/>
      <c r="AL200" s="45">
        <v>160000</v>
      </c>
      <c r="AM200" s="45"/>
      <c r="AN200" s="45">
        <v>8006834</v>
      </c>
      <c r="AO200" s="45"/>
      <c r="AP200" s="45">
        <v>0</v>
      </c>
      <c r="AQ200" s="45"/>
      <c r="AR200" s="45">
        <f>+'GVFund Rev'!U200+'GVFund Rev'!W200-'GVFund Exp'!AH200-'GVFund Exp'!AL200+AJ200+AN200+AP200-'GV Fund BS'!S200</f>
        <v>0</v>
      </c>
      <c r="AS200" s="48"/>
    </row>
    <row r="201" spans="1:46" s="44" customFormat="1" ht="12.75" customHeight="1">
      <c r="A201" s="35" t="s">
        <v>230</v>
      </c>
      <c r="C201" s="35" t="s">
        <v>45</v>
      </c>
      <c r="E201" s="45">
        <v>736080</v>
      </c>
      <c r="F201" s="48"/>
      <c r="G201" s="45">
        <v>1359068</v>
      </c>
      <c r="H201" s="48"/>
      <c r="I201" s="45">
        <v>448426</v>
      </c>
      <c r="J201" s="48"/>
      <c r="K201" s="45">
        <v>5076</v>
      </c>
      <c r="L201" s="48"/>
      <c r="M201" s="45">
        <v>312187</v>
      </c>
      <c r="N201" s="48"/>
      <c r="O201" s="45">
        <v>56759</v>
      </c>
      <c r="P201" s="48"/>
      <c r="Q201" s="45">
        <v>0</v>
      </c>
      <c r="R201" s="48"/>
      <c r="S201" s="45">
        <v>398083</v>
      </c>
      <c r="T201" s="48"/>
      <c r="U201" s="45">
        <v>0</v>
      </c>
      <c r="V201" s="48"/>
      <c r="W201" s="48"/>
      <c r="X201" s="35"/>
      <c r="Z201" s="35"/>
      <c r="AA201" s="35"/>
      <c r="AB201" s="45">
        <v>185886</v>
      </c>
      <c r="AC201" s="65"/>
      <c r="AD201" s="45">
        <v>50054</v>
      </c>
      <c r="AE201" s="65"/>
      <c r="AF201" s="45">
        <v>19811</v>
      </c>
      <c r="AG201" s="65"/>
      <c r="AH201" s="48">
        <f t="shared" si="7"/>
        <v>3571430</v>
      </c>
      <c r="AI201" s="48"/>
      <c r="AJ201" s="48">
        <v>0</v>
      </c>
      <c r="AK201" s="48"/>
      <c r="AL201" s="45">
        <v>1907352</v>
      </c>
      <c r="AM201" s="45"/>
      <c r="AN201" s="45">
        <v>1129040</v>
      </c>
      <c r="AO201" s="45"/>
      <c r="AP201" s="45">
        <v>-14603</v>
      </c>
      <c r="AQ201" s="45"/>
      <c r="AR201" s="45">
        <f>+'GVFund Rev'!U201+'GVFund Rev'!W201-'GVFund Exp'!AH201-'GVFund Exp'!AL201+AJ201+AN201+AP201-'GV Fund BS'!S201</f>
        <v>0</v>
      </c>
      <c r="AS201" s="48"/>
    </row>
    <row r="202" spans="1:46" s="44" customFormat="1" ht="12.75" customHeight="1">
      <c r="A202" s="35" t="s">
        <v>231</v>
      </c>
      <c r="C202" s="35" t="s">
        <v>27</v>
      </c>
      <c r="E202" s="45">
        <v>4327183</v>
      </c>
      <c r="F202" s="48"/>
      <c r="G202" s="45">
        <f>8264487+7429107+252624</f>
        <v>15946218</v>
      </c>
      <c r="H202" s="48"/>
      <c r="I202" s="45">
        <v>3001106</v>
      </c>
      <c r="J202" s="48"/>
      <c r="K202" s="45">
        <v>81915</v>
      </c>
      <c r="L202" s="48"/>
      <c r="M202" s="45">
        <v>6429141</v>
      </c>
      <c r="N202" s="48"/>
      <c r="O202" s="45">
        <v>5669661</v>
      </c>
      <c r="P202" s="48"/>
      <c r="Q202" s="45">
        <v>1890447</v>
      </c>
      <c r="R202" s="48"/>
      <c r="S202" s="45">
        <v>14549895</v>
      </c>
      <c r="T202" s="48"/>
      <c r="U202" s="45">
        <v>0</v>
      </c>
      <c r="V202" s="48"/>
      <c r="W202" s="48"/>
      <c r="X202" s="35"/>
      <c r="Z202" s="35"/>
      <c r="AA202" s="35"/>
      <c r="AB202" s="45">
        <v>1995556</v>
      </c>
      <c r="AC202" s="65"/>
      <c r="AD202" s="45">
        <v>657129</v>
      </c>
      <c r="AE202" s="65"/>
      <c r="AF202" s="45">
        <v>0</v>
      </c>
      <c r="AG202" s="65"/>
      <c r="AH202" s="48">
        <f t="shared" si="7"/>
        <v>54548251</v>
      </c>
      <c r="AI202" s="48"/>
      <c r="AJ202" s="48">
        <v>0</v>
      </c>
      <c r="AK202" s="48"/>
      <c r="AL202" s="45">
        <v>7601298</v>
      </c>
      <c r="AM202" s="45"/>
      <c r="AN202" s="45">
        <v>33822151</v>
      </c>
      <c r="AO202" s="45"/>
      <c r="AP202" s="45">
        <v>0</v>
      </c>
      <c r="AQ202" s="45"/>
      <c r="AR202" s="45">
        <f>+'GVFund Rev'!U202+'GVFund Rev'!W202-'GVFund Exp'!AH202-'GVFund Exp'!AL202+AJ202+AN202+AP202-'GV Fund BS'!S202</f>
        <v>0</v>
      </c>
      <c r="AS202" s="48"/>
    </row>
    <row r="203" spans="1:46" s="44" customFormat="1" ht="12.75" customHeight="1">
      <c r="A203" s="64" t="s">
        <v>232</v>
      </c>
      <c r="B203" s="46"/>
      <c r="C203" s="64" t="s">
        <v>27</v>
      </c>
      <c r="D203" s="46"/>
      <c r="E203" s="45">
        <f>2364218+520867</f>
        <v>2885085</v>
      </c>
      <c r="F203" s="48"/>
      <c r="G203" s="45">
        <f>5236295+4326610</f>
        <v>9562905</v>
      </c>
      <c r="H203" s="48"/>
      <c r="I203" s="45">
        <v>215342</v>
      </c>
      <c r="J203" s="48"/>
      <c r="K203" s="45">
        <v>127799</v>
      </c>
      <c r="L203" s="48"/>
      <c r="M203" s="45">
        <v>1830847</v>
      </c>
      <c r="N203" s="48"/>
      <c r="O203" s="45">
        <v>356328</v>
      </c>
      <c r="P203" s="48"/>
      <c r="Q203" s="45">
        <f>639842+2335128+263621</f>
        <v>3238591</v>
      </c>
      <c r="R203" s="48"/>
      <c r="S203" s="45">
        <v>2738593</v>
      </c>
      <c r="T203" s="48"/>
      <c r="U203" s="45">
        <v>0</v>
      </c>
      <c r="V203" s="48"/>
      <c r="W203" s="48"/>
      <c r="X203" s="35"/>
      <c r="Z203" s="35"/>
      <c r="AA203" s="35"/>
      <c r="AB203" s="45">
        <v>19506156</v>
      </c>
      <c r="AC203" s="65"/>
      <c r="AD203" s="45">
        <v>1200981</v>
      </c>
      <c r="AE203" s="65"/>
      <c r="AF203" s="45">
        <f>541414+222738</f>
        <v>764152</v>
      </c>
      <c r="AG203" s="65"/>
      <c r="AH203" s="48">
        <f t="shared" si="7"/>
        <v>42426779</v>
      </c>
      <c r="AI203" s="48"/>
      <c r="AJ203" s="48">
        <v>0</v>
      </c>
      <c r="AK203" s="48"/>
      <c r="AL203" s="45">
        <v>673478</v>
      </c>
      <c r="AM203" s="45"/>
      <c r="AN203" s="45">
        <v>25926754</v>
      </c>
      <c r="AO203" s="45"/>
      <c r="AP203" s="45">
        <v>0</v>
      </c>
      <c r="AQ203" s="45"/>
      <c r="AR203" s="45">
        <f>+'GVFund Rev'!U203+'GVFund Rev'!W203-'GVFund Exp'!AH203-'GVFund Exp'!AL203+AJ203+AN203+AP203-'GV Fund BS'!S203</f>
        <v>0</v>
      </c>
      <c r="AS203" s="48"/>
    </row>
    <row r="204" spans="1:46" s="44" customFormat="1" ht="12.75" customHeight="1">
      <c r="A204" s="35" t="s">
        <v>233</v>
      </c>
      <c r="C204" s="35" t="s">
        <v>111</v>
      </c>
      <c r="E204" s="45">
        <v>4421751</v>
      </c>
      <c r="F204" s="48"/>
      <c r="G204" s="45">
        <v>2855621</v>
      </c>
      <c r="H204" s="48"/>
      <c r="I204" s="45">
        <v>608100</v>
      </c>
      <c r="J204" s="48"/>
      <c r="K204" s="45">
        <v>15066</v>
      </c>
      <c r="L204" s="48"/>
      <c r="M204" s="45">
        <v>996012</v>
      </c>
      <c r="N204" s="48"/>
      <c r="O204" s="45">
        <v>463880</v>
      </c>
      <c r="P204" s="48"/>
      <c r="Q204" s="45">
        <v>0</v>
      </c>
      <c r="R204" s="48"/>
      <c r="S204" s="45">
        <v>2812497</v>
      </c>
      <c r="T204" s="48"/>
      <c r="U204" s="45">
        <v>0</v>
      </c>
      <c r="V204" s="48"/>
      <c r="W204" s="48"/>
      <c r="X204" s="35"/>
      <c r="Z204" s="35"/>
      <c r="AA204" s="35"/>
      <c r="AB204" s="45">
        <v>1180000</v>
      </c>
      <c r="AC204" s="65"/>
      <c r="AD204" s="45">
        <v>737543</v>
      </c>
      <c r="AE204" s="65"/>
      <c r="AF204" s="45">
        <v>0</v>
      </c>
      <c r="AG204" s="65"/>
      <c r="AH204" s="48">
        <f t="shared" si="7"/>
        <v>14090470</v>
      </c>
      <c r="AI204" s="48"/>
      <c r="AJ204" s="48">
        <v>0</v>
      </c>
      <c r="AK204" s="48"/>
      <c r="AL204" s="45">
        <v>3955003</v>
      </c>
      <c r="AM204" s="45"/>
      <c r="AN204" s="45">
        <v>9803721</v>
      </c>
      <c r="AO204" s="45"/>
      <c r="AP204" s="45">
        <v>-8344</v>
      </c>
      <c r="AQ204" s="45"/>
      <c r="AR204" s="45">
        <f>+'GVFund Rev'!U204+'GVFund Rev'!W204-'GVFund Exp'!AH204-'GVFund Exp'!AL204+AJ204+AN204+AP204-'GV Fund BS'!S204</f>
        <v>0</v>
      </c>
      <c r="AS204" s="48"/>
    </row>
    <row r="205" spans="1:46" s="44" customFormat="1" ht="12.75" customHeight="1">
      <c r="A205" s="35" t="s">
        <v>234</v>
      </c>
      <c r="C205" s="35" t="s">
        <v>45</v>
      </c>
      <c r="E205" s="45">
        <v>5029013</v>
      </c>
      <c r="F205" s="48"/>
      <c r="G205" s="45">
        <v>8518865</v>
      </c>
      <c r="H205" s="48"/>
      <c r="I205" s="45">
        <v>658852</v>
      </c>
      <c r="J205" s="48"/>
      <c r="K205" s="45">
        <v>368057</v>
      </c>
      <c r="L205" s="48"/>
      <c r="M205" s="45">
        <v>1432936</v>
      </c>
      <c r="N205" s="48"/>
      <c r="O205" s="45">
        <v>1567079</v>
      </c>
      <c r="P205" s="48"/>
      <c r="Q205" s="45">
        <v>0</v>
      </c>
      <c r="R205" s="48"/>
      <c r="S205" s="45">
        <v>1934377</v>
      </c>
      <c r="T205" s="48"/>
      <c r="U205" s="45">
        <v>0</v>
      </c>
      <c r="V205" s="48"/>
      <c r="W205" s="48"/>
      <c r="X205" s="35"/>
      <c r="Z205" s="35"/>
      <c r="AA205" s="35"/>
      <c r="AB205" s="45">
        <v>471480</v>
      </c>
      <c r="AC205" s="65"/>
      <c r="AD205" s="45">
        <v>291522</v>
      </c>
      <c r="AE205" s="65"/>
      <c r="AF205" s="45">
        <v>0</v>
      </c>
      <c r="AG205" s="65"/>
      <c r="AH205" s="48">
        <f t="shared" si="7"/>
        <v>20272181</v>
      </c>
      <c r="AI205" s="48"/>
      <c r="AJ205" s="48">
        <v>0</v>
      </c>
      <c r="AK205" s="48"/>
      <c r="AL205" s="45">
        <v>1080400</v>
      </c>
      <c r="AM205" s="45"/>
      <c r="AN205" s="45">
        <v>7863747</v>
      </c>
      <c r="AO205" s="45"/>
      <c r="AP205" s="45">
        <v>0</v>
      </c>
      <c r="AQ205" s="45"/>
      <c r="AR205" s="45">
        <f>+'GVFund Rev'!U205+'GVFund Rev'!W205-'GVFund Exp'!AH205-'GVFund Exp'!AL205+AJ205+AN205+AP205-'GV Fund BS'!S205</f>
        <v>0</v>
      </c>
      <c r="AS205" s="48"/>
    </row>
    <row r="206" spans="1:46" s="44" customFormat="1" ht="12.75" customHeight="1">
      <c r="A206" s="35" t="s">
        <v>235</v>
      </c>
      <c r="C206" s="35" t="s">
        <v>183</v>
      </c>
      <c r="E206" s="45">
        <v>10119067</v>
      </c>
      <c r="F206" s="48"/>
      <c r="G206" s="45">
        <v>28855684</v>
      </c>
      <c r="H206" s="48"/>
      <c r="I206" s="45">
        <v>5449391</v>
      </c>
      <c r="J206" s="48"/>
      <c r="K206" s="45">
        <v>141820</v>
      </c>
      <c r="L206" s="48"/>
      <c r="M206" s="45">
        <v>4371132</v>
      </c>
      <c r="N206" s="48"/>
      <c r="O206" s="45">
        <v>1902518</v>
      </c>
      <c r="P206" s="48"/>
      <c r="Q206" s="45">
        <v>220702</v>
      </c>
      <c r="R206" s="48"/>
      <c r="S206" s="45">
        <v>18612727</v>
      </c>
      <c r="T206" s="48"/>
      <c r="U206" s="45">
        <v>0</v>
      </c>
      <c r="V206" s="48"/>
      <c r="W206" s="48"/>
      <c r="X206" s="35"/>
      <c r="Z206" s="35"/>
      <c r="AA206" s="35"/>
      <c r="AB206" s="45">
        <v>2054177</v>
      </c>
      <c r="AC206" s="65"/>
      <c r="AD206" s="45">
        <v>447707</v>
      </c>
      <c r="AE206" s="65"/>
      <c r="AF206" s="45">
        <v>0</v>
      </c>
      <c r="AG206" s="65"/>
      <c r="AH206" s="48">
        <f t="shared" si="7"/>
        <v>72174925</v>
      </c>
      <c r="AI206" s="48"/>
      <c r="AJ206" s="48">
        <v>0</v>
      </c>
      <c r="AK206" s="48"/>
      <c r="AL206" s="45">
        <v>3942023</v>
      </c>
      <c r="AM206" s="45"/>
      <c r="AN206" s="45">
        <v>39670736</v>
      </c>
      <c r="AO206" s="45"/>
      <c r="AP206" s="45">
        <v>0</v>
      </c>
      <c r="AQ206" s="45"/>
      <c r="AR206" s="45">
        <f>+'GVFund Rev'!U206+'GVFund Rev'!W206-'GVFund Exp'!AH206-'GVFund Exp'!AL206+AJ206+AN206+AP206-'GV Fund BS'!S206</f>
        <v>0</v>
      </c>
      <c r="AS206" s="48"/>
    </row>
    <row r="207" spans="1:46" s="44" customFormat="1" ht="12.75" customHeight="1">
      <c r="A207" s="35" t="s">
        <v>236</v>
      </c>
      <c r="C207" s="35" t="s">
        <v>45</v>
      </c>
      <c r="E207" s="45">
        <v>4434810</v>
      </c>
      <c r="F207" s="48"/>
      <c r="G207" s="45">
        <v>4935218</v>
      </c>
      <c r="H207" s="48"/>
      <c r="I207" s="45">
        <v>14862</v>
      </c>
      <c r="J207" s="48"/>
      <c r="K207" s="45">
        <v>248466</v>
      </c>
      <c r="L207" s="48"/>
      <c r="M207" s="45">
        <v>647930</v>
      </c>
      <c r="N207" s="48"/>
      <c r="O207" s="45">
        <v>334400</v>
      </c>
      <c r="P207" s="48"/>
      <c r="Q207" s="45">
        <f>1779+1348964</f>
        <v>1350743</v>
      </c>
      <c r="R207" s="48"/>
      <c r="S207" s="45">
        <v>2499126</v>
      </c>
      <c r="T207" s="48"/>
      <c r="U207" s="45">
        <v>0</v>
      </c>
      <c r="V207" s="48"/>
      <c r="W207" s="48"/>
      <c r="X207" s="35"/>
      <c r="Z207" s="35"/>
      <c r="AA207" s="35"/>
      <c r="AB207" s="45">
        <v>137167</v>
      </c>
      <c r="AC207" s="65"/>
      <c r="AD207" s="45">
        <v>75403</v>
      </c>
      <c r="AE207" s="65"/>
      <c r="AF207" s="45">
        <v>0</v>
      </c>
      <c r="AG207" s="65"/>
      <c r="AH207" s="48">
        <f t="shared" si="7"/>
        <v>14678125</v>
      </c>
      <c r="AI207" s="48"/>
      <c r="AJ207" s="48">
        <v>0</v>
      </c>
      <c r="AK207" s="48"/>
      <c r="AL207" s="45">
        <v>3689575</v>
      </c>
      <c r="AM207" s="45"/>
      <c r="AN207" s="45">
        <v>9621616</v>
      </c>
      <c r="AO207" s="45"/>
      <c r="AP207" s="45">
        <v>15595</v>
      </c>
      <c r="AQ207" s="45"/>
      <c r="AR207" s="45">
        <f>+'GVFund Rev'!U207+'GVFund Rev'!W207-'GVFund Exp'!AH207-'GVFund Exp'!AL207+AJ207+AN207+AP207-'GV Fund BS'!S207</f>
        <v>0</v>
      </c>
      <c r="AS207" s="48"/>
    </row>
    <row r="208" spans="1:46" s="44" customFormat="1" ht="12.75" customHeight="1">
      <c r="A208" s="35" t="s">
        <v>237</v>
      </c>
      <c r="C208" s="35" t="s">
        <v>33</v>
      </c>
      <c r="E208" s="45">
        <v>273973</v>
      </c>
      <c r="F208" s="48"/>
      <c r="G208" s="45">
        <v>979594</v>
      </c>
      <c r="H208" s="48"/>
      <c r="I208" s="45">
        <v>248285</v>
      </c>
      <c r="J208" s="48"/>
      <c r="K208" s="45">
        <v>16197</v>
      </c>
      <c r="L208" s="48"/>
      <c r="M208" s="45">
        <v>530176</v>
      </c>
      <c r="N208" s="48"/>
      <c r="O208" s="45">
        <v>327786</v>
      </c>
      <c r="P208" s="48"/>
      <c r="Q208" s="45">
        <v>0</v>
      </c>
      <c r="R208" s="48"/>
      <c r="S208" s="45">
        <v>107842</v>
      </c>
      <c r="T208" s="48"/>
      <c r="U208" s="45">
        <v>0</v>
      </c>
      <c r="V208" s="48"/>
      <c r="W208" s="48"/>
      <c r="X208" s="35"/>
      <c r="Z208" s="35"/>
      <c r="AA208" s="35"/>
      <c r="AB208" s="45">
        <v>97918</v>
      </c>
      <c r="AC208" s="65"/>
      <c r="AD208" s="45">
        <v>48495</v>
      </c>
      <c r="AE208" s="65"/>
      <c r="AF208" s="45">
        <v>0</v>
      </c>
      <c r="AG208" s="65"/>
      <c r="AH208" s="48">
        <f t="shared" si="7"/>
        <v>2630266</v>
      </c>
      <c r="AI208" s="48"/>
      <c r="AJ208" s="48">
        <v>0</v>
      </c>
      <c r="AK208" s="48"/>
      <c r="AL208" s="45">
        <v>988078</v>
      </c>
      <c r="AM208" s="45"/>
      <c r="AN208" s="45">
        <v>762437</v>
      </c>
      <c r="AO208" s="45"/>
      <c r="AP208" s="45">
        <v>0</v>
      </c>
      <c r="AQ208" s="45"/>
      <c r="AR208" s="45">
        <f>+'GVFund Rev'!U208+'GVFund Rev'!W208-'GVFund Exp'!AH208-'GVFund Exp'!AL208+AJ208+AN208+AP208-'GV Fund BS'!S208</f>
        <v>0</v>
      </c>
      <c r="AS208" s="48"/>
    </row>
    <row r="209" spans="1:45" s="44" customFormat="1" ht="12.75" customHeight="1">
      <c r="A209" s="35" t="s">
        <v>238</v>
      </c>
      <c r="C209" s="35" t="s">
        <v>239</v>
      </c>
      <c r="E209" s="45">
        <v>1021236</v>
      </c>
      <c r="F209" s="48"/>
      <c r="G209" s="45">
        <v>3007021</v>
      </c>
      <c r="H209" s="48"/>
      <c r="I209" s="45">
        <v>181496</v>
      </c>
      <c r="J209" s="48"/>
      <c r="K209" s="45">
        <v>20090</v>
      </c>
      <c r="L209" s="48"/>
      <c r="M209" s="45">
        <v>830485</v>
      </c>
      <c r="N209" s="48"/>
      <c r="O209" s="45">
        <v>235867</v>
      </c>
      <c r="P209" s="48"/>
      <c r="Q209" s="45">
        <v>0</v>
      </c>
      <c r="R209" s="48"/>
      <c r="S209" s="45">
        <v>1785644</v>
      </c>
      <c r="T209" s="48"/>
      <c r="U209" s="45">
        <v>0</v>
      </c>
      <c r="V209" s="48"/>
      <c r="W209" s="48"/>
      <c r="X209" s="35"/>
      <c r="Z209" s="35"/>
      <c r="AA209" s="35"/>
      <c r="AB209" s="45">
        <v>0</v>
      </c>
      <c r="AC209" s="65"/>
      <c r="AD209" s="45">
        <v>18749</v>
      </c>
      <c r="AE209" s="65"/>
      <c r="AF209" s="45">
        <v>0</v>
      </c>
      <c r="AG209" s="65"/>
      <c r="AH209" s="48">
        <f t="shared" si="7"/>
        <v>7100588</v>
      </c>
      <c r="AI209" s="48"/>
      <c r="AJ209" s="48">
        <v>0</v>
      </c>
      <c r="AK209" s="48"/>
      <c r="AL209" s="45">
        <v>1159311</v>
      </c>
      <c r="AM209" s="45"/>
      <c r="AN209" s="45">
        <v>13487427</v>
      </c>
      <c r="AO209" s="45"/>
      <c r="AP209" s="45">
        <v>6787</v>
      </c>
      <c r="AQ209" s="45"/>
      <c r="AR209" s="45">
        <f>+'GVFund Rev'!U209+'GVFund Rev'!W209-'GVFund Exp'!AH209-'GVFund Exp'!AL209+AJ209+AN209+AP209-'GV Fund BS'!S209</f>
        <v>0</v>
      </c>
      <c r="AS209" s="48"/>
    </row>
    <row r="210" spans="1:45" s="44" customFormat="1" ht="12.75" customHeight="1">
      <c r="A210" s="35" t="s">
        <v>486</v>
      </c>
      <c r="C210" s="35" t="s">
        <v>249</v>
      </c>
      <c r="E210" s="45">
        <v>2802787</v>
      </c>
      <c r="F210" s="48"/>
      <c r="G210" s="45">
        <v>6901448</v>
      </c>
      <c r="H210" s="48"/>
      <c r="I210" s="45">
        <v>1631489</v>
      </c>
      <c r="J210" s="48"/>
      <c r="K210" s="45">
        <v>668145</v>
      </c>
      <c r="L210" s="48"/>
      <c r="M210" s="45">
        <v>4216869</v>
      </c>
      <c r="N210" s="48"/>
      <c r="O210" s="45">
        <v>666609</v>
      </c>
      <c r="P210" s="48"/>
      <c r="Q210" s="45">
        <v>0</v>
      </c>
      <c r="R210" s="48"/>
      <c r="S210" s="45">
        <v>4871515</v>
      </c>
      <c r="T210" s="48"/>
      <c r="U210" s="45">
        <v>0</v>
      </c>
      <c r="V210" s="48"/>
      <c r="W210" s="48"/>
      <c r="X210" s="35"/>
      <c r="Z210" s="35"/>
      <c r="AA210" s="35"/>
      <c r="AB210" s="45">
        <v>3706834</v>
      </c>
      <c r="AC210" s="65"/>
      <c r="AD210" s="45">
        <v>303767</v>
      </c>
      <c r="AE210" s="65"/>
      <c r="AF210" s="45">
        <v>125262</v>
      </c>
      <c r="AG210" s="65"/>
      <c r="AH210" s="48">
        <f t="shared" si="7"/>
        <v>25894725</v>
      </c>
      <c r="AI210" s="48"/>
      <c r="AJ210" s="48">
        <v>0</v>
      </c>
      <c r="AK210" s="48"/>
      <c r="AL210" s="45">
        <v>344482</v>
      </c>
      <c r="AM210" s="45"/>
      <c r="AN210" s="45">
        <v>4875424</v>
      </c>
      <c r="AO210" s="45"/>
      <c r="AP210" s="45">
        <v>0</v>
      </c>
      <c r="AQ210" s="45"/>
      <c r="AR210" s="45">
        <f>+'GVFund Rev'!U210+'GVFund Rev'!W210-'GVFund Exp'!AH210-'GVFund Exp'!AL210+AJ210+AN210+AP210-'GV Fund BS'!S210</f>
        <v>0</v>
      </c>
      <c r="AS210" s="48"/>
    </row>
    <row r="211" spans="1:45" s="44" customFormat="1" ht="12.75" customHeight="1">
      <c r="A211" s="35" t="s">
        <v>240</v>
      </c>
      <c r="C211" s="35" t="s">
        <v>13</v>
      </c>
      <c r="E211" s="45">
        <v>8390076</v>
      </c>
      <c r="F211" s="48"/>
      <c r="G211" s="45">
        <v>13349173</v>
      </c>
      <c r="H211" s="48"/>
      <c r="I211" s="45">
        <v>1127128</v>
      </c>
      <c r="J211" s="48"/>
      <c r="K211" s="45">
        <v>430664</v>
      </c>
      <c r="L211" s="48"/>
      <c r="M211" s="45">
        <v>3321718</v>
      </c>
      <c r="N211" s="48"/>
      <c r="O211" s="45">
        <v>1688869</v>
      </c>
      <c r="P211" s="48"/>
      <c r="Q211" s="45">
        <v>0</v>
      </c>
      <c r="R211" s="48"/>
      <c r="S211" s="45">
        <v>5096319</v>
      </c>
      <c r="T211" s="48"/>
      <c r="U211" s="45">
        <v>0</v>
      </c>
      <c r="V211" s="48"/>
      <c r="W211" s="48"/>
      <c r="X211" s="35"/>
      <c r="Z211" s="35"/>
      <c r="AA211" s="35"/>
      <c r="AB211" s="45">
        <v>867277</v>
      </c>
      <c r="AC211" s="65"/>
      <c r="AD211" s="45">
        <v>934179</v>
      </c>
      <c r="AE211" s="65"/>
      <c r="AF211" s="45">
        <v>6907</v>
      </c>
      <c r="AG211" s="65"/>
      <c r="AH211" s="48">
        <f t="shared" si="7"/>
        <v>35212310</v>
      </c>
      <c r="AI211" s="48"/>
      <c r="AJ211" s="48">
        <v>0</v>
      </c>
      <c r="AK211" s="48"/>
      <c r="AL211" s="45">
        <f>7925000+1831835</f>
        <v>9756835</v>
      </c>
      <c r="AM211" s="45"/>
      <c r="AN211" s="45">
        <v>10787048</v>
      </c>
      <c r="AO211" s="45"/>
      <c r="AP211" s="45">
        <v>0</v>
      </c>
      <c r="AQ211" s="45"/>
      <c r="AR211" s="45">
        <f>+'GVFund Rev'!U211+'GVFund Rev'!W211-'GVFund Exp'!AH211-'GVFund Exp'!AL211+AJ211+AN211+AP211-'GV Fund BS'!S211</f>
        <v>0</v>
      </c>
      <c r="AS211" s="48"/>
    </row>
    <row r="212" spans="1:45" s="44" customFormat="1" ht="12.75" customHeight="1">
      <c r="A212" s="35" t="s">
        <v>241</v>
      </c>
      <c r="C212" s="35" t="s">
        <v>22</v>
      </c>
      <c r="E212" s="45">
        <v>2566580</v>
      </c>
      <c r="F212" s="48"/>
      <c r="G212" s="45">
        <v>5982499</v>
      </c>
      <c r="H212" s="48"/>
      <c r="I212" s="45">
        <v>629524</v>
      </c>
      <c r="J212" s="48"/>
      <c r="K212" s="45">
        <v>21896</v>
      </c>
      <c r="L212" s="48"/>
      <c r="M212" s="45">
        <v>971205</v>
      </c>
      <c r="N212" s="48"/>
      <c r="O212" s="45">
        <v>520957</v>
      </c>
      <c r="P212" s="48"/>
      <c r="Q212" s="45">
        <v>793323</v>
      </c>
      <c r="R212" s="48"/>
      <c r="S212" s="45">
        <v>1423736</v>
      </c>
      <c r="T212" s="48"/>
      <c r="U212" s="45">
        <v>0</v>
      </c>
      <c r="V212" s="48"/>
      <c r="W212" s="48"/>
      <c r="X212" s="35"/>
      <c r="Z212" s="35"/>
      <c r="AA212" s="35"/>
      <c r="AB212" s="45">
        <v>795148</v>
      </c>
      <c r="AC212" s="65"/>
      <c r="AD212" s="45">
        <v>116829</v>
      </c>
      <c r="AE212" s="65"/>
      <c r="AF212" s="45">
        <v>100802</v>
      </c>
      <c r="AG212" s="65"/>
      <c r="AH212" s="48">
        <f t="shared" si="7"/>
        <v>13922499</v>
      </c>
      <c r="AI212" s="48"/>
      <c r="AJ212" s="48">
        <v>0</v>
      </c>
      <c r="AK212" s="48"/>
      <c r="AL212" s="45">
        <f>2792605+269889</f>
        <v>3062494</v>
      </c>
      <c r="AM212" s="45"/>
      <c r="AN212" s="45">
        <v>4597802</v>
      </c>
      <c r="AO212" s="45"/>
      <c r="AP212" s="45">
        <v>0</v>
      </c>
      <c r="AQ212" s="45"/>
      <c r="AR212" s="45">
        <f>+'GVFund Rev'!U212+'GVFund Rev'!W212-'GVFund Exp'!AH212-'GVFund Exp'!AL212+AJ212+AN212+AP212-'GV Fund BS'!S212</f>
        <v>0</v>
      </c>
      <c r="AS212" s="48"/>
    </row>
    <row r="213" spans="1:45" s="44" customFormat="1" ht="12.75" customHeight="1">
      <c r="A213" s="35" t="s">
        <v>242</v>
      </c>
      <c r="C213" s="35" t="s">
        <v>27</v>
      </c>
      <c r="E213" s="45">
        <v>6023550</v>
      </c>
      <c r="F213" s="48"/>
      <c r="G213" s="45">
        <v>18953918</v>
      </c>
      <c r="H213" s="48"/>
      <c r="I213" s="45">
        <v>1112484</v>
      </c>
      <c r="J213" s="48"/>
      <c r="K213" s="45">
        <v>602857</v>
      </c>
      <c r="L213" s="48"/>
      <c r="M213" s="45">
        <v>12504482</v>
      </c>
      <c r="N213" s="48"/>
      <c r="O213" s="45">
        <v>5149526</v>
      </c>
      <c r="P213" s="48"/>
      <c r="Q213" s="45">
        <v>2552751</v>
      </c>
      <c r="R213" s="48"/>
      <c r="S213" s="45">
        <v>11616943</v>
      </c>
      <c r="T213" s="48"/>
      <c r="U213" s="45">
        <v>0</v>
      </c>
      <c r="V213" s="48"/>
      <c r="W213" s="48"/>
      <c r="X213" s="35"/>
      <c r="Z213" s="35"/>
      <c r="AA213" s="35"/>
      <c r="AB213" s="45">
        <v>2563688</v>
      </c>
      <c r="AC213" s="65"/>
      <c r="AD213" s="45">
        <v>2690882</v>
      </c>
      <c r="AE213" s="65"/>
      <c r="AF213" s="45">
        <v>0</v>
      </c>
      <c r="AG213" s="65"/>
      <c r="AH213" s="48">
        <f t="shared" si="7"/>
        <v>63771081</v>
      </c>
      <c r="AI213" s="48"/>
      <c r="AJ213" s="48">
        <v>0</v>
      </c>
      <c r="AK213" s="48"/>
      <c r="AL213" s="45">
        <v>9350250</v>
      </c>
      <c r="AM213" s="45"/>
      <c r="AN213" s="45">
        <v>33031982</v>
      </c>
      <c r="AO213" s="45"/>
      <c r="AP213" s="45">
        <v>0</v>
      </c>
      <c r="AQ213" s="45"/>
      <c r="AR213" s="45">
        <f>+'GVFund Rev'!U213+'GVFund Rev'!W213-'GVFund Exp'!AH213-'GVFund Exp'!AL213+AJ213+AN213+AP213-'GV Fund BS'!S213</f>
        <v>0</v>
      </c>
      <c r="AS213" s="48"/>
    </row>
    <row r="214" spans="1:45" s="44" customFormat="1" ht="12.75" customHeight="1">
      <c r="A214" s="35" t="s">
        <v>243</v>
      </c>
      <c r="C214" s="35" t="s">
        <v>163</v>
      </c>
      <c r="E214" s="45">
        <v>4578391</v>
      </c>
      <c r="F214" s="48"/>
      <c r="G214" s="45">
        <v>5831213</v>
      </c>
      <c r="H214" s="48"/>
      <c r="I214" s="45">
        <v>696133</v>
      </c>
      <c r="J214" s="48"/>
      <c r="K214" s="45">
        <v>220397</v>
      </c>
      <c r="L214" s="48"/>
      <c r="M214" s="45">
        <v>1970381</v>
      </c>
      <c r="N214" s="48"/>
      <c r="O214" s="45">
        <v>833821</v>
      </c>
      <c r="P214" s="48"/>
      <c r="Q214" s="45">
        <v>1031585</v>
      </c>
      <c r="R214" s="48"/>
      <c r="S214" s="45">
        <v>5919947</v>
      </c>
      <c r="T214" s="48"/>
      <c r="U214" s="45">
        <v>0</v>
      </c>
      <c r="V214" s="48"/>
      <c r="W214" s="48"/>
      <c r="X214" s="35"/>
      <c r="Z214" s="35"/>
      <c r="AA214" s="35"/>
      <c r="AB214" s="45">
        <v>949592</v>
      </c>
      <c r="AC214" s="65"/>
      <c r="AD214" s="45">
        <v>559041</v>
      </c>
      <c r="AE214" s="65"/>
      <c r="AF214" s="45">
        <v>0</v>
      </c>
      <c r="AG214" s="65"/>
      <c r="AH214" s="48">
        <f t="shared" si="7"/>
        <v>22590501</v>
      </c>
      <c r="AI214" s="48"/>
      <c r="AJ214" s="48">
        <v>0</v>
      </c>
      <c r="AK214" s="48"/>
      <c r="AL214" s="45">
        <v>14965873</v>
      </c>
      <c r="AM214" s="45"/>
      <c r="AN214" s="45">
        <v>21071266</v>
      </c>
      <c r="AO214" s="45"/>
      <c r="AP214" s="45">
        <v>-673</v>
      </c>
      <c r="AQ214" s="45"/>
      <c r="AR214" s="45">
        <f>+'GVFund Rev'!U214+'GVFund Rev'!W214-'GVFund Exp'!AH214-'GVFund Exp'!AL214+AJ214+AN214+AP214-'GV Fund BS'!S214</f>
        <v>0</v>
      </c>
      <c r="AS214" s="48"/>
    </row>
    <row r="215" spans="1:45" s="44" customFormat="1" ht="12.75" customHeight="1">
      <c r="A215" s="35" t="s">
        <v>244</v>
      </c>
      <c r="C215" s="35" t="s">
        <v>13</v>
      </c>
      <c r="E215" s="45">
        <v>2995338</v>
      </c>
      <c r="F215" s="48"/>
      <c r="G215" s="45">
        <f>3647373+33874+2490438</f>
        <v>6171685</v>
      </c>
      <c r="H215" s="48"/>
      <c r="I215" s="45">
        <v>307770</v>
      </c>
      <c r="J215" s="48"/>
      <c r="K215" s="45">
        <v>66410</v>
      </c>
      <c r="L215" s="48"/>
      <c r="M215" s="45">
        <v>1534582</v>
      </c>
      <c r="N215" s="48"/>
      <c r="O215" s="45">
        <v>1732010</v>
      </c>
      <c r="P215" s="48"/>
      <c r="Q215" s="45">
        <v>0</v>
      </c>
      <c r="R215" s="48"/>
      <c r="S215" s="45">
        <v>2658464</v>
      </c>
      <c r="T215" s="48"/>
      <c r="U215" s="45">
        <v>0</v>
      </c>
      <c r="V215" s="48"/>
      <c r="W215" s="48"/>
      <c r="X215" s="35"/>
      <c r="Z215" s="35"/>
      <c r="AA215" s="35"/>
      <c r="AB215" s="45">
        <v>619374</v>
      </c>
      <c r="AC215" s="65"/>
      <c r="AD215" s="45">
        <v>485365</v>
      </c>
      <c r="AE215" s="65"/>
      <c r="AF215" s="45">
        <v>118828</v>
      </c>
      <c r="AG215" s="65"/>
      <c r="AH215" s="48">
        <f t="shared" si="7"/>
        <v>16689826</v>
      </c>
      <c r="AI215" s="48"/>
      <c r="AJ215" s="48">
        <v>0</v>
      </c>
      <c r="AK215" s="48"/>
      <c r="AL215" s="45">
        <f>26842+3800000+2877000+1425645</f>
        <v>8129487</v>
      </c>
      <c r="AM215" s="45"/>
      <c r="AN215" s="45">
        <v>5384742</v>
      </c>
      <c r="AO215" s="45"/>
      <c r="AP215" s="45">
        <v>0</v>
      </c>
      <c r="AQ215" s="45"/>
      <c r="AR215" s="45">
        <f>+'GVFund Rev'!U215+'GVFund Rev'!W215-'GVFund Exp'!AH215-'GVFund Exp'!AL215+AJ215+AN215+AP215-'GV Fund BS'!S216</f>
        <v>0</v>
      </c>
      <c r="AS215" s="48"/>
    </row>
    <row r="216" spans="1:45" s="44" customFormat="1" ht="12.75" customHeight="1">
      <c r="A216" s="35" t="s">
        <v>245</v>
      </c>
      <c r="C216" s="35" t="s">
        <v>110</v>
      </c>
      <c r="E216" s="45">
        <v>2560744</v>
      </c>
      <c r="F216" s="48"/>
      <c r="G216" s="45">
        <v>6547164</v>
      </c>
      <c r="H216" s="48"/>
      <c r="I216" s="45">
        <v>758239</v>
      </c>
      <c r="J216" s="48"/>
      <c r="K216" s="45">
        <v>8446</v>
      </c>
      <c r="L216" s="48"/>
      <c r="M216" s="45">
        <v>2067981</v>
      </c>
      <c r="N216" s="48"/>
      <c r="O216" s="45">
        <v>404098</v>
      </c>
      <c r="P216" s="48"/>
      <c r="Q216" s="45">
        <f>4624+223126+2570</f>
        <v>230320</v>
      </c>
      <c r="R216" s="48"/>
      <c r="S216" s="45">
        <v>587808</v>
      </c>
      <c r="T216" s="48"/>
      <c r="U216" s="45">
        <v>0</v>
      </c>
      <c r="V216" s="48"/>
      <c r="W216" s="48"/>
      <c r="X216" s="35"/>
      <c r="Z216" s="35"/>
      <c r="AA216" s="35"/>
      <c r="AB216" s="45">
        <v>93778</v>
      </c>
      <c r="AC216" s="65"/>
      <c r="AD216" s="45">
        <v>84744</v>
      </c>
      <c r="AE216" s="65"/>
      <c r="AF216" s="45">
        <v>67430</v>
      </c>
      <c r="AG216" s="65"/>
      <c r="AH216" s="48">
        <f t="shared" si="7"/>
        <v>13410752</v>
      </c>
      <c r="AI216" s="48"/>
      <c r="AJ216" s="48">
        <v>0</v>
      </c>
      <c r="AK216" s="48"/>
      <c r="AL216" s="45">
        <v>1046603</v>
      </c>
      <c r="AM216" s="45"/>
      <c r="AN216" s="45">
        <v>700925</v>
      </c>
      <c r="AO216" s="45"/>
      <c r="AP216" s="45">
        <v>31728</v>
      </c>
      <c r="AQ216" s="45"/>
      <c r="AR216" s="45">
        <f>+'GVFund Rev'!U216+'GVFund Rev'!W216-'GVFund Exp'!AH216-'GVFund Exp'!AL216+AJ216+AN216+AP216-'GV Fund BS'!S217</f>
        <v>0</v>
      </c>
      <c r="AS216" s="48"/>
    </row>
    <row r="217" spans="1:45" s="44" customFormat="1" ht="12.75" customHeight="1">
      <c r="A217" s="35" t="s">
        <v>246</v>
      </c>
      <c r="C217" s="35" t="s">
        <v>209</v>
      </c>
      <c r="E217" s="45">
        <v>1427326</v>
      </c>
      <c r="F217" s="48"/>
      <c r="G217" s="45">
        <v>3048578</v>
      </c>
      <c r="H217" s="48"/>
      <c r="I217" s="45">
        <v>252874</v>
      </c>
      <c r="J217" s="48"/>
      <c r="K217" s="45">
        <v>0</v>
      </c>
      <c r="L217" s="48"/>
      <c r="M217" s="45">
        <v>564410</v>
      </c>
      <c r="N217" s="48"/>
      <c r="O217" s="45">
        <v>766504</v>
      </c>
      <c r="P217" s="48"/>
      <c r="Q217" s="45">
        <v>229294</v>
      </c>
      <c r="R217" s="48"/>
      <c r="S217" s="45">
        <v>795120</v>
      </c>
      <c r="T217" s="48"/>
      <c r="U217" s="45">
        <v>0</v>
      </c>
      <c r="V217" s="48"/>
      <c r="W217" s="48"/>
      <c r="X217" s="35"/>
      <c r="Z217" s="35"/>
      <c r="AA217" s="35"/>
      <c r="AB217" s="45">
        <v>911665</v>
      </c>
      <c r="AC217" s="65"/>
      <c r="AD217" s="45">
        <v>198280</v>
      </c>
      <c r="AE217" s="65"/>
      <c r="AF217" s="45">
        <v>0</v>
      </c>
      <c r="AG217" s="65"/>
      <c r="AH217" s="48">
        <f t="shared" si="7"/>
        <v>8194051</v>
      </c>
      <c r="AI217" s="48"/>
      <c r="AJ217" s="48">
        <v>0</v>
      </c>
      <c r="AK217" s="48"/>
      <c r="AL217" s="45">
        <v>1293032</v>
      </c>
      <c r="AM217" s="45"/>
      <c r="AN217" s="45">
        <v>4351337</v>
      </c>
      <c r="AO217" s="45"/>
      <c r="AP217" s="45">
        <v>-2535</v>
      </c>
      <c r="AQ217" s="45"/>
      <c r="AR217" s="45">
        <f>+'GVFund Rev'!U217+'GVFund Rev'!W217-'GVFund Exp'!AH217-'GVFund Exp'!AL217+AJ217+AN217+AP217-'GV Fund BS'!S218</f>
        <v>0</v>
      </c>
      <c r="AS217" s="48"/>
    </row>
    <row r="218" spans="1:45" s="44" customFormat="1" ht="12.75" customHeight="1">
      <c r="A218" s="35" t="s">
        <v>247</v>
      </c>
      <c r="C218" s="35" t="s">
        <v>163</v>
      </c>
      <c r="E218" s="45">
        <v>17030000</v>
      </c>
      <c r="F218" s="48"/>
      <c r="G218" s="45">
        <v>159374000</v>
      </c>
      <c r="H218" s="48"/>
      <c r="I218" s="45">
        <v>31318000</v>
      </c>
      <c r="J218" s="48"/>
      <c r="K218" s="45">
        <v>15656000</v>
      </c>
      <c r="L218" s="48"/>
      <c r="M218" s="45">
        <v>34561000</v>
      </c>
      <c r="N218" s="48"/>
      <c r="O218" s="45">
        <v>2660000</v>
      </c>
      <c r="P218" s="48"/>
      <c r="Q218" s="45">
        <v>2000</v>
      </c>
      <c r="R218" s="48"/>
      <c r="S218" s="45">
        <v>40043000</v>
      </c>
      <c r="T218" s="48"/>
      <c r="U218" s="45">
        <v>0</v>
      </c>
      <c r="V218" s="48"/>
      <c r="W218" s="48"/>
      <c r="X218" s="35"/>
      <c r="Z218" s="35"/>
      <c r="AA218" s="35"/>
      <c r="AB218" s="45">
        <v>67667000</v>
      </c>
      <c r="AC218" s="65"/>
      <c r="AD218" s="45">
        <v>11642000</v>
      </c>
      <c r="AE218" s="65"/>
      <c r="AF218" s="45">
        <v>0</v>
      </c>
      <c r="AG218" s="65"/>
      <c r="AH218" s="48">
        <f t="shared" si="7"/>
        <v>379953000</v>
      </c>
      <c r="AI218" s="48"/>
      <c r="AJ218" s="48">
        <v>0</v>
      </c>
      <c r="AK218" s="48"/>
      <c r="AL218" s="45">
        <v>63414000</v>
      </c>
      <c r="AM218" s="45"/>
      <c r="AN218" s="45">
        <v>16240000</v>
      </c>
      <c r="AO218" s="45"/>
      <c r="AP218" s="45">
        <v>-828000</v>
      </c>
      <c r="AQ218" s="45"/>
      <c r="AR218" s="45">
        <f>+'GVFund Rev'!U218+'GVFund Rev'!W218-'GVFund Exp'!AH218-'GVFund Exp'!AL218+AJ218+AN218+AP218-'GV Fund BS'!S219</f>
        <v>0</v>
      </c>
      <c r="AS218" s="48"/>
    </row>
    <row r="219" spans="1:45" s="44" customFormat="1" ht="12.75" customHeight="1">
      <c r="A219" s="35" t="s">
        <v>248</v>
      </c>
      <c r="C219" s="35" t="s">
        <v>249</v>
      </c>
      <c r="E219" s="45">
        <v>489852</v>
      </c>
      <c r="F219" s="48"/>
      <c r="G219" s="45">
        <v>1588022</v>
      </c>
      <c r="H219" s="48"/>
      <c r="I219" s="45">
        <v>342797</v>
      </c>
      <c r="J219" s="48"/>
      <c r="K219" s="45">
        <v>27714</v>
      </c>
      <c r="L219" s="48"/>
      <c r="M219" s="45">
        <v>420010</v>
      </c>
      <c r="N219" s="48"/>
      <c r="O219" s="45">
        <v>149076</v>
      </c>
      <c r="P219" s="48"/>
      <c r="Q219" s="45">
        <v>0</v>
      </c>
      <c r="R219" s="48"/>
      <c r="S219" s="45">
        <v>481685</v>
      </c>
      <c r="T219" s="48"/>
      <c r="U219" s="45">
        <v>0</v>
      </c>
      <c r="V219" s="48"/>
      <c r="W219" s="48"/>
      <c r="X219" s="35"/>
      <c r="Z219" s="35"/>
      <c r="AA219" s="35"/>
      <c r="AB219" s="45">
        <v>113351</v>
      </c>
      <c r="AC219" s="65"/>
      <c r="AD219" s="45">
        <v>12302</v>
      </c>
      <c r="AE219" s="65"/>
      <c r="AF219" s="45">
        <v>0</v>
      </c>
      <c r="AG219" s="65"/>
      <c r="AH219" s="48">
        <f t="shared" si="7"/>
        <v>3624809</v>
      </c>
      <c r="AI219" s="48"/>
      <c r="AJ219" s="48">
        <v>0</v>
      </c>
      <c r="AK219" s="48"/>
      <c r="AL219" s="45">
        <v>870000</v>
      </c>
      <c r="AM219" s="45"/>
      <c r="AN219" s="45">
        <v>1610114</v>
      </c>
      <c r="AO219" s="45"/>
      <c r="AP219" s="45">
        <v>0</v>
      </c>
      <c r="AQ219" s="45"/>
      <c r="AR219" s="45">
        <f>+'GVFund Rev'!U220+'GVFund Rev'!W220-'GVFund Exp'!AH219-'GVFund Exp'!AL219+AJ219+AN219+AP219-'GV Fund BS'!S220</f>
        <v>0</v>
      </c>
      <c r="AS219" s="48"/>
    </row>
    <row r="220" spans="1:45" s="46" customFormat="1" ht="12.75" customHeight="1">
      <c r="A220" s="35" t="s">
        <v>250</v>
      </c>
      <c r="B220" s="44"/>
      <c r="C220" s="35" t="s">
        <v>103</v>
      </c>
      <c r="D220" s="44"/>
      <c r="E220" s="45">
        <v>360197</v>
      </c>
      <c r="F220" s="48"/>
      <c r="G220" s="45">
        <v>2468630</v>
      </c>
      <c r="H220" s="48"/>
      <c r="I220" s="45">
        <v>181675</v>
      </c>
      <c r="J220" s="48"/>
      <c r="K220" s="45">
        <v>57094</v>
      </c>
      <c r="L220" s="48"/>
      <c r="M220" s="45">
        <v>354197</v>
      </c>
      <c r="N220" s="48"/>
      <c r="O220" s="45">
        <v>110332</v>
      </c>
      <c r="P220" s="48"/>
      <c r="Q220" s="45">
        <v>51814</v>
      </c>
      <c r="R220" s="48"/>
      <c r="S220" s="45">
        <v>932514</v>
      </c>
      <c r="T220" s="48"/>
      <c r="U220" s="45">
        <v>0</v>
      </c>
      <c r="V220" s="48"/>
      <c r="W220" s="48"/>
      <c r="X220" s="35"/>
      <c r="Y220" s="44"/>
      <c r="Z220" s="35"/>
      <c r="AA220" s="35"/>
      <c r="AB220" s="45">
        <v>98818</v>
      </c>
      <c r="AC220" s="65"/>
      <c r="AD220" s="45">
        <v>17391</v>
      </c>
      <c r="AE220" s="65"/>
      <c r="AF220" s="45">
        <v>0</v>
      </c>
      <c r="AG220" s="65"/>
      <c r="AH220" s="48">
        <f t="shared" si="7"/>
        <v>4632662</v>
      </c>
      <c r="AI220" s="48"/>
      <c r="AJ220" s="48">
        <v>0</v>
      </c>
      <c r="AK220" s="48"/>
      <c r="AL220" s="45">
        <v>437445</v>
      </c>
      <c r="AM220" s="45"/>
      <c r="AN220" s="45">
        <v>2977719</v>
      </c>
      <c r="AO220" s="45"/>
      <c r="AP220" s="45">
        <v>0</v>
      </c>
      <c r="AQ220" s="45"/>
      <c r="AR220" s="45">
        <f>+'GVFund Rev'!U221+'GVFund Rev'!W221-'GVFund Exp'!AH220-'GVFund Exp'!AL220+AJ220+AN220+AP220-'GV Fund BS'!S221</f>
        <v>0</v>
      </c>
      <c r="AS220" s="48"/>
    </row>
    <row r="221" spans="1:45" s="121" customFormat="1" ht="12.75" hidden="1" customHeight="1">
      <c r="A221" s="126" t="s">
        <v>251</v>
      </c>
      <c r="C221" s="126" t="s">
        <v>66</v>
      </c>
      <c r="E221" s="127">
        <v>0</v>
      </c>
      <c r="F221" s="130"/>
      <c r="G221" s="127">
        <v>0</v>
      </c>
      <c r="H221" s="130"/>
      <c r="I221" s="127">
        <v>0</v>
      </c>
      <c r="J221" s="130"/>
      <c r="K221" s="127">
        <v>0</v>
      </c>
      <c r="L221" s="130"/>
      <c r="M221" s="127">
        <v>0</v>
      </c>
      <c r="N221" s="130"/>
      <c r="O221" s="127">
        <v>0</v>
      </c>
      <c r="P221" s="130"/>
      <c r="Q221" s="127">
        <v>0</v>
      </c>
      <c r="R221" s="130"/>
      <c r="S221" s="127">
        <v>0</v>
      </c>
      <c r="T221" s="130"/>
      <c r="U221" s="127">
        <v>0</v>
      </c>
      <c r="V221" s="130"/>
      <c r="W221" s="130"/>
      <c r="X221" s="126"/>
      <c r="Z221" s="126"/>
      <c r="AA221" s="126"/>
      <c r="AB221" s="127">
        <v>0</v>
      </c>
      <c r="AC221" s="125"/>
      <c r="AD221" s="127">
        <v>0</v>
      </c>
      <c r="AE221" s="125"/>
      <c r="AF221" s="127">
        <v>0</v>
      </c>
      <c r="AG221" s="125"/>
      <c r="AH221" s="130">
        <f t="shared" si="7"/>
        <v>0</v>
      </c>
      <c r="AI221" s="130"/>
      <c r="AJ221" s="130">
        <v>0</v>
      </c>
      <c r="AK221" s="130"/>
      <c r="AL221" s="127">
        <v>0</v>
      </c>
      <c r="AM221" s="127"/>
      <c r="AN221" s="127">
        <v>0</v>
      </c>
      <c r="AO221" s="127"/>
      <c r="AP221" s="127">
        <v>0</v>
      </c>
      <c r="AQ221" s="127"/>
      <c r="AR221" s="127">
        <f>+'GVFund Rev'!U222+'GVFund Rev'!W222-'GVFund Exp'!AH221-'GVFund Exp'!AL221+AJ221+AN221+AP221-'GV Fund BS'!S222</f>
        <v>0</v>
      </c>
      <c r="AS221" s="130"/>
    </row>
    <row r="222" spans="1:45" s="44" customFormat="1" ht="12.75" customHeight="1">
      <c r="A222" s="35" t="s">
        <v>252</v>
      </c>
      <c r="C222" s="35" t="s">
        <v>209</v>
      </c>
      <c r="E222" s="45">
        <v>4044847</v>
      </c>
      <c r="F222" s="48"/>
      <c r="G222" s="45">
        <v>9478312</v>
      </c>
      <c r="H222" s="48"/>
      <c r="I222" s="45">
        <v>984252</v>
      </c>
      <c r="J222" s="48"/>
      <c r="K222" s="45">
        <v>428737</v>
      </c>
      <c r="L222" s="48"/>
      <c r="M222" s="45">
        <v>2077805</v>
      </c>
      <c r="N222" s="48"/>
      <c r="O222" s="45">
        <v>1470324</v>
      </c>
      <c r="P222" s="48"/>
      <c r="Q222" s="45">
        <v>1099540</v>
      </c>
      <c r="R222" s="48"/>
      <c r="S222" s="45">
        <v>743293</v>
      </c>
      <c r="T222" s="48"/>
      <c r="U222" s="45">
        <v>0</v>
      </c>
      <c r="V222" s="48"/>
      <c r="W222" s="48"/>
      <c r="X222" s="35"/>
      <c r="Z222" s="35"/>
      <c r="AA222" s="35"/>
      <c r="AB222" s="45">
        <v>485000</v>
      </c>
      <c r="AC222" s="65"/>
      <c r="AD222" s="45">
        <v>471922</v>
      </c>
      <c r="AE222" s="65"/>
      <c r="AF222" s="45">
        <v>0</v>
      </c>
      <c r="AG222" s="65"/>
      <c r="AH222" s="48">
        <f t="shared" si="7"/>
        <v>21284032</v>
      </c>
      <c r="AI222" s="48"/>
      <c r="AJ222" s="48">
        <v>0</v>
      </c>
      <c r="AK222" s="48"/>
      <c r="AL222" s="45">
        <v>5117000</v>
      </c>
      <c r="AM222" s="45"/>
      <c r="AN222" s="45">
        <v>51728885</v>
      </c>
      <c r="AO222" s="45"/>
      <c r="AP222" s="45">
        <v>0</v>
      </c>
      <c r="AQ222" s="45"/>
      <c r="AR222" s="45">
        <f>+'GVFund Rev'!U223+'GVFund Rev'!W223-'GVFund Exp'!AH222-'GVFund Exp'!AL222+AJ222+AN222+AP222-'GV Fund BS'!S223</f>
        <v>0</v>
      </c>
      <c r="AS222" s="48"/>
    </row>
    <row r="223" spans="1:45" s="44" customFormat="1" ht="12.75" customHeight="1">
      <c r="A223" s="35" t="s">
        <v>253</v>
      </c>
      <c r="C223" s="35" t="s">
        <v>13</v>
      </c>
      <c r="E223" s="45">
        <v>4409241</v>
      </c>
      <c r="F223" s="48"/>
      <c r="G223" s="45">
        <v>6893613</v>
      </c>
      <c r="H223" s="48"/>
      <c r="I223" s="45">
        <v>1130987</v>
      </c>
      <c r="J223" s="48"/>
      <c r="K223" s="45">
        <v>0</v>
      </c>
      <c r="L223" s="48"/>
      <c r="M223" s="45">
        <v>4482090</v>
      </c>
      <c r="N223" s="48"/>
      <c r="O223" s="45">
        <v>2083990</v>
      </c>
      <c r="P223" s="48"/>
      <c r="Q223" s="45">
        <v>145045</v>
      </c>
      <c r="R223" s="48"/>
      <c r="S223" s="45">
        <v>3447645</v>
      </c>
      <c r="T223" s="48"/>
      <c r="U223" s="45">
        <v>0</v>
      </c>
      <c r="V223" s="48"/>
      <c r="W223" s="48"/>
      <c r="X223" s="35"/>
      <c r="Z223" s="35"/>
      <c r="AA223" s="35"/>
      <c r="AB223" s="45">
        <v>1139551</v>
      </c>
      <c r="AC223" s="65"/>
      <c r="AD223" s="45">
        <v>641593</v>
      </c>
      <c r="AE223" s="65"/>
      <c r="AF223" s="45">
        <v>0</v>
      </c>
      <c r="AG223" s="65"/>
      <c r="AH223" s="48">
        <f t="shared" si="7"/>
        <v>24373755</v>
      </c>
      <c r="AI223" s="48"/>
      <c r="AJ223" s="48">
        <v>0</v>
      </c>
      <c r="AK223" s="48"/>
      <c r="AL223" s="45">
        <v>1862966</v>
      </c>
      <c r="AM223" s="45"/>
      <c r="AN223" s="45">
        <v>19195367</v>
      </c>
      <c r="AO223" s="45"/>
      <c r="AP223" s="45">
        <v>0</v>
      </c>
      <c r="AQ223" s="45"/>
      <c r="AR223" s="45">
        <f>+'GVFund Rev'!U224+'GVFund Rev'!W224-'GVFund Exp'!AH223-'GVFund Exp'!AL223+AJ223+AN223+AP223-'GV Fund BS'!S224</f>
        <v>0</v>
      </c>
      <c r="AS223" s="48"/>
    </row>
    <row r="224" spans="1:45" s="46" customFormat="1" ht="12.75" customHeight="1">
      <c r="A224" s="35" t="s">
        <v>254</v>
      </c>
      <c r="B224" s="44"/>
      <c r="C224" s="35" t="s">
        <v>89</v>
      </c>
      <c r="D224" s="44"/>
      <c r="E224" s="45">
        <v>600018</v>
      </c>
      <c r="F224" s="48"/>
      <c r="G224" s="45">
        <v>1290962</v>
      </c>
      <c r="H224" s="48"/>
      <c r="I224" s="45">
        <v>189927</v>
      </c>
      <c r="J224" s="48"/>
      <c r="K224" s="45">
        <v>105942</v>
      </c>
      <c r="L224" s="48"/>
      <c r="M224" s="45">
        <v>334379</v>
      </c>
      <c r="N224" s="48"/>
      <c r="O224" s="45">
        <v>15537</v>
      </c>
      <c r="P224" s="48"/>
      <c r="Q224" s="45">
        <v>0</v>
      </c>
      <c r="R224" s="48"/>
      <c r="S224" s="45">
        <v>945888</v>
      </c>
      <c r="T224" s="48"/>
      <c r="U224" s="45">
        <v>0</v>
      </c>
      <c r="V224" s="48"/>
      <c r="W224" s="48"/>
      <c r="X224" s="35"/>
      <c r="Y224" s="44"/>
      <c r="Z224" s="35"/>
      <c r="AA224" s="35"/>
      <c r="AB224" s="45">
        <v>204542</v>
      </c>
      <c r="AC224" s="65"/>
      <c r="AD224" s="45">
        <v>80998</v>
      </c>
      <c r="AE224" s="65"/>
      <c r="AF224" s="45">
        <v>0</v>
      </c>
      <c r="AG224" s="65"/>
      <c r="AH224" s="48">
        <f t="shared" si="7"/>
        <v>3768193</v>
      </c>
      <c r="AI224" s="48"/>
      <c r="AJ224" s="48">
        <v>0</v>
      </c>
      <c r="AK224" s="48"/>
      <c r="AL224" s="45">
        <v>307161</v>
      </c>
      <c r="AM224" s="45"/>
      <c r="AN224" s="45">
        <v>1896147</v>
      </c>
      <c r="AO224" s="45"/>
      <c r="AP224" s="45">
        <v>0</v>
      </c>
      <c r="AQ224" s="45"/>
      <c r="AR224" s="45">
        <f>+'GVFund Rev'!U225+'GVFund Rev'!W225-'GVFund Exp'!AH224-'GVFund Exp'!AL224+AJ224+AN224+AP224-'GV Fund BS'!S225</f>
        <v>0</v>
      </c>
      <c r="AS224" s="48"/>
    </row>
    <row r="225" spans="1:46" s="44" customFormat="1" ht="12.75" customHeight="1">
      <c r="A225" s="35" t="s">
        <v>159</v>
      </c>
      <c r="C225" s="35" t="s">
        <v>66</v>
      </c>
      <c r="E225" s="45">
        <v>769919</v>
      </c>
      <c r="F225" s="48"/>
      <c r="G225" s="45">
        <v>1713098</v>
      </c>
      <c r="H225" s="48"/>
      <c r="I225" s="45">
        <v>499971</v>
      </c>
      <c r="J225" s="48"/>
      <c r="K225" s="45">
        <v>10401</v>
      </c>
      <c r="L225" s="48"/>
      <c r="M225" s="45">
        <v>443615</v>
      </c>
      <c r="N225" s="48"/>
      <c r="O225" s="45">
        <v>51417</v>
      </c>
      <c r="P225" s="48"/>
      <c r="Q225" s="45">
        <v>0</v>
      </c>
      <c r="R225" s="48"/>
      <c r="S225" s="45">
        <v>432016</v>
      </c>
      <c r="T225" s="48"/>
      <c r="U225" s="45">
        <v>0</v>
      </c>
      <c r="V225" s="48"/>
      <c r="W225" s="48"/>
      <c r="X225" s="35"/>
      <c r="Z225" s="35"/>
      <c r="AA225" s="35"/>
      <c r="AB225" s="45">
        <v>132834</v>
      </c>
      <c r="AC225" s="65"/>
      <c r="AD225" s="45">
        <v>81120</v>
      </c>
      <c r="AE225" s="65"/>
      <c r="AF225" s="45">
        <v>0</v>
      </c>
      <c r="AG225" s="65"/>
      <c r="AH225" s="48">
        <f t="shared" si="7"/>
        <v>4134391</v>
      </c>
      <c r="AI225" s="48"/>
      <c r="AJ225" s="48">
        <v>0</v>
      </c>
      <c r="AK225" s="48"/>
      <c r="AL225" s="45">
        <v>167439</v>
      </c>
      <c r="AM225" s="45"/>
      <c r="AN225" s="45">
        <v>1348325</v>
      </c>
      <c r="AO225" s="45"/>
      <c r="AP225" s="45">
        <v>0</v>
      </c>
      <c r="AQ225" s="45"/>
      <c r="AR225" s="45">
        <f>+'GVFund Rev'!U226+'GVFund Rev'!W226-'GVFund Exp'!AH225-'GVFund Exp'!AL225+AJ225+AN225+AP225-'GV Fund BS'!S226</f>
        <v>0</v>
      </c>
      <c r="AS225" s="48"/>
    </row>
    <row r="226" spans="1:46" s="44" customFormat="1" ht="12.75" customHeight="1">
      <c r="A226" s="35" t="s">
        <v>255</v>
      </c>
      <c r="C226" s="35" t="s">
        <v>27</v>
      </c>
      <c r="E226" s="45">
        <v>1529553</v>
      </c>
      <c r="F226" s="48"/>
      <c r="G226" s="45">
        <v>8236479</v>
      </c>
      <c r="H226" s="48"/>
      <c r="I226" s="45">
        <v>5012693</v>
      </c>
      <c r="J226" s="48"/>
      <c r="K226" s="45">
        <v>26290</v>
      </c>
      <c r="L226" s="48"/>
      <c r="M226" s="45">
        <v>988490</v>
      </c>
      <c r="N226" s="48"/>
      <c r="O226" s="45">
        <v>342295</v>
      </c>
      <c r="P226" s="48"/>
      <c r="Q226" s="45">
        <v>3070368</v>
      </c>
      <c r="R226" s="48"/>
      <c r="S226" s="45">
        <v>0</v>
      </c>
      <c r="T226" s="48"/>
      <c r="U226" s="45">
        <v>0</v>
      </c>
      <c r="V226" s="48"/>
      <c r="W226" s="48"/>
      <c r="X226" s="35"/>
      <c r="Z226" s="35"/>
      <c r="AA226" s="35"/>
      <c r="AB226" s="45">
        <v>3207798</v>
      </c>
      <c r="AC226" s="65"/>
      <c r="AD226" s="45">
        <v>138759</v>
      </c>
      <c r="AE226" s="65"/>
      <c r="AF226" s="45">
        <v>0</v>
      </c>
      <c r="AG226" s="65"/>
      <c r="AH226" s="48">
        <f t="shared" si="7"/>
        <v>22552725</v>
      </c>
      <c r="AI226" s="48"/>
      <c r="AJ226" s="48">
        <v>0</v>
      </c>
      <c r="AK226" s="48"/>
      <c r="AL226" s="45">
        <v>3619949</v>
      </c>
      <c r="AM226" s="45"/>
      <c r="AN226" s="45">
        <v>3045952</v>
      </c>
      <c r="AO226" s="45"/>
      <c r="AP226" s="45">
        <v>0</v>
      </c>
      <c r="AQ226" s="45"/>
      <c r="AR226" s="45">
        <f>+'GVFund Rev'!U227+'GVFund Rev'!W227-'GVFund Exp'!AH226-'GVFund Exp'!AL226+AJ226+AN226+AP226-'GV Fund BS'!S227</f>
        <v>0</v>
      </c>
      <c r="AS226" s="158"/>
      <c r="AT226" s="158"/>
    </row>
    <row r="227" spans="1:46" s="44" customFormat="1" ht="12.75" customHeight="1">
      <c r="A227" s="35" t="s">
        <v>256</v>
      </c>
      <c r="C227" s="35" t="s">
        <v>43</v>
      </c>
      <c r="E227" s="45">
        <v>7906883</v>
      </c>
      <c r="F227" s="48"/>
      <c r="G227" s="45">
        <v>15650965</v>
      </c>
      <c r="H227" s="48"/>
      <c r="I227" s="45">
        <v>991447</v>
      </c>
      <c r="J227" s="48"/>
      <c r="K227" s="45">
        <v>0</v>
      </c>
      <c r="L227" s="48"/>
      <c r="M227" s="45">
        <v>3190466</v>
      </c>
      <c r="N227" s="48"/>
      <c r="O227" s="45">
        <v>3039646</v>
      </c>
      <c r="P227" s="48"/>
      <c r="Q227" s="45">
        <v>0</v>
      </c>
      <c r="R227" s="48"/>
      <c r="S227" s="45">
        <v>8922611</v>
      </c>
      <c r="T227" s="48"/>
      <c r="U227" s="45">
        <v>0</v>
      </c>
      <c r="V227" s="48"/>
      <c r="W227" s="48"/>
      <c r="X227" s="35"/>
      <c r="Z227" s="35"/>
      <c r="AA227" s="35"/>
      <c r="AB227" s="45">
        <v>1985000</v>
      </c>
      <c r="AC227" s="65"/>
      <c r="AD227" s="45">
        <v>1393164</v>
      </c>
      <c r="AE227" s="65"/>
      <c r="AF227" s="45">
        <v>148050</v>
      </c>
      <c r="AG227" s="65"/>
      <c r="AH227" s="48">
        <f t="shared" si="7"/>
        <v>43228232</v>
      </c>
      <c r="AI227" s="48"/>
      <c r="AJ227" s="48">
        <v>0</v>
      </c>
      <c r="AK227" s="48"/>
      <c r="AL227" s="45">
        <v>7110682</v>
      </c>
      <c r="AM227" s="45"/>
      <c r="AN227" s="45">
        <v>48299305</v>
      </c>
      <c r="AO227" s="45"/>
      <c r="AP227" s="45">
        <v>0</v>
      </c>
      <c r="AQ227" s="45"/>
      <c r="AR227" s="45">
        <f>+'GVFund Rev'!U228+'GVFund Rev'!W228-'GVFund Exp'!AH227-'GVFund Exp'!AL227+AJ227+AN227+AP227-'GV Fund BS'!S228</f>
        <v>0</v>
      </c>
      <c r="AS227" s="48"/>
    </row>
    <row r="228" spans="1:46" s="44" customFormat="1" ht="12.75" customHeight="1">
      <c r="A228" s="35" t="s">
        <v>257</v>
      </c>
      <c r="C228" s="35" t="s">
        <v>258</v>
      </c>
      <c r="E228" s="45">
        <f>388828+709178+1</f>
        <v>1098007</v>
      </c>
      <c r="F228" s="48"/>
      <c r="G228" s="45">
        <v>1912472</v>
      </c>
      <c r="H228" s="48"/>
      <c r="I228" s="45">
        <v>88838</v>
      </c>
      <c r="J228" s="48"/>
      <c r="K228" s="45">
        <v>37311</v>
      </c>
      <c r="L228" s="48"/>
      <c r="M228" s="45">
        <v>439446</v>
      </c>
      <c r="N228" s="48"/>
      <c r="O228" s="45">
        <v>291867</v>
      </c>
      <c r="P228" s="48"/>
      <c r="Q228" s="45">
        <v>34571</v>
      </c>
      <c r="R228" s="48"/>
      <c r="S228" s="45">
        <v>0</v>
      </c>
      <c r="T228" s="48"/>
      <c r="U228" s="45">
        <v>0</v>
      </c>
      <c r="V228" s="48"/>
      <c r="W228" s="48"/>
      <c r="X228" s="35"/>
      <c r="Z228" s="35"/>
      <c r="AA228" s="35"/>
      <c r="AB228" s="45">
        <v>481284</v>
      </c>
      <c r="AC228" s="65"/>
      <c r="AD228" s="45">
        <v>258236</v>
      </c>
      <c r="AE228" s="65"/>
      <c r="AF228" s="45">
        <v>0</v>
      </c>
      <c r="AG228" s="65"/>
      <c r="AH228" s="48">
        <f t="shared" si="7"/>
        <v>4642032</v>
      </c>
      <c r="AI228" s="48"/>
      <c r="AJ228" s="48">
        <v>0</v>
      </c>
      <c r="AK228" s="48"/>
      <c r="AL228" s="45">
        <v>555762</v>
      </c>
      <c r="AM228" s="45"/>
      <c r="AN228" s="45">
        <v>596129</v>
      </c>
      <c r="AO228" s="45"/>
      <c r="AP228" s="45">
        <v>-10063</v>
      </c>
      <c r="AQ228" s="45"/>
      <c r="AR228" s="45">
        <f>+'GVFund Rev'!U229+'GVFund Rev'!W229-'GVFund Exp'!AH228-'GVFund Exp'!AL228+AJ228+AN228+AP228-'GV Fund BS'!S229</f>
        <v>0</v>
      </c>
      <c r="AS228" s="48"/>
    </row>
    <row r="229" spans="1:46" s="44" customFormat="1" ht="12.75" customHeight="1">
      <c r="A229" s="35" t="s">
        <v>259</v>
      </c>
      <c r="C229" s="35" t="s">
        <v>346</v>
      </c>
      <c r="E229" s="45">
        <v>1988555</v>
      </c>
      <c r="F229" s="48"/>
      <c r="G229" s="45">
        <v>4736799</v>
      </c>
      <c r="H229" s="48"/>
      <c r="I229" s="45">
        <v>303018</v>
      </c>
      <c r="J229" s="48"/>
      <c r="K229" s="45">
        <v>205140</v>
      </c>
      <c r="L229" s="48"/>
      <c r="M229" s="45">
        <v>1267613</v>
      </c>
      <c r="N229" s="48"/>
      <c r="O229" s="45">
        <v>269494</v>
      </c>
      <c r="P229" s="48"/>
      <c r="Q229" s="45">
        <v>0</v>
      </c>
      <c r="R229" s="48"/>
      <c r="S229" s="45">
        <v>1603303</v>
      </c>
      <c r="T229" s="48"/>
      <c r="U229" s="45">
        <v>0</v>
      </c>
      <c r="V229" s="48"/>
      <c r="W229" s="48"/>
      <c r="X229" s="35"/>
      <c r="Z229" s="35"/>
      <c r="AA229" s="35"/>
      <c r="AB229" s="45">
        <v>571966</v>
      </c>
      <c r="AC229" s="65"/>
      <c r="AD229" s="45">
        <v>156259</v>
      </c>
      <c r="AE229" s="65"/>
      <c r="AF229" s="45">
        <v>0</v>
      </c>
      <c r="AG229" s="65"/>
      <c r="AH229" s="48">
        <f t="shared" si="7"/>
        <v>11102147</v>
      </c>
      <c r="AI229" s="48"/>
      <c r="AJ229" s="48">
        <v>0</v>
      </c>
      <c r="AK229" s="48"/>
      <c r="AL229" s="45">
        <v>130000</v>
      </c>
      <c r="AM229" s="45"/>
      <c r="AN229" s="45">
        <v>3286080</v>
      </c>
      <c r="AO229" s="45"/>
      <c r="AP229" s="45">
        <v>0</v>
      </c>
      <c r="AQ229" s="45"/>
      <c r="AR229" s="45">
        <f>+'GVFund Rev'!U230+'GVFund Rev'!W230-'GVFund Exp'!AH229-'GVFund Exp'!AL229+AJ229+AN229+AP229-'GV Fund BS'!S230</f>
        <v>0</v>
      </c>
      <c r="AS229" s="48"/>
    </row>
    <row r="230" spans="1:46" s="44" customFormat="1" ht="12.75" customHeight="1">
      <c r="A230" s="35" t="s">
        <v>261</v>
      </c>
      <c r="C230" s="35" t="s">
        <v>66</v>
      </c>
      <c r="E230" s="45">
        <f>3436920+1937338</f>
        <v>5374258</v>
      </c>
      <c r="F230" s="48"/>
      <c r="G230" s="45">
        <f>4255286+1841256</f>
        <v>6096542</v>
      </c>
      <c r="H230" s="48"/>
      <c r="I230" s="45">
        <v>0</v>
      </c>
      <c r="J230" s="48"/>
      <c r="K230" s="45">
        <v>0</v>
      </c>
      <c r="L230" s="48"/>
      <c r="M230" s="45">
        <f>1073797+2224815</f>
        <v>3298612</v>
      </c>
      <c r="N230" s="48"/>
      <c r="O230" s="45">
        <v>3486776</v>
      </c>
      <c r="P230" s="48"/>
      <c r="Q230" s="45">
        <v>770926</v>
      </c>
      <c r="R230" s="48"/>
      <c r="S230" s="45">
        <v>7279564</v>
      </c>
      <c r="T230" s="48"/>
      <c r="U230" s="45">
        <v>0</v>
      </c>
      <c r="V230" s="48"/>
      <c r="W230" s="48"/>
      <c r="X230" s="35"/>
      <c r="Z230" s="35"/>
      <c r="AA230" s="35"/>
      <c r="AB230" s="45">
        <v>935008</v>
      </c>
      <c r="AC230" s="65"/>
      <c r="AD230" s="45">
        <v>669351</v>
      </c>
      <c r="AE230" s="65"/>
      <c r="AF230" s="45">
        <v>0</v>
      </c>
      <c r="AG230" s="65"/>
      <c r="AH230" s="48">
        <f t="shared" si="7"/>
        <v>27911037</v>
      </c>
      <c r="AI230" s="48"/>
      <c r="AJ230" s="48">
        <v>0</v>
      </c>
      <c r="AK230" s="48"/>
      <c r="AL230" s="45">
        <v>4653092</v>
      </c>
      <c r="AM230" s="45"/>
      <c r="AN230" s="45">
        <v>22347709</v>
      </c>
      <c r="AO230" s="45"/>
      <c r="AP230" s="45">
        <v>0</v>
      </c>
      <c r="AQ230" s="45"/>
      <c r="AR230" s="45">
        <f>+'GVFund Rev'!U231+'GVFund Rev'!W231-'GVFund Exp'!AH230-'GVFund Exp'!AL230+AJ230+AN230+AP230-'GV Fund BS'!S231</f>
        <v>0</v>
      </c>
      <c r="AS230" s="48"/>
    </row>
    <row r="231" spans="1:46" s="121" customFormat="1" ht="12.75" hidden="1" customHeight="1">
      <c r="A231" s="126" t="s">
        <v>262</v>
      </c>
      <c r="C231" s="126" t="s">
        <v>132</v>
      </c>
      <c r="E231" s="127">
        <v>0</v>
      </c>
      <c r="F231" s="130"/>
      <c r="G231" s="127">
        <v>0</v>
      </c>
      <c r="H231" s="130"/>
      <c r="I231" s="127">
        <v>0</v>
      </c>
      <c r="J231" s="130"/>
      <c r="K231" s="127">
        <v>0</v>
      </c>
      <c r="L231" s="130"/>
      <c r="M231" s="127">
        <v>0</v>
      </c>
      <c r="N231" s="130"/>
      <c r="O231" s="127">
        <v>0</v>
      </c>
      <c r="P231" s="130"/>
      <c r="Q231" s="127">
        <v>0</v>
      </c>
      <c r="R231" s="130"/>
      <c r="S231" s="127">
        <v>0</v>
      </c>
      <c r="T231" s="130"/>
      <c r="U231" s="127">
        <v>0</v>
      </c>
      <c r="V231" s="130"/>
      <c r="W231" s="130"/>
      <c r="X231" s="126"/>
      <c r="Z231" s="126"/>
      <c r="AA231" s="126"/>
      <c r="AB231" s="127">
        <v>0</v>
      </c>
      <c r="AC231" s="125"/>
      <c r="AD231" s="127">
        <v>0</v>
      </c>
      <c r="AE231" s="125"/>
      <c r="AF231" s="127">
        <v>0</v>
      </c>
      <c r="AG231" s="125"/>
      <c r="AH231" s="130">
        <f t="shared" si="7"/>
        <v>0</v>
      </c>
      <c r="AI231" s="130"/>
      <c r="AJ231" s="130">
        <v>0</v>
      </c>
      <c r="AK231" s="130"/>
      <c r="AL231" s="127">
        <v>0</v>
      </c>
      <c r="AM231" s="127"/>
      <c r="AN231" s="127">
        <v>0</v>
      </c>
      <c r="AO231" s="127"/>
      <c r="AP231" s="127">
        <v>0</v>
      </c>
      <c r="AQ231" s="127"/>
      <c r="AR231" s="127">
        <f>+'GVFund Rev'!U232+'GVFund Rev'!W232-'GVFund Exp'!AH231-'GVFund Exp'!AL231+AJ231+AN231+AP231-'GV Fund BS'!S232</f>
        <v>0</v>
      </c>
      <c r="AS231" s="130"/>
    </row>
    <row r="232" spans="1:46" s="44" customFormat="1" ht="12.75" customHeight="1">
      <c r="A232" s="35" t="s">
        <v>263</v>
      </c>
      <c r="C232" s="35" t="s">
        <v>53</v>
      </c>
      <c r="E232" s="45">
        <v>2891212</v>
      </c>
      <c r="F232" s="48"/>
      <c r="G232" s="45">
        <v>6034330</v>
      </c>
      <c r="H232" s="48"/>
      <c r="I232" s="45">
        <v>516310</v>
      </c>
      <c r="J232" s="48"/>
      <c r="K232" s="45">
        <v>100441</v>
      </c>
      <c r="L232" s="48"/>
      <c r="M232" s="45">
        <v>2054047</v>
      </c>
      <c r="N232" s="48"/>
      <c r="O232" s="45">
        <v>2099175</v>
      </c>
      <c r="P232" s="48"/>
      <c r="Q232" s="45">
        <v>690694</v>
      </c>
      <c r="R232" s="48"/>
      <c r="S232" s="45">
        <v>17763231</v>
      </c>
      <c r="T232" s="48"/>
      <c r="U232" s="45">
        <v>7499</v>
      </c>
      <c r="V232" s="48"/>
      <c r="W232" s="48"/>
      <c r="X232" s="35"/>
      <c r="Z232" s="35"/>
      <c r="AA232" s="35"/>
      <c r="AB232" s="45">
        <v>252161</v>
      </c>
      <c r="AC232" s="65"/>
      <c r="AD232" s="45">
        <v>100713</v>
      </c>
      <c r="AE232" s="65"/>
      <c r="AF232" s="45">
        <v>360988</v>
      </c>
      <c r="AG232" s="65"/>
      <c r="AH232" s="48">
        <f t="shared" si="7"/>
        <v>32870801</v>
      </c>
      <c r="AI232" s="48"/>
      <c r="AJ232" s="48">
        <v>0</v>
      </c>
      <c r="AK232" s="48"/>
      <c r="AL232" s="45">
        <f>6842213+103548</f>
        <v>6945761</v>
      </c>
      <c r="AM232" s="45"/>
      <c r="AN232" s="45">
        <v>16431019</v>
      </c>
      <c r="AO232" s="45"/>
      <c r="AP232" s="45">
        <v>0</v>
      </c>
      <c r="AQ232" s="45"/>
      <c r="AR232" s="45">
        <f>+'GVFund Rev'!U233+'GVFund Rev'!W233-'GVFund Exp'!AH232-'GVFund Exp'!AL232+AJ232+AN232+AP232-'GV Fund BS'!S233</f>
        <v>0</v>
      </c>
      <c r="AS232" s="48"/>
    </row>
    <row r="233" spans="1:46" s="44" customFormat="1" ht="12.75" customHeight="1">
      <c r="A233" s="35" t="s">
        <v>264</v>
      </c>
      <c r="C233" s="35" t="s">
        <v>239</v>
      </c>
      <c r="E233" s="45">
        <v>536168</v>
      </c>
      <c r="F233" s="48"/>
      <c r="G233" s="45">
        <f>1423412+1406482+15472</f>
        <v>2845366</v>
      </c>
      <c r="H233" s="48"/>
      <c r="I233" s="45">
        <v>82067</v>
      </c>
      <c r="J233" s="48"/>
      <c r="K233" s="45">
        <v>172208</v>
      </c>
      <c r="L233" s="48"/>
      <c r="M233" s="45">
        <v>3037581</v>
      </c>
      <c r="N233" s="48"/>
      <c r="O233" s="45">
        <v>389487</v>
      </c>
      <c r="P233" s="48"/>
      <c r="Q233" s="45">
        <v>0</v>
      </c>
      <c r="R233" s="48"/>
      <c r="S233" s="45">
        <v>0</v>
      </c>
      <c r="T233" s="48"/>
      <c r="U233" s="45">
        <v>0</v>
      </c>
      <c r="V233" s="48"/>
      <c r="W233" s="48"/>
      <c r="X233" s="35"/>
      <c r="Z233" s="35"/>
      <c r="AA233" s="35"/>
      <c r="AB233" s="45">
        <v>365342</v>
      </c>
      <c r="AC233" s="65"/>
      <c r="AD233" s="45">
        <v>52045</v>
      </c>
      <c r="AE233" s="65"/>
      <c r="AF233" s="45">
        <v>0</v>
      </c>
      <c r="AG233" s="65"/>
      <c r="AH233" s="48">
        <f t="shared" si="7"/>
        <v>7480264</v>
      </c>
      <c r="AI233" s="48"/>
      <c r="AJ233" s="48">
        <v>0</v>
      </c>
      <c r="AK233" s="48"/>
      <c r="AL233" s="45">
        <v>1237325</v>
      </c>
      <c r="AM233" s="45"/>
      <c r="AN233" s="45">
        <v>6998511</v>
      </c>
      <c r="AO233" s="45"/>
      <c r="AP233" s="45">
        <v>0</v>
      </c>
      <c r="AQ233" s="45"/>
      <c r="AR233" s="45">
        <f>+'GVFund Rev'!U234+'GVFund Rev'!W234-'GVFund Exp'!AH233-'GVFund Exp'!AL233+AJ233+AN233+AP233-'GV Fund BS'!S234</f>
        <v>0</v>
      </c>
      <c r="AS233" s="48"/>
    </row>
    <row r="234" spans="1:46" s="44" customFormat="1" ht="12.75" customHeight="1">
      <c r="A234" s="35" t="s">
        <v>111</v>
      </c>
      <c r="C234" s="44" t="s">
        <v>80</v>
      </c>
      <c r="E234" s="45">
        <v>7565426</v>
      </c>
      <c r="F234" s="48"/>
      <c r="G234" s="45">
        <v>15299674</v>
      </c>
      <c r="H234" s="48"/>
      <c r="I234" s="45">
        <f>1707275+3631183</f>
        <v>5338458</v>
      </c>
      <c r="J234" s="48"/>
      <c r="K234" s="45">
        <v>627133</v>
      </c>
      <c r="L234" s="48"/>
      <c r="M234" s="45">
        <v>1568297</v>
      </c>
      <c r="N234" s="48"/>
      <c r="O234" s="45">
        <v>440263</v>
      </c>
      <c r="P234" s="48"/>
      <c r="Q234" s="45">
        <v>0</v>
      </c>
      <c r="R234" s="48"/>
      <c r="S234" s="45">
        <v>4238297</v>
      </c>
      <c r="T234" s="48"/>
      <c r="U234" s="45">
        <v>0</v>
      </c>
      <c r="V234" s="48"/>
      <c r="W234" s="48"/>
      <c r="X234" s="35"/>
      <c r="Z234" s="35"/>
      <c r="AA234" s="35"/>
      <c r="AB234" s="45">
        <v>1937447</v>
      </c>
      <c r="AC234" s="65"/>
      <c r="AD234" s="45">
        <v>481373</v>
      </c>
      <c r="AE234" s="65"/>
      <c r="AF234" s="45">
        <v>0</v>
      </c>
      <c r="AG234" s="65"/>
      <c r="AH234" s="48">
        <f t="shared" si="7"/>
        <v>37496368</v>
      </c>
      <c r="AI234" s="48"/>
      <c r="AJ234" s="48">
        <v>0</v>
      </c>
      <c r="AK234" s="48"/>
      <c r="AL234" s="45">
        <v>556470</v>
      </c>
      <c r="AM234" s="45"/>
      <c r="AN234" s="45">
        <v>14643262</v>
      </c>
      <c r="AO234" s="45"/>
      <c r="AP234" s="45">
        <v>0</v>
      </c>
      <c r="AQ234" s="45"/>
      <c r="AR234" s="45">
        <f>+'GVFund Rev'!U235+'GVFund Rev'!W235-'GVFund Exp'!AH234-'GVFund Exp'!AL234+AJ234+AN234+AP234-'GV Fund BS'!S235</f>
        <v>0</v>
      </c>
      <c r="AS234" s="48"/>
    </row>
    <row r="235" spans="1:46" s="44" customFormat="1" ht="12.75" customHeight="1">
      <c r="A235" s="35" t="s">
        <v>265</v>
      </c>
      <c r="C235" s="44" t="s">
        <v>27</v>
      </c>
      <c r="E235" s="45">
        <v>2785533</v>
      </c>
      <c r="F235" s="48"/>
      <c r="G235" s="45">
        <f>4762219+3406521</f>
        <v>8168740</v>
      </c>
      <c r="H235" s="48"/>
      <c r="I235" s="45">
        <v>1091745</v>
      </c>
      <c r="J235" s="48"/>
      <c r="K235" s="45">
        <v>27952</v>
      </c>
      <c r="L235" s="48"/>
      <c r="M235" s="45">
        <v>1777858</v>
      </c>
      <c r="N235" s="48"/>
      <c r="O235" s="45">
        <v>178910</v>
      </c>
      <c r="P235" s="48"/>
      <c r="Q235" s="45">
        <v>1025838</v>
      </c>
      <c r="R235" s="48"/>
      <c r="S235" s="45">
        <v>1218367</v>
      </c>
      <c r="T235" s="48"/>
      <c r="U235" s="45">
        <v>0</v>
      </c>
      <c r="V235" s="48"/>
      <c r="W235" s="48"/>
      <c r="X235" s="35"/>
      <c r="Z235" s="35"/>
      <c r="AA235" s="35"/>
      <c r="AB235" s="45">
        <v>450000</v>
      </c>
      <c r="AC235" s="65"/>
      <c r="AD235" s="45">
        <v>461207</v>
      </c>
      <c r="AE235" s="65"/>
      <c r="AF235" s="45">
        <v>0</v>
      </c>
      <c r="AG235" s="65"/>
      <c r="AH235" s="48">
        <f t="shared" si="7"/>
        <v>17186150</v>
      </c>
      <c r="AI235" s="48"/>
      <c r="AJ235" s="48">
        <v>0</v>
      </c>
      <c r="AK235" s="48"/>
      <c r="AL235" s="45">
        <f>8892000+533756</f>
        <v>9425756</v>
      </c>
      <c r="AM235" s="45"/>
      <c r="AN235" s="45">
        <v>-4168786</v>
      </c>
      <c r="AO235" s="45"/>
      <c r="AP235" s="45">
        <v>0</v>
      </c>
      <c r="AQ235" s="45"/>
      <c r="AR235" s="45">
        <f>+'GVFund Rev'!U236+'GVFund Rev'!W236-'GVFund Exp'!AH235-'GVFund Exp'!AL235+AJ235+AN235+AP235-'GV Fund BS'!S236</f>
        <v>0</v>
      </c>
      <c r="AS235" s="48"/>
    </row>
    <row r="236" spans="1:46" s="44" customFormat="1" ht="12.75" customHeight="1">
      <c r="A236" s="35" t="s">
        <v>40</v>
      </c>
      <c r="C236" s="47" t="s">
        <v>451</v>
      </c>
      <c r="E236" s="45">
        <v>2941761</v>
      </c>
      <c r="F236" s="48"/>
      <c r="G236" s="45">
        <v>4127443</v>
      </c>
      <c r="H236" s="48"/>
      <c r="I236" s="45">
        <v>1390412</v>
      </c>
      <c r="J236" s="48"/>
      <c r="K236" s="45">
        <v>304948</v>
      </c>
      <c r="L236" s="48"/>
      <c r="M236" s="45">
        <v>1540977</v>
      </c>
      <c r="N236" s="48"/>
      <c r="O236" s="45">
        <v>62692</v>
      </c>
      <c r="P236" s="48"/>
      <c r="Q236" s="45">
        <v>0</v>
      </c>
      <c r="R236" s="48"/>
      <c r="S236" s="45">
        <v>2878175</v>
      </c>
      <c r="T236" s="48"/>
      <c r="U236" s="45">
        <v>0</v>
      </c>
      <c r="V236" s="48"/>
      <c r="W236" s="48"/>
      <c r="X236" s="35"/>
      <c r="Z236" s="35"/>
      <c r="AA236" s="35"/>
      <c r="AB236" s="45">
        <v>557574</v>
      </c>
      <c r="AC236" s="65"/>
      <c r="AD236" s="45">
        <v>614262</v>
      </c>
      <c r="AE236" s="65"/>
      <c r="AF236" s="45">
        <v>0</v>
      </c>
      <c r="AG236" s="65"/>
      <c r="AH236" s="48">
        <f t="shared" si="7"/>
        <v>14418244</v>
      </c>
      <c r="AI236" s="48"/>
      <c r="AJ236" s="48">
        <v>0</v>
      </c>
      <c r="AK236" s="48"/>
      <c r="AL236" s="45">
        <v>111000</v>
      </c>
      <c r="AM236" s="45"/>
      <c r="AN236" s="45">
        <v>4620454</v>
      </c>
      <c r="AO236" s="45"/>
      <c r="AP236" s="45">
        <v>0</v>
      </c>
      <c r="AQ236" s="45"/>
      <c r="AR236" s="45">
        <f>+'GVFund Rev'!U237+'GVFund Rev'!W237-'GVFund Exp'!AH236-'GVFund Exp'!AL236+AJ236+AN236+AP236-'GV Fund BS'!S237</f>
        <v>0</v>
      </c>
      <c r="AS236" s="48"/>
    </row>
    <row r="237" spans="1:46" s="44" customFormat="1" ht="12.75" customHeight="1">
      <c r="A237" s="64" t="s">
        <v>266</v>
      </c>
      <c r="B237" s="46"/>
      <c r="C237" s="64" t="s">
        <v>267</v>
      </c>
      <c r="D237" s="46"/>
      <c r="E237" s="45">
        <v>637427</v>
      </c>
      <c r="F237" s="48"/>
      <c r="G237" s="45">
        <v>2177451</v>
      </c>
      <c r="H237" s="48"/>
      <c r="I237" s="45">
        <v>364621</v>
      </c>
      <c r="J237" s="48"/>
      <c r="K237" s="45">
        <v>0</v>
      </c>
      <c r="L237" s="48"/>
      <c r="M237" s="45">
        <v>547968</v>
      </c>
      <c r="N237" s="48"/>
      <c r="O237" s="45">
        <v>437758</v>
      </c>
      <c r="P237" s="48"/>
      <c r="Q237" s="45">
        <v>15497</v>
      </c>
      <c r="R237" s="48"/>
      <c r="S237" s="45">
        <v>1440084</v>
      </c>
      <c r="T237" s="48"/>
      <c r="U237" s="45">
        <v>0</v>
      </c>
      <c r="V237" s="48"/>
      <c r="W237" s="48"/>
      <c r="X237" s="35"/>
      <c r="Z237" s="35"/>
      <c r="AA237" s="35"/>
      <c r="AB237" s="45">
        <v>3100000</v>
      </c>
      <c r="AC237" s="65"/>
      <c r="AD237" s="45">
        <v>94550</v>
      </c>
      <c r="AE237" s="65"/>
      <c r="AF237" s="45">
        <v>0</v>
      </c>
      <c r="AG237" s="65"/>
      <c r="AH237" s="48">
        <f t="shared" si="7"/>
        <v>8815356</v>
      </c>
      <c r="AI237" s="48"/>
      <c r="AJ237" s="48">
        <v>0</v>
      </c>
      <c r="AK237" s="48"/>
      <c r="AL237" s="45">
        <f>56378+160000</f>
        <v>216378</v>
      </c>
      <c r="AM237" s="45"/>
      <c r="AN237" s="45">
        <v>3617808</v>
      </c>
      <c r="AO237" s="45"/>
      <c r="AP237" s="45">
        <v>-310</v>
      </c>
      <c r="AQ237" s="45"/>
      <c r="AR237" s="45">
        <f>+'GVFund Rev'!U238+'GVFund Rev'!W238-'GVFund Exp'!AH237-'GVFund Exp'!AL237+AJ237+AN237+AP237-'GV Fund BS'!S238</f>
        <v>0</v>
      </c>
      <c r="AS237" s="48"/>
    </row>
    <row r="238" spans="1:46" s="46" customFormat="1" ht="12.75" customHeight="1">
      <c r="A238" s="35" t="s">
        <v>268</v>
      </c>
      <c r="B238" s="44"/>
      <c r="C238" s="35" t="s">
        <v>269</v>
      </c>
      <c r="D238" s="44"/>
      <c r="E238" s="45">
        <v>760535</v>
      </c>
      <c r="F238" s="48"/>
      <c r="G238" s="45">
        <v>1361277</v>
      </c>
      <c r="H238" s="48"/>
      <c r="I238" s="45">
        <v>328</v>
      </c>
      <c r="J238" s="48"/>
      <c r="K238" s="45">
        <v>1470</v>
      </c>
      <c r="L238" s="48"/>
      <c r="M238" s="45">
        <v>574097</v>
      </c>
      <c r="N238" s="48"/>
      <c r="O238" s="45">
        <v>85208</v>
      </c>
      <c r="P238" s="48"/>
      <c r="Q238" s="45">
        <v>0</v>
      </c>
      <c r="R238" s="48"/>
      <c r="S238" s="45">
        <v>11989</v>
      </c>
      <c r="T238" s="48"/>
      <c r="U238" s="45">
        <v>0</v>
      </c>
      <c r="V238" s="48"/>
      <c r="W238" s="48"/>
      <c r="X238" s="35"/>
      <c r="Y238" s="44"/>
      <c r="Z238" s="35"/>
      <c r="AA238" s="35"/>
      <c r="AB238" s="45">
        <v>946271</v>
      </c>
      <c r="AC238" s="65"/>
      <c r="AD238" s="45">
        <v>25396</v>
      </c>
      <c r="AE238" s="65"/>
      <c r="AF238" s="45">
        <v>0</v>
      </c>
      <c r="AG238" s="65"/>
      <c r="AH238" s="48">
        <f t="shared" si="7"/>
        <v>3766571</v>
      </c>
      <c r="AI238" s="48"/>
      <c r="AJ238" s="48">
        <v>0</v>
      </c>
      <c r="AK238" s="48"/>
      <c r="AL238" s="45">
        <v>1206527</v>
      </c>
      <c r="AM238" s="45"/>
      <c r="AN238" s="45">
        <v>1759792</v>
      </c>
      <c r="AO238" s="45"/>
      <c r="AP238" s="45">
        <v>0</v>
      </c>
      <c r="AQ238" s="45"/>
      <c r="AR238" s="45">
        <f>+'GVFund Rev'!U239+'GVFund Rev'!W239-'GVFund Exp'!AH238-'GVFund Exp'!AL238+AJ238+AN238+AP238-'GV Fund BS'!S239</f>
        <v>0</v>
      </c>
      <c r="AS238" s="48"/>
    </row>
    <row r="239" spans="1:46" s="44" customFormat="1" ht="12.75" customHeight="1">
      <c r="A239" s="35" t="s">
        <v>270</v>
      </c>
      <c r="C239" s="35" t="s">
        <v>136</v>
      </c>
      <c r="E239" s="45">
        <v>865066</v>
      </c>
      <c r="F239" s="48"/>
      <c r="G239" s="45">
        <v>1761850</v>
      </c>
      <c r="H239" s="48"/>
      <c r="I239" s="45">
        <v>632367</v>
      </c>
      <c r="J239" s="48"/>
      <c r="K239" s="45">
        <v>214026</v>
      </c>
      <c r="L239" s="48"/>
      <c r="M239" s="45">
        <v>390071</v>
      </c>
      <c r="N239" s="48"/>
      <c r="O239" s="45">
        <v>89879</v>
      </c>
      <c r="P239" s="48"/>
      <c r="Q239" s="45">
        <v>0</v>
      </c>
      <c r="R239" s="48"/>
      <c r="S239" s="45">
        <v>0</v>
      </c>
      <c r="T239" s="48"/>
      <c r="U239" s="45">
        <v>0</v>
      </c>
      <c r="V239" s="48"/>
      <c r="W239" s="48"/>
      <c r="X239" s="35"/>
      <c r="Z239" s="35"/>
      <c r="AA239" s="35"/>
      <c r="AB239" s="45">
        <v>91000</v>
      </c>
      <c r="AC239" s="65"/>
      <c r="AD239" s="45">
        <v>23871</v>
      </c>
      <c r="AE239" s="65"/>
      <c r="AF239" s="45">
        <v>0</v>
      </c>
      <c r="AG239" s="65"/>
      <c r="AH239" s="48">
        <f t="shared" si="7"/>
        <v>4068130</v>
      </c>
      <c r="AI239" s="48"/>
      <c r="AJ239" s="48">
        <v>0</v>
      </c>
      <c r="AK239" s="48"/>
      <c r="AL239" s="45">
        <v>66087</v>
      </c>
      <c r="AM239" s="45"/>
      <c r="AN239" s="45">
        <v>3572501</v>
      </c>
      <c r="AO239" s="45"/>
      <c r="AP239" s="45">
        <v>0</v>
      </c>
      <c r="AQ239" s="45"/>
      <c r="AR239" s="45">
        <f>+'GVFund Rev'!U240+'GVFund Rev'!W240-'GVFund Exp'!AH239-'GVFund Exp'!AL239+AJ239+AN239+AP239-'GV Fund BS'!S240</f>
        <v>0</v>
      </c>
      <c r="AS239" s="48"/>
    </row>
    <row r="240" spans="1:46" s="44" customFormat="1" ht="12.75" customHeight="1">
      <c r="A240" s="64" t="s">
        <v>271</v>
      </c>
      <c r="B240" s="46"/>
      <c r="C240" s="64" t="s">
        <v>66</v>
      </c>
      <c r="D240" s="46"/>
      <c r="E240" s="45">
        <v>954570</v>
      </c>
      <c r="F240" s="48"/>
      <c r="G240" s="45">
        <v>5547382</v>
      </c>
      <c r="H240" s="48"/>
      <c r="I240" s="45">
        <v>3710435</v>
      </c>
      <c r="J240" s="48"/>
      <c r="K240" s="45">
        <v>0</v>
      </c>
      <c r="L240" s="48"/>
      <c r="M240" s="45">
        <v>907699</v>
      </c>
      <c r="N240" s="48"/>
      <c r="O240" s="45">
        <v>806771</v>
      </c>
      <c r="P240" s="48"/>
      <c r="Q240" s="45">
        <v>0</v>
      </c>
      <c r="R240" s="48"/>
      <c r="S240" s="45">
        <v>0</v>
      </c>
      <c r="T240" s="48"/>
      <c r="U240" s="45">
        <v>0</v>
      </c>
      <c r="V240" s="48"/>
      <c r="W240" s="48"/>
      <c r="X240" s="35"/>
      <c r="Z240" s="35"/>
      <c r="AA240" s="35"/>
      <c r="AB240" s="45">
        <v>341914</v>
      </c>
      <c r="AC240" s="65"/>
      <c r="AD240" s="45">
        <v>169008</v>
      </c>
      <c r="AE240" s="65"/>
      <c r="AF240" s="45">
        <v>0</v>
      </c>
      <c r="AG240" s="65"/>
      <c r="AH240" s="48">
        <f t="shared" si="7"/>
        <v>12437779</v>
      </c>
      <c r="AI240" s="48"/>
      <c r="AJ240" s="48">
        <v>0</v>
      </c>
      <c r="AK240" s="48"/>
      <c r="AL240" s="45">
        <v>2334909</v>
      </c>
      <c r="AM240" s="45"/>
      <c r="AN240" s="45">
        <v>3551801</v>
      </c>
      <c r="AO240" s="45"/>
      <c r="AP240" s="45">
        <v>0</v>
      </c>
      <c r="AQ240" s="45"/>
      <c r="AR240" s="45">
        <f>+'GVFund Rev'!U241+'GVFund Rev'!W241-'GVFund Exp'!AH240-'GVFund Exp'!AL240+AJ240+AN240+AP240-'GV Fund BS'!S241</f>
        <v>0</v>
      </c>
      <c r="AS240" s="48"/>
    </row>
    <row r="241" spans="1:46" s="44" customFormat="1" ht="12.75" customHeight="1">
      <c r="A241" s="35" t="s">
        <v>272</v>
      </c>
      <c r="C241" s="35" t="s">
        <v>43</v>
      </c>
      <c r="E241" s="45">
        <v>12707473</v>
      </c>
      <c r="F241" s="48"/>
      <c r="G241" s="45">
        <v>26448962</v>
      </c>
      <c r="H241" s="48"/>
      <c r="I241" s="45">
        <v>2761688</v>
      </c>
      <c r="J241" s="48"/>
      <c r="K241" s="45">
        <v>82426</v>
      </c>
      <c r="L241" s="48"/>
      <c r="M241" s="45">
        <v>2816796</v>
      </c>
      <c r="N241" s="48"/>
      <c r="O241" s="45">
        <v>8353292</v>
      </c>
      <c r="P241" s="48"/>
      <c r="Q241" s="45">
        <v>563587</v>
      </c>
      <c r="R241" s="48"/>
      <c r="S241" s="45">
        <v>18121004</v>
      </c>
      <c r="T241" s="48"/>
      <c r="U241" s="45">
        <v>0</v>
      </c>
      <c r="V241" s="48"/>
      <c r="W241" s="48"/>
      <c r="X241" s="35"/>
      <c r="Z241" s="35"/>
      <c r="AA241" s="35"/>
      <c r="AB241" s="45">
        <v>1987377</v>
      </c>
      <c r="AC241" s="65"/>
      <c r="AD241" s="45">
        <v>945390</v>
      </c>
      <c r="AE241" s="65"/>
      <c r="AF241" s="45">
        <v>107914</v>
      </c>
      <c r="AG241" s="65"/>
      <c r="AH241" s="48">
        <f t="shared" si="7"/>
        <v>74895909</v>
      </c>
      <c r="AI241" s="48"/>
      <c r="AJ241" s="48">
        <v>0</v>
      </c>
      <c r="AK241" s="48"/>
      <c r="AL241" s="45">
        <v>20280971</v>
      </c>
      <c r="AM241" s="45"/>
      <c r="AN241" s="45">
        <v>46168104</v>
      </c>
      <c r="AO241" s="45"/>
      <c r="AP241" s="45">
        <v>0</v>
      </c>
      <c r="AQ241" s="45"/>
      <c r="AR241" s="45">
        <f>+'GVFund Rev'!U242+'GVFund Rev'!W242-'GVFund Exp'!AH241-'GVFund Exp'!AL241+AJ241+AN241+AP241-'GV Fund BS'!S242</f>
        <v>0</v>
      </c>
      <c r="AS241" s="48"/>
    </row>
    <row r="242" spans="1:46" s="44" customFormat="1" ht="12.75" customHeight="1">
      <c r="A242" s="35" t="s">
        <v>273</v>
      </c>
      <c r="C242" s="35" t="s">
        <v>27</v>
      </c>
      <c r="E242" s="45">
        <v>6835591</v>
      </c>
      <c r="F242" s="48"/>
      <c r="G242" s="45">
        <v>14184779</v>
      </c>
      <c r="H242" s="48"/>
      <c r="I242" s="45">
        <v>1680434</v>
      </c>
      <c r="J242" s="48"/>
      <c r="K242" s="45">
        <v>1078920</v>
      </c>
      <c r="L242" s="48"/>
      <c r="M242" s="45">
        <v>6987274</v>
      </c>
      <c r="N242" s="48"/>
      <c r="O242" s="45">
        <v>3316452</v>
      </c>
      <c r="P242" s="48"/>
      <c r="Q242" s="45">
        <v>763839</v>
      </c>
      <c r="R242" s="48"/>
      <c r="S242" s="45">
        <v>10406778</v>
      </c>
      <c r="T242" s="48"/>
      <c r="U242" s="45">
        <v>0</v>
      </c>
      <c r="V242" s="48"/>
      <c r="W242" s="48"/>
      <c r="X242" s="35"/>
      <c r="Z242" s="35"/>
      <c r="AA242" s="35"/>
      <c r="AB242" s="45">
        <v>19925029</v>
      </c>
      <c r="AC242" s="65"/>
      <c r="AD242" s="45">
        <v>785863</v>
      </c>
      <c r="AE242" s="65"/>
      <c r="AF242" s="45">
        <f>140730+35416</f>
        <v>176146</v>
      </c>
      <c r="AG242" s="65"/>
      <c r="AH242" s="48">
        <f t="shared" si="7"/>
        <v>66141105</v>
      </c>
      <c r="AI242" s="48"/>
      <c r="AJ242" s="48">
        <v>0</v>
      </c>
      <c r="AK242" s="48"/>
      <c r="AL242" s="45">
        <v>729550</v>
      </c>
      <c r="AM242" s="45"/>
      <c r="AN242" s="45">
        <v>64348292</v>
      </c>
      <c r="AO242" s="45"/>
      <c r="AP242" s="45">
        <v>0</v>
      </c>
      <c r="AQ242" s="45"/>
      <c r="AR242" s="45">
        <f>+'GVFund Rev'!U243+'GVFund Rev'!W243-'GVFund Exp'!AH242-'GVFund Exp'!AL242+AJ242+AN242+AP242-'GV Fund BS'!S243</f>
        <v>0</v>
      </c>
      <c r="AS242" s="48"/>
    </row>
    <row r="243" spans="1:46" s="44" customFormat="1" ht="12.75" customHeight="1">
      <c r="A243" s="35" t="s">
        <v>274</v>
      </c>
      <c r="C243" s="35" t="s">
        <v>43</v>
      </c>
      <c r="E243" s="45">
        <v>6815158</v>
      </c>
      <c r="F243" s="48"/>
      <c r="G243" s="45">
        <v>10912110</v>
      </c>
      <c r="H243" s="48"/>
      <c r="I243" s="45">
        <v>219222</v>
      </c>
      <c r="J243" s="48"/>
      <c r="K243" s="45">
        <v>119592</v>
      </c>
      <c r="L243" s="48"/>
      <c r="M243" s="45">
        <v>1599488</v>
      </c>
      <c r="N243" s="48"/>
      <c r="O243" s="45">
        <v>664087</v>
      </c>
      <c r="P243" s="48"/>
      <c r="Q243" s="45">
        <v>676465</v>
      </c>
      <c r="R243" s="48"/>
      <c r="S243" s="45">
        <v>3242318</v>
      </c>
      <c r="T243" s="48"/>
      <c r="U243" s="45">
        <v>0</v>
      </c>
      <c r="V243" s="48"/>
      <c r="W243" s="48"/>
      <c r="X243" s="35"/>
      <c r="Z243" s="35"/>
      <c r="AA243" s="35"/>
      <c r="AB243" s="45">
        <v>398635</v>
      </c>
      <c r="AC243" s="65"/>
      <c r="AD243" s="45">
        <v>83427</v>
      </c>
      <c r="AE243" s="65"/>
      <c r="AF243" s="45">
        <v>0</v>
      </c>
      <c r="AG243" s="65"/>
      <c r="AH243" s="48">
        <f t="shared" si="7"/>
        <v>24730502</v>
      </c>
      <c r="AI243" s="48"/>
      <c r="AJ243" s="48">
        <v>0</v>
      </c>
      <c r="AK243" s="48"/>
      <c r="AL243" s="45">
        <v>2438158</v>
      </c>
      <c r="AM243" s="45"/>
      <c r="AN243" s="45">
        <v>9448850</v>
      </c>
      <c r="AO243" s="45"/>
      <c r="AP243" s="45">
        <v>0</v>
      </c>
      <c r="AQ243" s="45"/>
      <c r="AR243" s="45">
        <f>+'GVFund Rev'!U244+'GVFund Rev'!W244-'GVFund Exp'!AH243-'GVFund Exp'!AL243+AJ243+AN243+AP243-'GV Fund BS'!S244</f>
        <v>0</v>
      </c>
      <c r="AS243" s="48"/>
    </row>
    <row r="244" spans="1:46" s="44" customFormat="1" ht="12.75" customHeight="1">
      <c r="A244" s="35" t="s">
        <v>275</v>
      </c>
      <c r="C244" s="35" t="s">
        <v>92</v>
      </c>
      <c r="E244" s="45">
        <v>4089205</v>
      </c>
      <c r="F244" s="48"/>
      <c r="G244" s="45">
        <v>6090559</v>
      </c>
      <c r="H244" s="48"/>
      <c r="I244" s="45">
        <v>221861</v>
      </c>
      <c r="J244" s="48"/>
      <c r="K244" s="45">
        <v>67009</v>
      </c>
      <c r="L244" s="48"/>
      <c r="M244" s="45">
        <v>1817282</v>
      </c>
      <c r="N244" s="48"/>
      <c r="O244" s="45">
        <v>781998</v>
      </c>
      <c r="P244" s="48"/>
      <c r="Q244" s="45">
        <v>1255380</v>
      </c>
      <c r="R244" s="48"/>
      <c r="S244" s="45">
        <v>4053210</v>
      </c>
      <c r="T244" s="48"/>
      <c r="U244" s="45">
        <v>0</v>
      </c>
      <c r="V244" s="48"/>
      <c r="W244" s="48"/>
      <c r="X244" s="35"/>
      <c r="Z244" s="35"/>
      <c r="AA244" s="35"/>
      <c r="AB244" s="45">
        <v>166072</v>
      </c>
      <c r="AC244" s="65"/>
      <c r="AD244" s="45">
        <v>224618</v>
      </c>
      <c r="AE244" s="65"/>
      <c r="AF244" s="45">
        <v>0</v>
      </c>
      <c r="AG244" s="65"/>
      <c r="AH244" s="48">
        <f t="shared" si="7"/>
        <v>18767194</v>
      </c>
      <c r="AI244" s="48"/>
      <c r="AJ244" s="48">
        <v>0</v>
      </c>
      <c r="AK244" s="48"/>
      <c r="AL244" s="45">
        <v>212366</v>
      </c>
      <c r="AM244" s="45"/>
      <c r="AN244" s="45">
        <v>9801010</v>
      </c>
      <c r="AO244" s="45"/>
      <c r="AP244" s="45">
        <v>-21056</v>
      </c>
      <c r="AQ244" s="45"/>
      <c r="AR244" s="45">
        <f>+'GVFund Rev'!U245+'GVFund Rev'!W245-'GVFund Exp'!AH244-'GVFund Exp'!AL244+AJ244+AN244+AP244-'GV Fund BS'!S245</f>
        <v>0</v>
      </c>
      <c r="AS244" s="48"/>
    </row>
    <row r="245" spans="1:46" s="44" customFormat="1" ht="12.75" customHeight="1">
      <c r="A245" s="35" t="s">
        <v>276</v>
      </c>
      <c r="C245" s="35" t="s">
        <v>38</v>
      </c>
      <c r="E245" s="45">
        <v>652168</v>
      </c>
      <c r="F245" s="48"/>
      <c r="G245" s="45">
        <v>2453915</v>
      </c>
      <c r="H245" s="48"/>
      <c r="I245" s="45">
        <v>447283</v>
      </c>
      <c r="J245" s="48"/>
      <c r="K245" s="45">
        <v>38630</v>
      </c>
      <c r="L245" s="48"/>
      <c r="M245" s="45">
        <v>777632</v>
      </c>
      <c r="N245" s="48"/>
      <c r="O245" s="45">
        <v>266815</v>
      </c>
      <c r="P245" s="48"/>
      <c r="Q245" s="45">
        <v>0</v>
      </c>
      <c r="R245" s="48"/>
      <c r="S245" s="45">
        <v>2198481</v>
      </c>
      <c r="T245" s="48"/>
      <c r="U245" s="45">
        <v>0</v>
      </c>
      <c r="V245" s="48"/>
      <c r="W245" s="48"/>
      <c r="X245" s="35"/>
      <c r="Z245" s="35"/>
      <c r="AA245" s="35"/>
      <c r="AB245" s="45">
        <v>180552</v>
      </c>
      <c r="AC245" s="65"/>
      <c r="AD245" s="45">
        <v>55428</v>
      </c>
      <c r="AE245" s="65"/>
      <c r="AF245" s="45">
        <v>0</v>
      </c>
      <c r="AG245" s="65"/>
      <c r="AH245" s="48">
        <f t="shared" si="7"/>
        <v>7070904</v>
      </c>
      <c r="AI245" s="48"/>
      <c r="AJ245" s="48">
        <v>0</v>
      </c>
      <c r="AK245" s="48"/>
      <c r="AL245" s="45">
        <v>134700</v>
      </c>
      <c r="AM245" s="45"/>
      <c r="AN245" s="45">
        <v>6203315</v>
      </c>
      <c r="AO245" s="45"/>
      <c r="AP245" s="45">
        <v>0</v>
      </c>
      <c r="AQ245" s="45"/>
      <c r="AR245" s="45">
        <f>+'GVFund Rev'!U246+'GVFund Rev'!W246-'GVFund Exp'!AH245-'GVFund Exp'!AL245+AJ245+AN245+AP245-'GV Fund BS'!S246</f>
        <v>0</v>
      </c>
      <c r="AS245" s="48"/>
    </row>
    <row r="246" spans="1:46" s="44" customFormat="1" ht="12.75" customHeight="1">
      <c r="A246" s="35" t="s">
        <v>277</v>
      </c>
      <c r="C246" s="35" t="s">
        <v>92</v>
      </c>
      <c r="E246" s="45">
        <v>7122688</v>
      </c>
      <c r="F246" s="48"/>
      <c r="G246" s="45">
        <v>13529358</v>
      </c>
      <c r="H246" s="48"/>
      <c r="I246" s="45">
        <v>924697</v>
      </c>
      <c r="J246" s="48"/>
      <c r="K246" s="45">
        <v>484620</v>
      </c>
      <c r="L246" s="48"/>
      <c r="M246" s="45">
        <v>1739192</v>
      </c>
      <c r="N246" s="48"/>
      <c r="O246" s="45">
        <v>1900596</v>
      </c>
      <c r="P246" s="48"/>
      <c r="Q246" s="45">
        <v>1249364</v>
      </c>
      <c r="R246" s="48"/>
      <c r="S246" s="45">
        <v>4838874</v>
      </c>
      <c r="T246" s="48"/>
      <c r="U246" s="45">
        <v>0</v>
      </c>
      <c r="V246" s="48"/>
      <c r="W246" s="48"/>
      <c r="X246" s="35"/>
      <c r="Z246" s="35"/>
      <c r="AA246" s="35"/>
      <c r="AB246" s="45">
        <v>867169</v>
      </c>
      <c r="AC246" s="65"/>
      <c r="AD246" s="45">
        <v>625591</v>
      </c>
      <c r="AE246" s="65"/>
      <c r="AF246" s="45">
        <v>111425</v>
      </c>
      <c r="AG246" s="65"/>
      <c r="AH246" s="48">
        <f t="shared" si="7"/>
        <v>33393574</v>
      </c>
      <c r="AI246" s="48"/>
      <c r="AJ246" s="48">
        <v>0</v>
      </c>
      <c r="AK246" s="48"/>
      <c r="AL246" s="45">
        <f>2454060+5135556</f>
        <v>7589616</v>
      </c>
      <c r="AM246" s="45"/>
      <c r="AN246" s="45">
        <v>15763606</v>
      </c>
      <c r="AO246" s="45"/>
      <c r="AP246" s="45">
        <v>-9111</v>
      </c>
      <c r="AQ246" s="45"/>
      <c r="AR246" s="45">
        <f>+'GVFund Rev'!U247+'GVFund Rev'!W247-'GVFund Exp'!AH246-'GVFund Exp'!AL246+AJ246+AN246+AP246-'GV Fund BS'!S247</f>
        <v>0</v>
      </c>
      <c r="AS246" s="48"/>
    </row>
    <row r="247" spans="1:46" s="44" customFormat="1" ht="12.75" customHeight="1">
      <c r="A247" s="64" t="s">
        <v>278</v>
      </c>
      <c r="B247" s="46"/>
      <c r="C247" s="64" t="s">
        <v>92</v>
      </c>
      <c r="D247" s="46"/>
      <c r="E247" s="45">
        <v>2942468</v>
      </c>
      <c r="F247" s="48"/>
      <c r="G247" s="45">
        <f>3012109+1806515</f>
        <v>4818624</v>
      </c>
      <c r="H247" s="48"/>
      <c r="I247" s="45">
        <v>135559</v>
      </c>
      <c r="J247" s="48"/>
      <c r="K247" s="45">
        <v>0</v>
      </c>
      <c r="L247" s="48"/>
      <c r="M247" s="45">
        <v>1208662</v>
      </c>
      <c r="N247" s="48"/>
      <c r="O247" s="45">
        <v>188004</v>
      </c>
      <c r="P247" s="48"/>
      <c r="Q247" s="45">
        <v>0</v>
      </c>
      <c r="R247" s="48"/>
      <c r="S247" s="45">
        <v>929563</v>
      </c>
      <c r="T247" s="48"/>
      <c r="U247" s="45">
        <v>0</v>
      </c>
      <c r="V247" s="48"/>
      <c r="W247" s="48"/>
      <c r="X247" s="35"/>
      <c r="Z247" s="35"/>
      <c r="AA247" s="35"/>
      <c r="AB247" s="45">
        <v>1527583</v>
      </c>
      <c r="AC247" s="65"/>
      <c r="AD247" s="45">
        <v>138686</v>
      </c>
      <c r="AE247" s="65"/>
      <c r="AF247" s="45">
        <v>0</v>
      </c>
      <c r="AG247" s="65"/>
      <c r="AH247" s="48">
        <f t="shared" si="7"/>
        <v>11889149</v>
      </c>
      <c r="AI247" s="48"/>
      <c r="AJ247" s="48">
        <v>0</v>
      </c>
      <c r="AK247" s="48"/>
      <c r="AL247" s="45">
        <v>730112</v>
      </c>
      <c r="AM247" s="45"/>
      <c r="AN247" s="45">
        <v>1221230</v>
      </c>
      <c r="AO247" s="45"/>
      <c r="AP247" s="45">
        <v>0</v>
      </c>
      <c r="AQ247" s="45"/>
      <c r="AR247" s="45">
        <f>+'GVFund Rev'!U248+'GVFund Rev'!W248-'GVFund Exp'!AH247-'GVFund Exp'!AL247+AJ247+AN247+AP247-'GV Fund BS'!S248</f>
        <v>0</v>
      </c>
      <c r="AS247" s="48"/>
    </row>
    <row r="248" spans="1:46" s="44" customFormat="1" ht="12.75" customHeight="1">
      <c r="A248" s="35" t="s">
        <v>279</v>
      </c>
      <c r="C248" s="35" t="s">
        <v>92</v>
      </c>
      <c r="E248" s="45">
        <v>1568454</v>
      </c>
      <c r="F248" s="48"/>
      <c r="G248" s="45">
        <v>4874194</v>
      </c>
      <c r="H248" s="48"/>
      <c r="I248" s="45">
        <v>493430</v>
      </c>
      <c r="J248" s="48"/>
      <c r="K248" s="45">
        <v>126077</v>
      </c>
      <c r="L248" s="48"/>
      <c r="M248" s="45">
        <v>984330</v>
      </c>
      <c r="N248" s="48"/>
      <c r="O248" s="45">
        <v>833713</v>
      </c>
      <c r="P248" s="48"/>
      <c r="Q248" s="45">
        <v>1144546</v>
      </c>
      <c r="R248" s="48"/>
      <c r="S248" s="45">
        <v>1670110</v>
      </c>
      <c r="T248" s="48"/>
      <c r="U248" s="45">
        <v>0</v>
      </c>
      <c r="V248" s="48"/>
      <c r="W248" s="48"/>
      <c r="X248" s="35"/>
      <c r="Z248" s="35"/>
      <c r="AA248" s="35"/>
      <c r="AB248" s="45">
        <v>2314008</v>
      </c>
      <c r="AC248" s="65"/>
      <c r="AD248" s="45">
        <v>58245</v>
      </c>
      <c r="AE248" s="65"/>
      <c r="AF248" s="45">
        <v>0</v>
      </c>
      <c r="AG248" s="65"/>
      <c r="AH248" s="48">
        <f t="shared" si="7"/>
        <v>14067107</v>
      </c>
      <c r="AI248" s="48"/>
      <c r="AJ248" s="48">
        <v>0</v>
      </c>
      <c r="AK248" s="48"/>
      <c r="AL248" s="45">
        <v>2742216</v>
      </c>
      <c r="AM248" s="45"/>
      <c r="AN248" s="45">
        <v>6049387</v>
      </c>
      <c r="AO248" s="45"/>
      <c r="AP248" s="45">
        <v>0</v>
      </c>
      <c r="AQ248" s="45"/>
      <c r="AR248" s="45">
        <f>+'GVFund Rev'!U249+'GVFund Rev'!W249-'GVFund Exp'!AH248-'GVFund Exp'!AL248+AJ248+AN248+AP248-'GV Fund BS'!S249</f>
        <v>0</v>
      </c>
      <c r="AS248" s="48"/>
    </row>
    <row r="249" spans="1:46" s="44" customFormat="1" ht="12.75" customHeight="1">
      <c r="A249" s="35" t="s">
        <v>280</v>
      </c>
      <c r="C249" s="35" t="s">
        <v>281</v>
      </c>
      <c r="E249" s="45">
        <v>5163802</v>
      </c>
      <c r="F249" s="48"/>
      <c r="G249" s="45">
        <v>4717642</v>
      </c>
      <c r="H249" s="48"/>
      <c r="I249" s="45">
        <v>0</v>
      </c>
      <c r="J249" s="48"/>
      <c r="K249" s="45">
        <v>209578</v>
      </c>
      <c r="L249" s="48"/>
      <c r="M249" s="45">
        <v>2308767</v>
      </c>
      <c r="N249" s="48"/>
      <c r="O249" s="45">
        <v>517326</v>
      </c>
      <c r="P249" s="48"/>
      <c r="Q249" s="45">
        <v>0</v>
      </c>
      <c r="R249" s="48"/>
      <c r="S249" s="45">
        <v>332981</v>
      </c>
      <c r="T249" s="48"/>
      <c r="U249" s="45">
        <v>0</v>
      </c>
      <c r="V249" s="48"/>
      <c r="W249" s="48"/>
      <c r="X249" s="35"/>
      <c r="Z249" s="35"/>
      <c r="AA249" s="35"/>
      <c r="AB249" s="45">
        <v>504447</v>
      </c>
      <c r="AC249" s="65"/>
      <c r="AD249" s="45">
        <v>353941</v>
      </c>
      <c r="AE249" s="65"/>
      <c r="AF249" s="45">
        <v>0</v>
      </c>
      <c r="AG249" s="65"/>
      <c r="AH249" s="48">
        <f t="shared" si="7"/>
        <v>14108484</v>
      </c>
      <c r="AI249" s="48"/>
      <c r="AJ249" s="48">
        <v>0</v>
      </c>
      <c r="AK249" s="48"/>
      <c r="AL249" s="45">
        <v>4412084</v>
      </c>
      <c r="AM249" s="45"/>
      <c r="AN249" s="45">
        <v>7981261</v>
      </c>
      <c r="AO249" s="45"/>
      <c r="AP249" s="45">
        <v>0</v>
      </c>
      <c r="AQ249" s="45"/>
      <c r="AR249" s="45">
        <f>+'GVFund Rev'!U250+'GVFund Rev'!W250-'GVFund Exp'!AH249-'GVFund Exp'!AL249+AJ249+AN249+AP249-'GV Fund BS'!S250</f>
        <v>0</v>
      </c>
      <c r="AS249" s="48"/>
    </row>
    <row r="250" spans="1:46" s="44" customFormat="1" ht="12.75" customHeight="1">
      <c r="A250" s="35" t="s">
        <v>282</v>
      </c>
      <c r="C250" s="35" t="s">
        <v>199</v>
      </c>
      <c r="E250" s="45">
        <v>3681702</v>
      </c>
      <c r="F250" s="48"/>
      <c r="G250" s="45">
        <v>10893431</v>
      </c>
      <c r="H250" s="48"/>
      <c r="I250" s="45">
        <v>1610435</v>
      </c>
      <c r="J250" s="48"/>
      <c r="K250" s="45">
        <v>140185</v>
      </c>
      <c r="L250" s="48"/>
      <c r="M250" s="45">
        <v>2980098</v>
      </c>
      <c r="N250" s="48"/>
      <c r="O250" s="45">
        <v>1794948</v>
      </c>
      <c r="P250" s="48"/>
      <c r="Q250" s="45">
        <v>0</v>
      </c>
      <c r="R250" s="48"/>
      <c r="S250" s="45">
        <v>1919212</v>
      </c>
      <c r="T250" s="48"/>
      <c r="U250" s="45">
        <v>0</v>
      </c>
      <c r="V250" s="48"/>
      <c r="W250" s="48"/>
      <c r="X250" s="35"/>
      <c r="Z250" s="35"/>
      <c r="AA250" s="35"/>
      <c r="AB250" s="45">
        <v>7005553</v>
      </c>
      <c r="AC250" s="65"/>
      <c r="AD250" s="45">
        <v>189456</v>
      </c>
      <c r="AE250" s="65"/>
      <c r="AF250" s="45">
        <v>0</v>
      </c>
      <c r="AG250" s="65"/>
      <c r="AH250" s="48">
        <f t="shared" si="7"/>
        <v>30215020</v>
      </c>
      <c r="AI250" s="48"/>
      <c r="AJ250" s="48">
        <v>0</v>
      </c>
      <c r="AK250" s="48"/>
      <c r="AL250" s="45">
        <f>1437687+83000</f>
        <v>1520687</v>
      </c>
      <c r="AM250" s="45"/>
      <c r="AN250" s="45">
        <v>17117982</v>
      </c>
      <c r="AO250" s="45"/>
      <c r="AP250" s="45">
        <v>0</v>
      </c>
      <c r="AQ250" s="45"/>
      <c r="AR250" s="45">
        <f>+'GVFund Rev'!U251+'GVFund Rev'!W251-'GVFund Exp'!AH250-'GVFund Exp'!AL250+AJ250+AN250+AP250-'GV Fund BS'!S251</f>
        <v>0</v>
      </c>
      <c r="AS250" s="48"/>
    </row>
    <row r="251" spans="1:46" s="44" customFormat="1" ht="12.75" customHeight="1">
      <c r="A251" s="35" t="s">
        <v>283</v>
      </c>
      <c r="C251" s="35" t="s">
        <v>43</v>
      </c>
      <c r="E251" s="45">
        <v>5565404</v>
      </c>
      <c r="F251" s="48"/>
      <c r="G251" s="45">
        <v>9865999</v>
      </c>
      <c r="H251" s="48"/>
      <c r="I251" s="45">
        <v>709596</v>
      </c>
      <c r="J251" s="48"/>
      <c r="K251" s="45">
        <v>50284</v>
      </c>
      <c r="L251" s="48"/>
      <c r="M251" s="45">
        <v>2252093</v>
      </c>
      <c r="N251" s="48"/>
      <c r="O251" s="45">
        <v>3621250</v>
      </c>
      <c r="P251" s="48"/>
      <c r="Q251" s="45">
        <v>1842398</v>
      </c>
      <c r="R251" s="48"/>
      <c r="S251" s="45">
        <v>1895808</v>
      </c>
      <c r="T251" s="48"/>
      <c r="U251" s="45">
        <v>0</v>
      </c>
      <c r="V251" s="48"/>
      <c r="W251" s="48"/>
      <c r="X251" s="35"/>
      <c r="Z251" s="35"/>
      <c r="AA251" s="35"/>
      <c r="AB251" s="45">
        <v>532810</v>
      </c>
      <c r="AC251" s="65"/>
      <c r="AD251" s="45">
        <v>314830</v>
      </c>
      <c r="AE251" s="65"/>
      <c r="AF251" s="45">
        <v>0</v>
      </c>
      <c r="AG251" s="65"/>
      <c r="AH251" s="48">
        <f t="shared" si="7"/>
        <v>26650472</v>
      </c>
      <c r="AI251" s="48"/>
      <c r="AJ251" s="48">
        <v>0</v>
      </c>
      <c r="AK251" s="48"/>
      <c r="AL251" s="45">
        <f>1705000+32340</f>
        <v>1737340</v>
      </c>
      <c r="AM251" s="45"/>
      <c r="AN251" s="45">
        <v>14223984</v>
      </c>
      <c r="AO251" s="45"/>
      <c r="AP251" s="45">
        <v>0</v>
      </c>
      <c r="AQ251" s="45"/>
      <c r="AR251" s="45">
        <f>+'GVFund Rev'!U252+'GVFund Rev'!W252-'GVFund Exp'!AH251-'GVFund Exp'!AL251+AJ251+AN251+AP251-'GV Fund BS'!S252</f>
        <v>0</v>
      </c>
      <c r="AS251" s="48"/>
    </row>
    <row r="252" spans="1:46" s="44" customFormat="1" ht="12.75" customHeight="1">
      <c r="A252" s="35" t="s">
        <v>284</v>
      </c>
      <c r="C252" s="35" t="s">
        <v>45</v>
      </c>
      <c r="E252" s="45">
        <v>2629106</v>
      </c>
      <c r="F252" s="48"/>
      <c r="G252" s="45">
        <v>2735712</v>
      </c>
      <c r="H252" s="48"/>
      <c r="I252" s="45">
        <v>335900</v>
      </c>
      <c r="J252" s="48"/>
      <c r="K252" s="45">
        <v>66983</v>
      </c>
      <c r="L252" s="48"/>
      <c r="M252" s="45">
        <v>920798</v>
      </c>
      <c r="N252" s="48"/>
      <c r="O252" s="45">
        <v>1379819</v>
      </c>
      <c r="P252" s="48"/>
      <c r="Q252" s="45">
        <v>573699</v>
      </c>
      <c r="R252" s="48"/>
      <c r="S252" s="45">
        <v>3013099</v>
      </c>
      <c r="T252" s="48"/>
      <c r="U252" s="45">
        <v>0</v>
      </c>
      <c r="V252" s="48"/>
      <c r="W252" s="48"/>
      <c r="X252" s="35"/>
      <c r="Z252" s="35"/>
      <c r="AA252" s="35"/>
      <c r="AB252" s="45">
        <v>564788</v>
      </c>
      <c r="AC252" s="65"/>
      <c r="AD252" s="45">
        <v>522744</v>
      </c>
      <c r="AE252" s="65"/>
      <c r="AF252" s="45">
        <v>0</v>
      </c>
      <c r="AG252" s="65"/>
      <c r="AH252" s="48">
        <f t="shared" si="7"/>
        <v>12742648</v>
      </c>
      <c r="AI252" s="48"/>
      <c r="AJ252" s="48">
        <v>0</v>
      </c>
      <c r="AK252" s="48"/>
      <c r="AL252" s="45">
        <v>1847436</v>
      </c>
      <c r="AM252" s="45"/>
      <c r="AN252" s="45">
        <v>8979386</v>
      </c>
      <c r="AO252" s="45"/>
      <c r="AP252" s="45">
        <v>1080</v>
      </c>
      <c r="AQ252" s="45"/>
      <c r="AR252" s="45">
        <f>+'GVFund Rev'!U253+'GVFund Rev'!W253-'GVFund Exp'!AH252-'GVFund Exp'!AL252+AJ252+AN252+AP252-'GV Fund BS'!S253</f>
        <v>0</v>
      </c>
      <c r="AS252" s="48"/>
    </row>
    <row r="253" spans="1:46" s="44" customFormat="1" ht="12.75" customHeight="1">
      <c r="A253" s="35" t="s">
        <v>285</v>
      </c>
      <c r="C253" s="35" t="s">
        <v>30</v>
      </c>
      <c r="E253" s="45">
        <v>3136271</v>
      </c>
      <c r="F253" s="48"/>
      <c r="G253" s="45">
        <v>10721657</v>
      </c>
      <c r="H253" s="48"/>
      <c r="I253" s="45">
        <v>248432</v>
      </c>
      <c r="J253" s="48"/>
      <c r="K253" s="45">
        <v>48257</v>
      </c>
      <c r="L253" s="48"/>
      <c r="M253" s="45">
        <v>1353816</v>
      </c>
      <c r="N253" s="48"/>
      <c r="O253" s="45">
        <v>169228</v>
      </c>
      <c r="P253" s="48"/>
      <c r="Q253" s="45">
        <v>0</v>
      </c>
      <c r="R253" s="48"/>
      <c r="S253" s="45">
        <v>1739237</v>
      </c>
      <c r="T253" s="48"/>
      <c r="U253" s="45">
        <v>0</v>
      </c>
      <c r="V253" s="48"/>
      <c r="W253" s="48"/>
      <c r="X253" s="35"/>
      <c r="Z253" s="35"/>
      <c r="AA253" s="35"/>
      <c r="AB253" s="45">
        <v>1315647</v>
      </c>
      <c r="AC253" s="65"/>
      <c r="AD253" s="45">
        <v>112635</v>
      </c>
      <c r="AE253" s="65"/>
      <c r="AF253" s="45">
        <v>0</v>
      </c>
      <c r="AG253" s="65"/>
      <c r="AH253" s="48">
        <f t="shared" si="7"/>
        <v>18845180</v>
      </c>
      <c r="AI253" s="48"/>
      <c r="AJ253" s="48">
        <v>0</v>
      </c>
      <c r="AK253" s="48"/>
      <c r="AL253" s="45">
        <v>7528071</v>
      </c>
      <c r="AM253" s="45"/>
      <c r="AN253" s="45">
        <v>8161908</v>
      </c>
      <c r="AO253" s="45"/>
      <c r="AP253" s="45">
        <v>5501</v>
      </c>
      <c r="AQ253" s="45"/>
      <c r="AR253" s="45">
        <f>+'GVFund Rev'!U254+'GVFund Rev'!W254-'GVFund Exp'!AH253-'GVFund Exp'!AL253+AJ253+AN253+AP253-'GV Fund BS'!S254</f>
        <v>0</v>
      </c>
      <c r="AS253" s="48"/>
    </row>
    <row r="254" spans="1:46" s="121" customFormat="1" ht="12.75" hidden="1" customHeight="1">
      <c r="A254" s="126" t="s">
        <v>286</v>
      </c>
      <c r="C254" s="126" t="s">
        <v>61</v>
      </c>
      <c r="E254" s="127">
        <v>0</v>
      </c>
      <c r="F254" s="130"/>
      <c r="G254" s="127">
        <v>0</v>
      </c>
      <c r="H254" s="130"/>
      <c r="I254" s="127">
        <v>0</v>
      </c>
      <c r="J254" s="130"/>
      <c r="K254" s="127">
        <v>0</v>
      </c>
      <c r="L254" s="130"/>
      <c r="M254" s="127">
        <v>0</v>
      </c>
      <c r="N254" s="130"/>
      <c r="O254" s="127">
        <v>0</v>
      </c>
      <c r="P254" s="130"/>
      <c r="Q254" s="127">
        <v>0</v>
      </c>
      <c r="R254" s="130"/>
      <c r="S254" s="127">
        <v>0</v>
      </c>
      <c r="T254" s="130"/>
      <c r="U254" s="127">
        <v>0</v>
      </c>
      <c r="V254" s="130"/>
      <c r="W254" s="130"/>
      <c r="X254" s="126"/>
      <c r="Z254" s="126"/>
      <c r="AA254" s="126"/>
      <c r="AB254" s="127">
        <v>0</v>
      </c>
      <c r="AC254" s="125"/>
      <c r="AD254" s="127">
        <v>0</v>
      </c>
      <c r="AE254" s="125"/>
      <c r="AF254" s="127">
        <v>0</v>
      </c>
      <c r="AG254" s="125"/>
      <c r="AH254" s="130">
        <f t="shared" si="7"/>
        <v>0</v>
      </c>
      <c r="AI254" s="130"/>
      <c r="AJ254" s="130">
        <v>0</v>
      </c>
      <c r="AK254" s="130"/>
      <c r="AL254" s="127">
        <v>0</v>
      </c>
      <c r="AM254" s="127"/>
      <c r="AN254" s="127">
        <v>0</v>
      </c>
      <c r="AO254" s="127"/>
      <c r="AP254" s="127">
        <v>0</v>
      </c>
      <c r="AQ254" s="127"/>
      <c r="AR254" s="127">
        <f>+'GVFund Rev'!U255+'GVFund Rev'!W255-'GVFund Exp'!AH254-'GVFund Exp'!AL254+AJ254+AN254+AP254-'GV Fund BS'!S255</f>
        <v>0</v>
      </c>
      <c r="AS254" s="130"/>
    </row>
    <row r="255" spans="1:46" s="44" customFormat="1" ht="12.75" customHeight="1">
      <c r="A255" s="35" t="s">
        <v>287</v>
      </c>
      <c r="C255" s="35" t="s">
        <v>288</v>
      </c>
      <c r="E255" s="45">
        <v>3006446</v>
      </c>
      <c r="F255" s="48"/>
      <c r="G255" s="45">
        <v>13921255</v>
      </c>
      <c r="H255" s="48"/>
      <c r="I255" s="45">
        <v>1861136</v>
      </c>
      <c r="J255" s="48"/>
      <c r="K255" s="45">
        <v>1966945</v>
      </c>
      <c r="L255" s="48"/>
      <c r="M255" s="45">
        <v>1870296</v>
      </c>
      <c r="N255" s="48"/>
      <c r="O255" s="45">
        <v>646041</v>
      </c>
      <c r="P255" s="48"/>
      <c r="Q255" s="45">
        <v>0</v>
      </c>
      <c r="R255" s="48"/>
      <c r="S255" s="45">
        <v>968746</v>
      </c>
      <c r="T255" s="48"/>
      <c r="U255" s="45">
        <v>0</v>
      </c>
      <c r="V255" s="48"/>
      <c r="W255" s="48"/>
      <c r="X255" s="35"/>
      <c r="Z255" s="35"/>
      <c r="AA255" s="35"/>
      <c r="AB255" s="45">
        <v>479376</v>
      </c>
      <c r="AC255" s="65"/>
      <c r="AD255" s="45">
        <v>275539</v>
      </c>
      <c r="AE255" s="65"/>
      <c r="AF255" s="45">
        <v>69149</v>
      </c>
      <c r="AG255" s="65"/>
      <c r="AH255" s="48">
        <f t="shared" si="7"/>
        <v>25064929</v>
      </c>
      <c r="AI255" s="48"/>
      <c r="AJ255" s="48">
        <v>0</v>
      </c>
      <c r="AK255" s="48"/>
      <c r="AL255" s="45">
        <v>7260267</v>
      </c>
      <c r="AM255" s="45"/>
      <c r="AN255" s="45">
        <v>3889423</v>
      </c>
      <c r="AO255" s="45"/>
      <c r="AP255" s="45">
        <v>0</v>
      </c>
      <c r="AQ255" s="45"/>
      <c r="AR255" s="45">
        <f>+'GVFund Rev'!U256+'GVFund Rev'!W256-'GVFund Exp'!AH255-'GVFund Exp'!AL255+AJ255+AN255+AP255-'GV Fund BS'!S256</f>
        <v>0</v>
      </c>
      <c r="AS255" s="48"/>
    </row>
    <row r="256" spans="1:46" s="47" customFormat="1" ht="12.75" customHeight="1">
      <c r="A256" s="49"/>
      <c r="C256" s="49"/>
      <c r="E256" s="49"/>
      <c r="F256" s="44"/>
      <c r="G256" s="49"/>
      <c r="H256" s="44"/>
      <c r="I256" s="49"/>
      <c r="J256" s="44"/>
      <c r="K256" s="49"/>
      <c r="L256" s="44"/>
      <c r="M256" s="49"/>
      <c r="N256" s="44"/>
      <c r="O256" s="49"/>
      <c r="P256" s="44"/>
      <c r="Q256" s="49"/>
      <c r="R256" s="44"/>
      <c r="S256" s="49"/>
      <c r="T256" s="44"/>
      <c r="U256" s="49"/>
      <c r="V256" s="44"/>
      <c r="W256" s="44"/>
      <c r="X256" s="44"/>
      <c r="Y256" s="44"/>
      <c r="Z256" s="44"/>
      <c r="AA256" s="44"/>
      <c r="AB256" s="49"/>
      <c r="AC256" s="65"/>
      <c r="AD256" s="49"/>
      <c r="AE256" s="65"/>
      <c r="AF256" s="49"/>
      <c r="AG256" s="65"/>
      <c r="AH256" s="44"/>
      <c r="AI256" s="44"/>
      <c r="AJ256" s="44"/>
      <c r="AK256" s="44"/>
      <c r="AL256" s="49"/>
      <c r="AM256" s="45"/>
      <c r="AN256" s="49"/>
      <c r="AO256" s="44"/>
      <c r="AP256" s="49"/>
      <c r="AQ256" s="44"/>
      <c r="AR256" s="45"/>
      <c r="AS256" s="44"/>
      <c r="AT256" s="51"/>
    </row>
    <row r="257" spans="1:46" s="47" customFormat="1" ht="12.75" customHeight="1">
      <c r="A257" s="49"/>
      <c r="C257" s="49"/>
      <c r="E257" s="49"/>
      <c r="F257" s="44"/>
      <c r="G257" s="49"/>
      <c r="H257" s="44"/>
      <c r="I257" s="49"/>
      <c r="J257" s="44"/>
      <c r="K257" s="49"/>
      <c r="L257" s="44"/>
      <c r="M257" s="49"/>
      <c r="N257" s="44"/>
      <c r="O257" s="49"/>
      <c r="P257" s="44"/>
      <c r="Q257" s="49"/>
      <c r="R257" s="44"/>
      <c r="S257" s="49"/>
      <c r="T257" s="44"/>
      <c r="U257" s="49"/>
      <c r="V257" s="44"/>
      <c r="W257" s="44"/>
      <c r="X257" s="44"/>
      <c r="Y257" s="44"/>
      <c r="Z257" s="44"/>
      <c r="AA257" s="44"/>
      <c r="AB257" s="49"/>
      <c r="AC257" s="65"/>
      <c r="AD257" s="49"/>
      <c r="AE257" s="65"/>
      <c r="AF257" s="49"/>
      <c r="AG257" s="65"/>
      <c r="AH257" s="44"/>
      <c r="AI257" s="44"/>
      <c r="AJ257" s="44"/>
      <c r="AK257" s="44"/>
      <c r="AL257" s="49"/>
      <c r="AM257" s="49"/>
      <c r="AN257" s="49"/>
      <c r="AO257" s="49"/>
      <c r="AP257" s="49"/>
      <c r="AQ257" s="49"/>
      <c r="AR257" s="45"/>
      <c r="AS257" s="44"/>
      <c r="AT257" s="51"/>
    </row>
    <row r="258" spans="1:46" s="47" customFormat="1" ht="12.75" customHeight="1">
      <c r="A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Z258" s="49"/>
      <c r="AA258" s="49"/>
      <c r="AB258" s="49"/>
      <c r="AC258" s="51"/>
      <c r="AD258" s="49"/>
      <c r="AE258" s="51"/>
      <c r="AF258" s="49"/>
      <c r="AG258" s="51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51"/>
    </row>
    <row r="259" spans="1:46" s="47" customFormat="1" ht="12.75" customHeight="1">
      <c r="A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Z259" s="49"/>
      <c r="AA259" s="49"/>
      <c r="AB259" s="49"/>
      <c r="AC259" s="51"/>
      <c r="AD259" s="49"/>
      <c r="AE259" s="51"/>
      <c r="AF259" s="49"/>
      <c r="AG259" s="51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51"/>
    </row>
    <row r="260" spans="1:46" s="47" customFormat="1" ht="12.75" customHeight="1">
      <c r="A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Z260" s="49"/>
      <c r="AA260" s="49"/>
      <c r="AB260" s="49"/>
      <c r="AC260" s="51"/>
      <c r="AD260" s="49"/>
      <c r="AE260" s="51"/>
      <c r="AF260" s="49"/>
      <c r="AG260" s="51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51"/>
    </row>
    <row r="261" spans="1:46" s="47" customFormat="1" ht="12.75" customHeight="1">
      <c r="A261" s="49"/>
      <c r="C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Z261" s="49"/>
      <c r="AA261" s="49"/>
      <c r="AB261" s="49"/>
      <c r="AC261" s="51"/>
      <c r="AD261" s="49"/>
      <c r="AE261" s="51"/>
      <c r="AF261" s="49"/>
      <c r="AG261" s="51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51"/>
    </row>
    <row r="262" spans="1:46" s="47" customFormat="1" ht="12.75" customHeight="1">
      <c r="A262" s="49"/>
      <c r="C262" s="49"/>
      <c r="E262" s="119"/>
      <c r="F262" s="49"/>
      <c r="G262" s="119"/>
      <c r="H262" s="49"/>
      <c r="I262" s="119"/>
      <c r="J262" s="49"/>
      <c r="K262" s="119"/>
      <c r="L262" s="49"/>
      <c r="M262" s="119"/>
      <c r="N262" s="49"/>
      <c r="O262" s="119"/>
      <c r="P262" s="49"/>
      <c r="Q262" s="119"/>
      <c r="R262" s="49"/>
      <c r="S262" s="119"/>
      <c r="T262" s="49"/>
      <c r="U262" s="119"/>
      <c r="V262" s="49"/>
      <c r="W262" s="49"/>
      <c r="X262" s="49"/>
      <c r="Z262" s="49"/>
      <c r="AA262" s="49"/>
      <c r="AB262" s="119"/>
      <c r="AC262" s="51"/>
      <c r="AD262" s="119"/>
      <c r="AE262" s="51"/>
      <c r="AF262" s="119"/>
      <c r="AG262" s="51"/>
      <c r="AH262" s="49"/>
      <c r="AI262" s="49"/>
      <c r="AJ262" s="49"/>
      <c r="AK262" s="49"/>
      <c r="AL262" s="119"/>
      <c r="AM262" s="49"/>
      <c r="AN262" s="119"/>
      <c r="AO262" s="49"/>
      <c r="AP262" s="119"/>
      <c r="AQ262" s="49"/>
      <c r="AR262" s="49"/>
      <c r="AS262" s="49"/>
      <c r="AT262" s="51"/>
    </row>
    <row r="263" spans="1:46" s="47" customFormat="1" ht="12.75" customHeight="1">
      <c r="A263" s="49"/>
      <c r="B263" s="51"/>
      <c r="C263" s="49"/>
      <c r="E263" s="119"/>
      <c r="F263" s="49"/>
      <c r="G263" s="119"/>
      <c r="H263" s="49"/>
      <c r="I263" s="119"/>
      <c r="J263" s="49"/>
      <c r="K263" s="119"/>
      <c r="L263" s="49"/>
      <c r="M263" s="119"/>
      <c r="N263" s="49"/>
      <c r="O263" s="119"/>
      <c r="P263" s="49"/>
      <c r="Q263" s="119"/>
      <c r="R263" s="49"/>
      <c r="S263" s="119"/>
      <c r="T263" s="49"/>
      <c r="U263" s="119"/>
      <c r="V263" s="49"/>
      <c r="W263" s="49"/>
      <c r="X263" s="49"/>
      <c r="Z263" s="49"/>
      <c r="AA263" s="49"/>
      <c r="AB263" s="119"/>
      <c r="AC263" s="51"/>
      <c r="AD263" s="119"/>
      <c r="AE263" s="51"/>
      <c r="AF263" s="119"/>
      <c r="AG263" s="51"/>
      <c r="AH263" s="49"/>
      <c r="AI263" s="49"/>
      <c r="AJ263" s="49"/>
      <c r="AK263" s="49"/>
      <c r="AL263" s="119"/>
      <c r="AM263" s="49"/>
      <c r="AN263" s="119"/>
      <c r="AO263" s="49"/>
      <c r="AP263" s="119"/>
      <c r="AQ263" s="49"/>
      <c r="AR263" s="49"/>
      <c r="AS263" s="49"/>
      <c r="AT263" s="51"/>
    </row>
    <row r="264" spans="1:46" s="47" customFormat="1" ht="12.75" customHeight="1">
      <c r="A264" s="49"/>
      <c r="B264" s="51"/>
      <c r="C264" s="49"/>
      <c r="E264" s="119"/>
      <c r="F264" s="49"/>
      <c r="G264" s="119"/>
      <c r="H264" s="49"/>
      <c r="I264" s="119"/>
      <c r="J264" s="49"/>
      <c r="K264" s="119"/>
      <c r="L264" s="49"/>
      <c r="M264" s="119"/>
      <c r="N264" s="49"/>
      <c r="O264" s="119"/>
      <c r="P264" s="49"/>
      <c r="Q264" s="119"/>
      <c r="R264" s="49"/>
      <c r="S264" s="119"/>
      <c r="T264" s="49"/>
      <c r="U264" s="119"/>
      <c r="V264" s="49"/>
      <c r="W264" s="49"/>
      <c r="X264" s="49"/>
      <c r="Z264" s="49"/>
      <c r="AA264" s="49"/>
      <c r="AB264" s="119"/>
      <c r="AC264" s="51"/>
      <c r="AD264" s="119"/>
      <c r="AE264" s="51"/>
      <c r="AF264" s="119"/>
      <c r="AG264" s="51"/>
      <c r="AH264" s="49"/>
      <c r="AI264" s="49"/>
      <c r="AJ264" s="49"/>
      <c r="AK264" s="49"/>
      <c r="AL264" s="119"/>
      <c r="AM264" s="49"/>
      <c r="AN264" s="119"/>
      <c r="AO264" s="49"/>
      <c r="AP264" s="119"/>
      <c r="AQ264" s="49"/>
      <c r="AR264" s="49"/>
      <c r="AS264" s="49"/>
      <c r="AT264" s="51"/>
    </row>
    <row r="265" spans="1:46" s="47" customFormat="1" ht="12.75" customHeight="1">
      <c r="A265" s="49"/>
      <c r="B265" s="51"/>
      <c r="C265" s="49"/>
      <c r="E265" s="119"/>
      <c r="F265" s="49"/>
      <c r="G265" s="119"/>
      <c r="H265" s="49"/>
      <c r="I265" s="119"/>
      <c r="J265" s="49"/>
      <c r="K265" s="119"/>
      <c r="L265" s="49"/>
      <c r="M265" s="119"/>
      <c r="N265" s="49"/>
      <c r="O265" s="119"/>
      <c r="P265" s="49"/>
      <c r="Q265" s="119"/>
      <c r="R265" s="49"/>
      <c r="S265" s="119"/>
      <c r="T265" s="49"/>
      <c r="U265" s="119"/>
      <c r="V265" s="49"/>
      <c r="W265" s="49"/>
      <c r="X265" s="49"/>
      <c r="Z265" s="49"/>
      <c r="AA265" s="49"/>
      <c r="AB265" s="119"/>
      <c r="AC265" s="51"/>
      <c r="AD265" s="119"/>
      <c r="AE265" s="51"/>
      <c r="AF265" s="119"/>
      <c r="AG265" s="51"/>
      <c r="AH265" s="49"/>
      <c r="AI265" s="49"/>
      <c r="AJ265" s="49"/>
      <c r="AK265" s="49"/>
      <c r="AL265" s="119"/>
      <c r="AM265" s="49"/>
      <c r="AN265" s="119"/>
      <c r="AO265" s="49"/>
      <c r="AP265" s="119"/>
      <c r="AQ265" s="49"/>
      <c r="AR265" s="49"/>
      <c r="AS265" s="49"/>
      <c r="AT265" s="51"/>
    </row>
    <row r="266" spans="1:46" s="47" customFormat="1" ht="12.75" customHeight="1">
      <c r="A266" s="49"/>
      <c r="B266" s="51"/>
      <c r="C266" s="49"/>
      <c r="E266" s="119"/>
      <c r="F266" s="49"/>
      <c r="G266" s="119"/>
      <c r="H266" s="49"/>
      <c r="I266" s="119"/>
      <c r="J266" s="49"/>
      <c r="K266" s="119"/>
      <c r="L266" s="49"/>
      <c r="M266" s="119"/>
      <c r="N266" s="49"/>
      <c r="O266" s="119"/>
      <c r="P266" s="49"/>
      <c r="Q266" s="119"/>
      <c r="R266" s="49"/>
      <c r="S266" s="119"/>
      <c r="T266" s="49"/>
      <c r="U266" s="119"/>
      <c r="V266" s="49"/>
      <c r="W266" s="49"/>
      <c r="X266" s="49"/>
      <c r="Z266" s="49"/>
      <c r="AA266" s="49"/>
      <c r="AB266" s="119"/>
      <c r="AC266" s="51"/>
      <c r="AD266" s="119"/>
      <c r="AE266" s="51"/>
      <c r="AF266" s="119"/>
      <c r="AG266" s="51"/>
      <c r="AH266" s="49"/>
      <c r="AI266" s="49"/>
      <c r="AJ266" s="49"/>
      <c r="AK266" s="49"/>
      <c r="AL266" s="119"/>
      <c r="AM266" s="49"/>
      <c r="AN266" s="119"/>
      <c r="AO266" s="49"/>
      <c r="AP266" s="119"/>
      <c r="AQ266" s="49"/>
      <c r="AR266" s="49"/>
      <c r="AS266" s="49"/>
      <c r="AT266" s="51"/>
    </row>
    <row r="267" spans="1:46" s="47" customFormat="1" ht="12.75" customHeight="1">
      <c r="A267" s="49"/>
      <c r="B267" s="51"/>
      <c r="C267" s="49"/>
      <c r="E267" s="119"/>
      <c r="F267" s="49"/>
      <c r="G267" s="119"/>
      <c r="H267" s="49"/>
      <c r="I267" s="119"/>
      <c r="J267" s="49"/>
      <c r="K267" s="119"/>
      <c r="L267" s="49"/>
      <c r="M267" s="119"/>
      <c r="N267" s="49"/>
      <c r="O267" s="119"/>
      <c r="P267" s="49"/>
      <c r="Q267" s="119"/>
      <c r="R267" s="49"/>
      <c r="S267" s="119"/>
      <c r="T267" s="49"/>
      <c r="U267" s="119"/>
      <c r="V267" s="49"/>
      <c r="W267" s="49"/>
      <c r="X267" s="49"/>
      <c r="Z267" s="49"/>
      <c r="AA267" s="49"/>
      <c r="AB267" s="119"/>
      <c r="AC267" s="51"/>
      <c r="AD267" s="119"/>
      <c r="AE267" s="51"/>
      <c r="AF267" s="119"/>
      <c r="AG267" s="51"/>
      <c r="AH267" s="49"/>
      <c r="AI267" s="49"/>
      <c r="AJ267" s="49"/>
      <c r="AK267" s="49"/>
      <c r="AL267" s="119"/>
      <c r="AM267" s="49"/>
      <c r="AN267" s="119"/>
      <c r="AO267" s="49"/>
      <c r="AP267" s="119"/>
      <c r="AQ267" s="49"/>
      <c r="AR267" s="49"/>
      <c r="AS267" s="49"/>
      <c r="AT267" s="51"/>
    </row>
    <row r="268" spans="1:46" s="47" customFormat="1" ht="12.75" customHeight="1">
      <c r="A268" s="49"/>
      <c r="B268" s="51"/>
      <c r="C268" s="49"/>
      <c r="E268" s="119"/>
      <c r="F268" s="49"/>
      <c r="G268" s="119"/>
      <c r="H268" s="49"/>
      <c r="I268" s="119"/>
      <c r="J268" s="49"/>
      <c r="K268" s="119"/>
      <c r="L268" s="49"/>
      <c r="M268" s="119"/>
      <c r="N268" s="49"/>
      <c r="O268" s="119"/>
      <c r="P268" s="49"/>
      <c r="Q268" s="119"/>
      <c r="R268" s="49"/>
      <c r="S268" s="119"/>
      <c r="T268" s="49"/>
      <c r="U268" s="119"/>
      <c r="V268" s="49"/>
      <c r="W268" s="49"/>
      <c r="X268" s="49"/>
      <c r="Z268" s="49"/>
      <c r="AA268" s="49"/>
      <c r="AB268" s="119"/>
      <c r="AC268" s="51"/>
      <c r="AD268" s="119"/>
      <c r="AE268" s="51"/>
      <c r="AF268" s="119"/>
      <c r="AG268" s="51"/>
      <c r="AH268" s="49"/>
      <c r="AI268" s="49"/>
      <c r="AJ268" s="49"/>
      <c r="AK268" s="49"/>
      <c r="AL268" s="119"/>
      <c r="AM268" s="49"/>
      <c r="AN268" s="119"/>
      <c r="AO268" s="49"/>
      <c r="AP268" s="119"/>
      <c r="AQ268" s="49"/>
      <c r="AR268" s="49"/>
      <c r="AS268" s="49"/>
      <c r="AT268" s="51"/>
    </row>
    <row r="269" spans="1:46" s="47" customFormat="1" ht="12.75" customHeight="1">
      <c r="A269" s="49"/>
      <c r="B269" s="51"/>
      <c r="C269" s="49"/>
      <c r="E269" s="119"/>
      <c r="F269" s="49"/>
      <c r="G269" s="119"/>
      <c r="H269" s="49"/>
      <c r="I269" s="119"/>
      <c r="J269" s="49"/>
      <c r="K269" s="119"/>
      <c r="L269" s="49"/>
      <c r="M269" s="119"/>
      <c r="N269" s="49"/>
      <c r="O269" s="119"/>
      <c r="P269" s="49"/>
      <c r="Q269" s="119"/>
      <c r="R269" s="49"/>
      <c r="S269" s="119"/>
      <c r="T269" s="49"/>
      <c r="U269" s="119"/>
      <c r="V269" s="49"/>
      <c r="W269" s="49"/>
      <c r="X269" s="49"/>
      <c r="Z269" s="49"/>
      <c r="AA269" s="49"/>
      <c r="AB269" s="119"/>
      <c r="AC269" s="51"/>
      <c r="AD269" s="119"/>
      <c r="AE269" s="51"/>
      <c r="AF269" s="119"/>
      <c r="AG269" s="51"/>
      <c r="AH269" s="49"/>
      <c r="AI269" s="49"/>
      <c r="AJ269" s="49"/>
      <c r="AK269" s="49"/>
      <c r="AL269" s="119"/>
      <c r="AM269" s="49"/>
      <c r="AN269" s="119"/>
      <c r="AO269" s="49"/>
      <c r="AP269" s="119"/>
      <c r="AQ269" s="49"/>
      <c r="AR269" s="49"/>
      <c r="AS269" s="49"/>
      <c r="AT269" s="51"/>
    </row>
    <row r="270" spans="1:46" s="47" customFormat="1" ht="12.75" customHeight="1">
      <c r="A270" s="49"/>
      <c r="B270" s="51"/>
      <c r="C270" s="49"/>
      <c r="E270" s="119"/>
      <c r="F270" s="49"/>
      <c r="G270" s="119"/>
      <c r="H270" s="49"/>
      <c r="I270" s="119"/>
      <c r="J270" s="49"/>
      <c r="K270" s="119"/>
      <c r="L270" s="49"/>
      <c r="M270" s="119"/>
      <c r="N270" s="49"/>
      <c r="O270" s="119"/>
      <c r="P270" s="49"/>
      <c r="Q270" s="119"/>
      <c r="R270" s="49"/>
      <c r="S270" s="119"/>
      <c r="T270" s="49"/>
      <c r="U270" s="119"/>
      <c r="V270" s="49"/>
      <c r="W270" s="49"/>
      <c r="X270" s="49"/>
      <c r="Z270" s="49"/>
      <c r="AA270" s="49"/>
      <c r="AB270" s="119"/>
      <c r="AC270" s="51"/>
      <c r="AD270" s="119"/>
      <c r="AE270" s="51"/>
      <c r="AF270" s="119"/>
      <c r="AG270" s="51"/>
      <c r="AH270" s="49"/>
      <c r="AI270" s="49"/>
      <c r="AJ270" s="49"/>
      <c r="AK270" s="49"/>
      <c r="AL270" s="119"/>
      <c r="AM270" s="49"/>
      <c r="AN270" s="119"/>
      <c r="AO270" s="49"/>
      <c r="AP270" s="119"/>
      <c r="AQ270" s="49"/>
      <c r="AR270" s="49"/>
      <c r="AS270" s="49"/>
      <c r="AT270" s="51"/>
    </row>
    <row r="271" spans="1:46" s="47" customFormat="1" ht="12.75" customHeight="1">
      <c r="A271" s="49"/>
      <c r="B271" s="51"/>
      <c r="C271" s="49"/>
      <c r="E271" s="119"/>
      <c r="F271" s="49"/>
      <c r="G271" s="119"/>
      <c r="H271" s="49"/>
      <c r="I271" s="119"/>
      <c r="J271" s="49"/>
      <c r="K271" s="119"/>
      <c r="L271" s="49"/>
      <c r="M271" s="119"/>
      <c r="N271" s="49"/>
      <c r="O271" s="119"/>
      <c r="P271" s="49"/>
      <c r="Q271" s="119"/>
      <c r="R271" s="49"/>
      <c r="S271" s="119"/>
      <c r="T271" s="49"/>
      <c r="U271" s="119"/>
      <c r="V271" s="49"/>
      <c r="W271" s="49"/>
      <c r="X271" s="49"/>
      <c r="Z271" s="49"/>
      <c r="AA271" s="49"/>
      <c r="AB271" s="119"/>
      <c r="AC271" s="51"/>
      <c r="AD271" s="119"/>
      <c r="AE271" s="51"/>
      <c r="AF271" s="119"/>
      <c r="AG271" s="51"/>
      <c r="AH271" s="49"/>
      <c r="AI271" s="49"/>
      <c r="AJ271" s="49"/>
      <c r="AK271" s="49"/>
      <c r="AL271" s="119"/>
      <c r="AM271" s="49"/>
      <c r="AN271" s="119"/>
      <c r="AO271" s="49"/>
      <c r="AP271" s="119"/>
      <c r="AQ271" s="49"/>
      <c r="AR271" s="49"/>
      <c r="AS271" s="49"/>
      <c r="AT271" s="51"/>
    </row>
    <row r="272" spans="1:46" s="47" customFormat="1" ht="12.75" customHeight="1">
      <c r="A272" s="49"/>
      <c r="B272" s="51"/>
      <c r="C272" s="49"/>
      <c r="E272" s="119"/>
      <c r="F272" s="49"/>
      <c r="G272" s="119"/>
      <c r="H272" s="49"/>
      <c r="I272" s="119"/>
      <c r="J272" s="49"/>
      <c r="K272" s="119"/>
      <c r="L272" s="49"/>
      <c r="M272" s="119"/>
      <c r="N272" s="49"/>
      <c r="O272" s="119"/>
      <c r="P272" s="49"/>
      <c r="Q272" s="119"/>
      <c r="R272" s="49"/>
      <c r="S272" s="119"/>
      <c r="T272" s="49"/>
      <c r="U272" s="119"/>
      <c r="V272" s="49"/>
      <c r="W272" s="49"/>
      <c r="X272" s="49"/>
      <c r="Z272" s="49"/>
      <c r="AA272" s="49"/>
      <c r="AB272" s="119"/>
      <c r="AC272" s="51"/>
      <c r="AD272" s="119"/>
      <c r="AE272" s="51"/>
      <c r="AF272" s="119"/>
      <c r="AG272" s="51"/>
      <c r="AH272" s="49"/>
      <c r="AI272" s="49"/>
      <c r="AJ272" s="49"/>
      <c r="AK272" s="49"/>
      <c r="AL272" s="119"/>
      <c r="AM272" s="49"/>
      <c r="AN272" s="119"/>
      <c r="AO272" s="49"/>
      <c r="AP272" s="119"/>
      <c r="AQ272" s="49"/>
      <c r="AR272" s="49"/>
      <c r="AS272" s="49"/>
      <c r="AT272" s="51"/>
    </row>
    <row r="273" spans="1:46" s="47" customFormat="1" ht="12.75" customHeight="1">
      <c r="A273" s="49"/>
      <c r="B273" s="51"/>
      <c r="C273" s="49"/>
      <c r="E273" s="119"/>
      <c r="F273" s="49"/>
      <c r="G273" s="119"/>
      <c r="H273" s="49"/>
      <c r="I273" s="119"/>
      <c r="J273" s="49"/>
      <c r="K273" s="119"/>
      <c r="L273" s="49"/>
      <c r="M273" s="119"/>
      <c r="N273" s="49"/>
      <c r="O273" s="119"/>
      <c r="P273" s="49"/>
      <c r="Q273" s="119"/>
      <c r="R273" s="49"/>
      <c r="S273" s="119"/>
      <c r="T273" s="49"/>
      <c r="U273" s="119"/>
      <c r="V273" s="49"/>
      <c r="W273" s="49"/>
      <c r="X273" s="49"/>
      <c r="Z273" s="49"/>
      <c r="AA273" s="49"/>
      <c r="AB273" s="119"/>
      <c r="AC273" s="51"/>
      <c r="AD273" s="119"/>
      <c r="AE273" s="51"/>
      <c r="AF273" s="119"/>
      <c r="AG273" s="51"/>
      <c r="AH273" s="49"/>
      <c r="AI273" s="49"/>
      <c r="AJ273" s="49"/>
      <c r="AK273" s="49"/>
      <c r="AL273" s="119"/>
      <c r="AM273" s="49"/>
      <c r="AN273" s="119"/>
      <c r="AO273" s="49"/>
      <c r="AP273" s="119"/>
      <c r="AQ273" s="49"/>
      <c r="AR273" s="49"/>
      <c r="AS273" s="49"/>
      <c r="AT273" s="51"/>
    </row>
    <row r="274" spans="1:46" s="47" customFormat="1" ht="12.75" customHeight="1">
      <c r="A274" s="49"/>
      <c r="B274" s="51"/>
      <c r="C274" s="49"/>
      <c r="E274" s="119"/>
      <c r="F274" s="49"/>
      <c r="G274" s="119"/>
      <c r="H274" s="49"/>
      <c r="I274" s="119"/>
      <c r="J274" s="49"/>
      <c r="K274" s="119"/>
      <c r="L274" s="49"/>
      <c r="M274" s="119"/>
      <c r="N274" s="49"/>
      <c r="O274" s="119"/>
      <c r="P274" s="49"/>
      <c r="Q274" s="119"/>
      <c r="R274" s="49"/>
      <c r="S274" s="119"/>
      <c r="T274" s="49"/>
      <c r="U274" s="119"/>
      <c r="V274" s="49"/>
      <c r="W274" s="49"/>
      <c r="X274" s="49"/>
      <c r="Z274" s="49"/>
      <c r="AA274" s="49"/>
      <c r="AB274" s="119"/>
      <c r="AC274" s="51"/>
      <c r="AD274" s="119"/>
      <c r="AE274" s="51"/>
      <c r="AF274" s="119"/>
      <c r="AG274" s="51"/>
      <c r="AH274" s="49"/>
      <c r="AI274" s="49"/>
      <c r="AJ274" s="49"/>
      <c r="AK274" s="49"/>
      <c r="AL274" s="119"/>
      <c r="AM274" s="49"/>
      <c r="AN274" s="119"/>
      <c r="AO274" s="49"/>
      <c r="AP274" s="119"/>
      <c r="AQ274" s="49"/>
      <c r="AR274" s="49"/>
      <c r="AS274" s="49"/>
      <c r="AT274" s="51"/>
    </row>
    <row r="275" spans="1:46" s="47" customFormat="1" ht="12.75" customHeight="1">
      <c r="A275" s="49"/>
      <c r="B275" s="51"/>
      <c r="C275" s="49"/>
      <c r="E275" s="119"/>
      <c r="F275" s="49"/>
      <c r="G275" s="119"/>
      <c r="H275" s="49"/>
      <c r="I275" s="119"/>
      <c r="J275" s="49"/>
      <c r="K275" s="119"/>
      <c r="L275" s="49"/>
      <c r="M275" s="119"/>
      <c r="N275" s="49"/>
      <c r="O275" s="119"/>
      <c r="P275" s="49"/>
      <c r="Q275" s="119"/>
      <c r="R275" s="49"/>
      <c r="S275" s="119"/>
      <c r="T275" s="49"/>
      <c r="U275" s="119"/>
      <c r="V275" s="49"/>
      <c r="W275" s="49"/>
      <c r="X275" s="49"/>
      <c r="Z275" s="49"/>
      <c r="AA275" s="49"/>
      <c r="AB275" s="119"/>
      <c r="AC275" s="51"/>
      <c r="AD275" s="119"/>
      <c r="AE275" s="51"/>
      <c r="AF275" s="119"/>
      <c r="AG275" s="51"/>
      <c r="AH275" s="49"/>
      <c r="AI275" s="49"/>
      <c r="AJ275" s="49"/>
      <c r="AK275" s="49"/>
      <c r="AL275" s="119"/>
      <c r="AM275" s="49"/>
      <c r="AN275" s="119"/>
      <c r="AO275" s="49"/>
      <c r="AP275" s="119"/>
      <c r="AQ275" s="49"/>
      <c r="AR275" s="49"/>
      <c r="AS275" s="49"/>
      <c r="AT275" s="51"/>
    </row>
    <row r="276" spans="1:46" s="47" customFormat="1" ht="12.75" customHeight="1">
      <c r="A276" s="49"/>
      <c r="B276" s="51"/>
      <c r="C276" s="49"/>
      <c r="E276" s="119"/>
      <c r="F276" s="49"/>
      <c r="G276" s="119"/>
      <c r="H276" s="49"/>
      <c r="I276" s="119"/>
      <c r="J276" s="49"/>
      <c r="K276" s="119"/>
      <c r="L276" s="49"/>
      <c r="M276" s="119"/>
      <c r="N276" s="49"/>
      <c r="O276" s="119"/>
      <c r="P276" s="49"/>
      <c r="Q276" s="119"/>
      <c r="R276" s="49"/>
      <c r="S276" s="119"/>
      <c r="T276" s="49"/>
      <c r="U276" s="119"/>
      <c r="V276" s="49"/>
      <c r="W276" s="49"/>
      <c r="X276" s="49"/>
      <c r="Z276" s="49"/>
      <c r="AA276" s="49"/>
      <c r="AB276" s="119"/>
      <c r="AC276" s="51"/>
      <c r="AD276" s="119"/>
      <c r="AE276" s="51"/>
      <c r="AF276" s="119"/>
      <c r="AG276" s="51"/>
      <c r="AH276" s="49"/>
      <c r="AI276" s="49"/>
      <c r="AJ276" s="49"/>
      <c r="AK276" s="49"/>
      <c r="AL276" s="119"/>
      <c r="AM276" s="49"/>
      <c r="AN276" s="119"/>
      <c r="AO276" s="49"/>
      <c r="AP276" s="119"/>
      <c r="AQ276" s="49"/>
      <c r="AR276" s="49"/>
      <c r="AS276" s="49"/>
      <c r="AT276" s="51"/>
    </row>
    <row r="277" spans="1:46" s="47" customFormat="1" ht="12.75" customHeight="1">
      <c r="A277" s="49"/>
      <c r="B277" s="51"/>
      <c r="C277" s="49"/>
      <c r="E277" s="119"/>
      <c r="F277" s="49"/>
      <c r="G277" s="119"/>
      <c r="H277" s="49"/>
      <c r="I277" s="119"/>
      <c r="J277" s="49"/>
      <c r="K277" s="119"/>
      <c r="L277" s="49"/>
      <c r="M277" s="119"/>
      <c r="N277" s="49"/>
      <c r="O277" s="119"/>
      <c r="P277" s="49"/>
      <c r="Q277" s="119"/>
      <c r="R277" s="49"/>
      <c r="S277" s="119"/>
      <c r="T277" s="49"/>
      <c r="U277" s="119"/>
      <c r="V277" s="49"/>
      <c r="W277" s="49"/>
      <c r="X277" s="49"/>
      <c r="Z277" s="49"/>
      <c r="AA277" s="49"/>
      <c r="AB277" s="119"/>
      <c r="AC277" s="51"/>
      <c r="AD277" s="119"/>
      <c r="AE277" s="51"/>
      <c r="AF277" s="119"/>
      <c r="AG277" s="51"/>
      <c r="AH277" s="49"/>
      <c r="AI277" s="49"/>
      <c r="AJ277" s="49"/>
      <c r="AK277" s="49"/>
      <c r="AL277" s="119"/>
      <c r="AM277" s="49"/>
      <c r="AN277" s="119"/>
      <c r="AO277" s="49"/>
      <c r="AP277" s="119"/>
      <c r="AQ277" s="49"/>
      <c r="AR277" s="49"/>
      <c r="AS277" s="49"/>
      <c r="AT277" s="51"/>
    </row>
    <row r="278" spans="1:46" s="47" customFormat="1" ht="12.75" customHeight="1">
      <c r="A278" s="49"/>
      <c r="B278" s="51"/>
      <c r="C278" s="49"/>
      <c r="E278" s="119"/>
      <c r="F278" s="49"/>
      <c r="G278" s="119"/>
      <c r="H278" s="49"/>
      <c r="I278" s="119"/>
      <c r="J278" s="49"/>
      <c r="K278" s="119"/>
      <c r="L278" s="49"/>
      <c r="M278" s="119"/>
      <c r="N278" s="49"/>
      <c r="O278" s="119"/>
      <c r="P278" s="49"/>
      <c r="Q278" s="119"/>
      <c r="R278" s="49"/>
      <c r="S278" s="119"/>
      <c r="T278" s="49"/>
      <c r="U278" s="119"/>
      <c r="V278" s="49"/>
      <c r="W278" s="49"/>
      <c r="X278" s="49"/>
      <c r="Z278" s="49"/>
      <c r="AA278" s="49"/>
      <c r="AB278" s="119"/>
      <c r="AC278" s="51"/>
      <c r="AD278" s="119"/>
      <c r="AE278" s="51"/>
      <c r="AF278" s="119"/>
      <c r="AG278" s="51"/>
      <c r="AH278" s="49"/>
      <c r="AI278" s="49"/>
      <c r="AJ278" s="49"/>
      <c r="AK278" s="49"/>
      <c r="AL278" s="119"/>
      <c r="AM278" s="49"/>
      <c r="AN278" s="119"/>
      <c r="AO278" s="49"/>
      <c r="AP278" s="119"/>
      <c r="AQ278" s="49"/>
      <c r="AR278" s="49"/>
      <c r="AS278" s="49"/>
      <c r="AT278" s="51"/>
    </row>
    <row r="279" spans="1:46" s="47" customFormat="1" ht="12.75" customHeight="1">
      <c r="A279" s="49"/>
      <c r="B279" s="51"/>
      <c r="C279" s="49"/>
      <c r="E279" s="119"/>
      <c r="F279" s="49"/>
      <c r="G279" s="119"/>
      <c r="H279" s="49"/>
      <c r="I279" s="119"/>
      <c r="J279" s="49"/>
      <c r="K279" s="119"/>
      <c r="L279" s="49"/>
      <c r="M279" s="119"/>
      <c r="N279" s="49"/>
      <c r="O279" s="119"/>
      <c r="P279" s="49"/>
      <c r="Q279" s="119"/>
      <c r="R279" s="49"/>
      <c r="S279" s="119"/>
      <c r="T279" s="49"/>
      <c r="U279" s="119"/>
      <c r="V279" s="49"/>
      <c r="W279" s="49"/>
      <c r="X279" s="49"/>
      <c r="Z279" s="49"/>
      <c r="AA279" s="49"/>
      <c r="AB279" s="119"/>
      <c r="AC279" s="51"/>
      <c r="AD279" s="119"/>
      <c r="AE279" s="51"/>
      <c r="AF279" s="119"/>
      <c r="AG279" s="51"/>
      <c r="AH279" s="49"/>
      <c r="AI279" s="49"/>
      <c r="AJ279" s="49"/>
      <c r="AK279" s="49"/>
      <c r="AL279" s="119"/>
      <c r="AM279" s="49"/>
      <c r="AN279" s="119"/>
      <c r="AO279" s="49"/>
      <c r="AP279" s="119"/>
      <c r="AQ279" s="49"/>
      <c r="AR279" s="49"/>
      <c r="AS279" s="49"/>
      <c r="AT279" s="51"/>
    </row>
    <row r="280" spans="1:46" s="47" customFormat="1" ht="12.75" customHeight="1">
      <c r="A280" s="49"/>
      <c r="B280" s="51"/>
      <c r="C280" s="49"/>
      <c r="E280" s="119"/>
      <c r="F280" s="49"/>
      <c r="G280" s="119"/>
      <c r="H280" s="49"/>
      <c r="I280" s="119"/>
      <c r="J280" s="49"/>
      <c r="K280" s="119"/>
      <c r="L280" s="49"/>
      <c r="M280" s="119"/>
      <c r="N280" s="49"/>
      <c r="O280" s="119"/>
      <c r="P280" s="49"/>
      <c r="Q280" s="119"/>
      <c r="R280" s="49"/>
      <c r="S280" s="119"/>
      <c r="T280" s="49"/>
      <c r="U280" s="119"/>
      <c r="V280" s="49"/>
      <c r="W280" s="49"/>
      <c r="X280" s="49"/>
      <c r="Z280" s="49"/>
      <c r="AA280" s="49"/>
      <c r="AB280" s="119"/>
      <c r="AC280" s="51"/>
      <c r="AD280" s="119"/>
      <c r="AE280" s="51"/>
      <c r="AF280" s="119"/>
      <c r="AG280" s="51"/>
      <c r="AH280" s="49"/>
      <c r="AI280" s="49"/>
      <c r="AJ280" s="49"/>
      <c r="AK280" s="49"/>
      <c r="AL280" s="119"/>
      <c r="AM280" s="49"/>
      <c r="AN280" s="119"/>
      <c r="AO280" s="49"/>
      <c r="AP280" s="119"/>
      <c r="AQ280" s="49"/>
      <c r="AR280" s="49"/>
      <c r="AS280" s="49"/>
      <c r="AT280" s="51"/>
    </row>
    <row r="281" spans="1:46" s="47" customFormat="1" ht="12.75" customHeight="1">
      <c r="A281" s="49"/>
      <c r="B281" s="51"/>
      <c r="C281" s="49"/>
      <c r="E281" s="119"/>
      <c r="F281" s="49"/>
      <c r="G281" s="119"/>
      <c r="H281" s="49"/>
      <c r="I281" s="119"/>
      <c r="J281" s="49"/>
      <c r="K281" s="119"/>
      <c r="L281" s="49"/>
      <c r="M281" s="119"/>
      <c r="N281" s="49"/>
      <c r="O281" s="119"/>
      <c r="P281" s="49"/>
      <c r="Q281" s="119"/>
      <c r="R281" s="49"/>
      <c r="S281" s="119"/>
      <c r="T281" s="49"/>
      <c r="U281" s="119"/>
      <c r="V281" s="49"/>
      <c r="W281" s="49"/>
      <c r="X281" s="49"/>
      <c r="Z281" s="49"/>
      <c r="AA281" s="49"/>
      <c r="AB281" s="119"/>
      <c r="AC281" s="51"/>
      <c r="AD281" s="119"/>
      <c r="AE281" s="51"/>
      <c r="AF281" s="119"/>
      <c r="AG281" s="51"/>
      <c r="AH281" s="49"/>
      <c r="AI281" s="49"/>
      <c r="AJ281" s="49"/>
      <c r="AK281" s="49"/>
      <c r="AL281" s="119"/>
      <c r="AM281" s="49"/>
      <c r="AN281" s="119"/>
      <c r="AO281" s="49"/>
      <c r="AP281" s="119"/>
      <c r="AQ281" s="49"/>
      <c r="AR281" s="49"/>
      <c r="AS281" s="49"/>
      <c r="AT281" s="51"/>
    </row>
    <row r="282" spans="1:46" s="47" customFormat="1" ht="12.75" customHeight="1">
      <c r="A282" s="49"/>
      <c r="B282" s="51"/>
      <c r="C282" s="49"/>
      <c r="E282" s="119"/>
      <c r="F282" s="49"/>
      <c r="G282" s="119"/>
      <c r="H282" s="49"/>
      <c r="I282" s="119"/>
      <c r="J282" s="49"/>
      <c r="K282" s="119"/>
      <c r="L282" s="49"/>
      <c r="M282" s="119"/>
      <c r="N282" s="49"/>
      <c r="O282" s="119"/>
      <c r="P282" s="49"/>
      <c r="Q282" s="119"/>
      <c r="R282" s="49"/>
      <c r="S282" s="119"/>
      <c r="T282" s="49"/>
      <c r="U282" s="119"/>
      <c r="V282" s="49"/>
      <c r="W282" s="49"/>
      <c r="X282" s="49"/>
      <c r="Z282" s="49"/>
      <c r="AA282" s="49"/>
      <c r="AB282" s="119"/>
      <c r="AC282" s="51"/>
      <c r="AD282" s="119"/>
      <c r="AE282" s="51"/>
      <c r="AF282" s="119"/>
      <c r="AG282" s="51"/>
      <c r="AH282" s="49"/>
      <c r="AI282" s="49"/>
      <c r="AJ282" s="49"/>
      <c r="AK282" s="49"/>
      <c r="AL282" s="119"/>
      <c r="AM282" s="49"/>
      <c r="AN282" s="119"/>
      <c r="AO282" s="49"/>
      <c r="AP282" s="119"/>
      <c r="AQ282" s="49"/>
      <c r="AR282" s="49"/>
      <c r="AS282" s="49"/>
      <c r="AT282" s="51"/>
    </row>
    <row r="283" spans="1:46" s="47" customFormat="1" ht="12.75" customHeight="1">
      <c r="A283" s="49"/>
      <c r="B283" s="51"/>
      <c r="C283" s="49"/>
      <c r="E283" s="119"/>
      <c r="F283" s="49"/>
      <c r="G283" s="119"/>
      <c r="H283" s="49"/>
      <c r="I283" s="119"/>
      <c r="J283" s="49"/>
      <c r="K283" s="119"/>
      <c r="L283" s="49"/>
      <c r="M283" s="119"/>
      <c r="N283" s="49"/>
      <c r="O283" s="119"/>
      <c r="P283" s="49"/>
      <c r="Q283" s="119"/>
      <c r="R283" s="49"/>
      <c r="S283" s="119"/>
      <c r="T283" s="49"/>
      <c r="U283" s="119"/>
      <c r="V283" s="49"/>
      <c r="W283" s="49"/>
      <c r="X283" s="49"/>
      <c r="Z283" s="49"/>
      <c r="AA283" s="49"/>
      <c r="AB283" s="119"/>
      <c r="AC283" s="51"/>
      <c r="AD283" s="119"/>
      <c r="AE283" s="51"/>
      <c r="AF283" s="119"/>
      <c r="AG283" s="51"/>
      <c r="AH283" s="49"/>
      <c r="AI283" s="49"/>
      <c r="AJ283" s="49"/>
      <c r="AK283" s="49"/>
      <c r="AL283" s="119"/>
      <c r="AM283" s="49"/>
      <c r="AN283" s="119"/>
      <c r="AO283" s="49"/>
      <c r="AP283" s="119"/>
      <c r="AQ283" s="49"/>
      <c r="AR283" s="49"/>
      <c r="AS283" s="49"/>
      <c r="AT283" s="51"/>
    </row>
    <row r="284" spans="1:46" s="47" customFormat="1" ht="12.75" customHeight="1">
      <c r="A284" s="49"/>
      <c r="B284" s="51"/>
      <c r="C284" s="49"/>
      <c r="E284" s="119"/>
      <c r="F284" s="49"/>
      <c r="G284" s="119"/>
      <c r="H284" s="49"/>
      <c r="I284" s="119"/>
      <c r="J284" s="49"/>
      <c r="K284" s="119"/>
      <c r="L284" s="49"/>
      <c r="M284" s="119"/>
      <c r="N284" s="49"/>
      <c r="O284" s="119"/>
      <c r="P284" s="49"/>
      <c r="Q284" s="119"/>
      <c r="R284" s="49"/>
      <c r="S284" s="119"/>
      <c r="T284" s="49"/>
      <c r="U284" s="119"/>
      <c r="V284" s="49"/>
      <c r="W284" s="49"/>
      <c r="X284" s="49"/>
      <c r="Z284" s="49"/>
      <c r="AA284" s="49"/>
      <c r="AB284" s="119"/>
      <c r="AC284" s="51"/>
      <c r="AD284" s="119"/>
      <c r="AE284" s="51"/>
      <c r="AF284" s="119"/>
      <c r="AG284" s="51"/>
      <c r="AH284" s="49"/>
      <c r="AI284" s="49"/>
      <c r="AJ284" s="49"/>
      <c r="AK284" s="49"/>
      <c r="AL284" s="119"/>
      <c r="AM284" s="49"/>
      <c r="AN284" s="119"/>
      <c r="AO284" s="49"/>
      <c r="AP284" s="119"/>
      <c r="AQ284" s="49"/>
      <c r="AR284" s="49"/>
      <c r="AS284" s="49"/>
      <c r="AT284" s="51"/>
    </row>
    <row r="285" spans="1:46" s="47" customFormat="1" ht="12.75" customHeight="1">
      <c r="A285" s="49"/>
      <c r="B285" s="51"/>
      <c r="C285" s="49"/>
      <c r="E285" s="119"/>
      <c r="F285" s="49"/>
      <c r="G285" s="119"/>
      <c r="H285" s="49"/>
      <c r="I285" s="119"/>
      <c r="J285" s="49"/>
      <c r="K285" s="119"/>
      <c r="L285" s="49"/>
      <c r="M285" s="119"/>
      <c r="N285" s="49"/>
      <c r="O285" s="119"/>
      <c r="P285" s="49"/>
      <c r="Q285" s="119"/>
      <c r="R285" s="49"/>
      <c r="S285" s="119"/>
      <c r="T285" s="49"/>
      <c r="U285" s="119"/>
      <c r="V285" s="49"/>
      <c r="W285" s="49"/>
      <c r="X285" s="49"/>
      <c r="Z285" s="49"/>
      <c r="AA285" s="49"/>
      <c r="AB285" s="119"/>
      <c r="AC285" s="51"/>
      <c r="AD285" s="119"/>
      <c r="AE285" s="51"/>
      <c r="AF285" s="119"/>
      <c r="AG285" s="51"/>
      <c r="AH285" s="49"/>
      <c r="AI285" s="49"/>
      <c r="AJ285" s="49"/>
      <c r="AK285" s="49"/>
      <c r="AL285" s="119"/>
      <c r="AM285" s="49"/>
      <c r="AN285" s="119"/>
      <c r="AO285" s="49"/>
      <c r="AP285" s="119"/>
      <c r="AQ285" s="49"/>
      <c r="AR285" s="49"/>
      <c r="AS285" s="49"/>
      <c r="AT285" s="51"/>
    </row>
    <row r="286" spans="1:46" s="47" customFormat="1" ht="12.75" customHeight="1">
      <c r="A286" s="49"/>
      <c r="B286" s="51"/>
      <c r="C286" s="49"/>
      <c r="E286" s="119"/>
      <c r="F286" s="49"/>
      <c r="G286" s="119"/>
      <c r="H286" s="49"/>
      <c r="I286" s="119"/>
      <c r="J286" s="49"/>
      <c r="K286" s="119"/>
      <c r="L286" s="49"/>
      <c r="M286" s="119"/>
      <c r="N286" s="49"/>
      <c r="O286" s="119"/>
      <c r="P286" s="49"/>
      <c r="Q286" s="119"/>
      <c r="R286" s="49"/>
      <c r="S286" s="119"/>
      <c r="T286" s="49"/>
      <c r="U286" s="119"/>
      <c r="V286" s="49"/>
      <c r="W286" s="49"/>
      <c r="X286" s="49"/>
      <c r="Z286" s="49"/>
      <c r="AA286" s="49"/>
      <c r="AB286" s="119"/>
      <c r="AC286" s="51"/>
      <c r="AD286" s="119"/>
      <c r="AE286" s="51"/>
      <c r="AF286" s="119"/>
      <c r="AG286" s="51"/>
      <c r="AH286" s="49"/>
      <c r="AI286" s="49"/>
      <c r="AJ286" s="49"/>
      <c r="AK286" s="49"/>
      <c r="AL286" s="119"/>
      <c r="AM286" s="49"/>
      <c r="AN286" s="119"/>
      <c r="AO286" s="49"/>
      <c r="AP286" s="119"/>
      <c r="AQ286" s="49"/>
      <c r="AR286" s="49"/>
      <c r="AS286" s="49"/>
      <c r="AT286" s="51"/>
    </row>
    <row r="287" spans="1:46" s="47" customFormat="1" ht="12.75" customHeight="1">
      <c r="A287" s="49"/>
      <c r="B287" s="51"/>
      <c r="C287" s="49"/>
      <c r="E287" s="119"/>
      <c r="F287" s="49"/>
      <c r="G287" s="119"/>
      <c r="H287" s="49"/>
      <c r="I287" s="119"/>
      <c r="J287" s="49"/>
      <c r="K287" s="119"/>
      <c r="L287" s="49"/>
      <c r="M287" s="119"/>
      <c r="N287" s="49"/>
      <c r="O287" s="119"/>
      <c r="P287" s="49"/>
      <c r="Q287" s="119"/>
      <c r="R287" s="49"/>
      <c r="S287" s="119"/>
      <c r="T287" s="49"/>
      <c r="U287" s="119"/>
      <c r="V287" s="49"/>
      <c r="W287" s="49"/>
      <c r="X287" s="49"/>
      <c r="Z287" s="49"/>
      <c r="AA287" s="49"/>
      <c r="AB287" s="119"/>
      <c r="AC287" s="51"/>
      <c r="AD287" s="119"/>
      <c r="AE287" s="51"/>
      <c r="AF287" s="119"/>
      <c r="AG287" s="51"/>
      <c r="AH287" s="49"/>
      <c r="AI287" s="49"/>
      <c r="AJ287" s="49"/>
      <c r="AK287" s="49"/>
      <c r="AL287" s="119"/>
      <c r="AM287" s="49"/>
      <c r="AN287" s="119"/>
      <c r="AO287" s="49"/>
      <c r="AP287" s="119"/>
      <c r="AQ287" s="49"/>
      <c r="AR287" s="49"/>
      <c r="AS287" s="49"/>
      <c r="AT287" s="51"/>
    </row>
    <row r="288" spans="1:46" s="47" customFormat="1" ht="12.75" customHeight="1">
      <c r="A288" s="49"/>
      <c r="B288" s="51"/>
      <c r="C288" s="49"/>
      <c r="E288" s="119"/>
      <c r="F288" s="49"/>
      <c r="G288" s="119"/>
      <c r="H288" s="49"/>
      <c r="I288" s="119"/>
      <c r="J288" s="49"/>
      <c r="K288" s="119"/>
      <c r="L288" s="49"/>
      <c r="M288" s="119"/>
      <c r="N288" s="49"/>
      <c r="O288" s="119"/>
      <c r="P288" s="49"/>
      <c r="Q288" s="119"/>
      <c r="R288" s="49"/>
      <c r="S288" s="119"/>
      <c r="T288" s="49"/>
      <c r="U288" s="119"/>
      <c r="V288" s="49"/>
      <c r="W288" s="49"/>
      <c r="X288" s="49"/>
      <c r="Z288" s="49"/>
      <c r="AA288" s="49"/>
      <c r="AB288" s="119"/>
      <c r="AC288" s="51"/>
      <c r="AD288" s="119"/>
      <c r="AE288" s="51"/>
      <c r="AF288" s="119"/>
      <c r="AG288" s="51"/>
      <c r="AH288" s="49"/>
      <c r="AI288" s="49"/>
      <c r="AJ288" s="49"/>
      <c r="AK288" s="49"/>
      <c r="AL288" s="119"/>
      <c r="AM288" s="49"/>
      <c r="AN288" s="119"/>
      <c r="AO288" s="49"/>
      <c r="AP288" s="119"/>
      <c r="AQ288" s="49"/>
      <c r="AR288" s="49"/>
      <c r="AS288" s="49"/>
      <c r="AT288" s="51"/>
    </row>
    <row r="289" spans="1:46" s="47" customFormat="1" ht="12.75" customHeight="1">
      <c r="A289" s="49"/>
      <c r="B289" s="51"/>
      <c r="C289" s="49"/>
      <c r="E289" s="119"/>
      <c r="F289" s="49"/>
      <c r="G289" s="119"/>
      <c r="H289" s="49"/>
      <c r="I289" s="119"/>
      <c r="J289" s="49"/>
      <c r="K289" s="119"/>
      <c r="L289" s="49"/>
      <c r="M289" s="119"/>
      <c r="N289" s="49"/>
      <c r="O289" s="119"/>
      <c r="P289" s="49"/>
      <c r="Q289" s="119"/>
      <c r="R289" s="49"/>
      <c r="S289" s="119"/>
      <c r="T289" s="49"/>
      <c r="U289" s="119"/>
      <c r="V289" s="49"/>
      <c r="W289" s="49"/>
      <c r="X289" s="49"/>
      <c r="Z289" s="49"/>
      <c r="AA289" s="49"/>
      <c r="AB289" s="119"/>
      <c r="AC289" s="51"/>
      <c r="AD289" s="119"/>
      <c r="AE289" s="51"/>
      <c r="AF289" s="119"/>
      <c r="AG289" s="51"/>
      <c r="AH289" s="49"/>
      <c r="AI289" s="49"/>
      <c r="AJ289" s="49"/>
      <c r="AK289" s="49"/>
      <c r="AL289" s="119"/>
      <c r="AM289" s="49"/>
      <c r="AN289" s="119"/>
      <c r="AO289" s="49"/>
      <c r="AP289" s="119"/>
      <c r="AQ289" s="49"/>
      <c r="AR289" s="49"/>
      <c r="AS289" s="49"/>
      <c r="AT289" s="51"/>
    </row>
    <row r="290" spans="1:46" s="47" customFormat="1" ht="12.75" customHeight="1">
      <c r="A290" s="49"/>
      <c r="B290" s="51"/>
      <c r="C290" s="49"/>
      <c r="E290" s="119"/>
      <c r="F290" s="49"/>
      <c r="G290" s="119"/>
      <c r="H290" s="49"/>
      <c r="I290" s="119"/>
      <c r="J290" s="49"/>
      <c r="K290" s="119"/>
      <c r="L290" s="49"/>
      <c r="M290" s="119"/>
      <c r="N290" s="49"/>
      <c r="O290" s="119"/>
      <c r="P290" s="49"/>
      <c r="Q290" s="119"/>
      <c r="R290" s="49"/>
      <c r="S290" s="119"/>
      <c r="T290" s="49"/>
      <c r="U290" s="119"/>
      <c r="V290" s="49"/>
      <c r="W290" s="49"/>
      <c r="X290" s="49"/>
      <c r="Z290" s="49"/>
      <c r="AA290" s="49"/>
      <c r="AB290" s="119"/>
      <c r="AC290" s="51"/>
      <c r="AD290" s="119"/>
      <c r="AE290" s="51"/>
      <c r="AF290" s="119"/>
      <c r="AG290" s="51"/>
      <c r="AH290" s="49"/>
      <c r="AI290" s="49"/>
      <c r="AJ290" s="49"/>
      <c r="AK290" s="49"/>
      <c r="AL290" s="119"/>
      <c r="AM290" s="49"/>
      <c r="AN290" s="119"/>
      <c r="AO290" s="49"/>
      <c r="AP290" s="119"/>
      <c r="AQ290" s="49"/>
      <c r="AR290" s="49"/>
      <c r="AS290" s="49"/>
      <c r="AT290" s="51"/>
    </row>
    <row r="291" spans="1:46" s="47" customFormat="1" ht="12.75" customHeight="1">
      <c r="A291" s="49"/>
      <c r="B291" s="51"/>
      <c r="C291" s="49"/>
      <c r="E291" s="119"/>
      <c r="F291" s="49"/>
      <c r="G291" s="119"/>
      <c r="H291" s="49"/>
      <c r="I291" s="119"/>
      <c r="J291" s="49"/>
      <c r="K291" s="119"/>
      <c r="L291" s="49"/>
      <c r="M291" s="119"/>
      <c r="N291" s="49"/>
      <c r="O291" s="119"/>
      <c r="P291" s="49"/>
      <c r="Q291" s="119"/>
      <c r="R291" s="49"/>
      <c r="S291" s="119"/>
      <c r="T291" s="49"/>
      <c r="U291" s="119"/>
      <c r="V291" s="49"/>
      <c r="W291" s="49"/>
      <c r="X291" s="49"/>
      <c r="Z291" s="49"/>
      <c r="AA291" s="49"/>
      <c r="AB291" s="119"/>
      <c r="AC291" s="51"/>
      <c r="AD291" s="119"/>
      <c r="AE291" s="51"/>
      <c r="AF291" s="119"/>
      <c r="AG291" s="51"/>
      <c r="AH291" s="49"/>
      <c r="AI291" s="49"/>
      <c r="AJ291" s="49"/>
      <c r="AK291" s="49"/>
      <c r="AL291" s="119"/>
      <c r="AM291" s="49"/>
      <c r="AN291" s="119"/>
      <c r="AO291" s="49"/>
      <c r="AP291" s="119"/>
      <c r="AQ291" s="49"/>
      <c r="AR291" s="49"/>
      <c r="AS291" s="49"/>
      <c r="AT291" s="51"/>
    </row>
    <row r="292" spans="1:46" s="47" customFormat="1" ht="12.75" customHeight="1">
      <c r="A292" s="49"/>
      <c r="B292" s="51"/>
      <c r="C292" s="49"/>
      <c r="E292" s="119"/>
      <c r="F292" s="49"/>
      <c r="G292" s="119"/>
      <c r="H292" s="49"/>
      <c r="I292" s="119"/>
      <c r="J292" s="49"/>
      <c r="K292" s="119"/>
      <c r="L292" s="49"/>
      <c r="M292" s="119"/>
      <c r="N292" s="49"/>
      <c r="O292" s="119"/>
      <c r="P292" s="49"/>
      <c r="Q292" s="119"/>
      <c r="R292" s="49"/>
      <c r="S292" s="119"/>
      <c r="T292" s="49"/>
      <c r="U292" s="119"/>
      <c r="V292" s="49"/>
      <c r="W292" s="49"/>
      <c r="X292" s="49"/>
      <c r="Z292" s="49"/>
      <c r="AA292" s="49"/>
      <c r="AB292" s="119"/>
      <c r="AC292" s="51"/>
      <c r="AD292" s="119"/>
      <c r="AE292" s="51"/>
      <c r="AF292" s="119"/>
      <c r="AG292" s="51"/>
      <c r="AH292" s="49"/>
      <c r="AI292" s="49"/>
      <c r="AJ292" s="49"/>
      <c r="AK292" s="49"/>
      <c r="AL292" s="119"/>
      <c r="AM292" s="49"/>
      <c r="AN292" s="119"/>
      <c r="AO292" s="49"/>
      <c r="AP292" s="119"/>
      <c r="AQ292" s="49"/>
      <c r="AR292" s="49"/>
      <c r="AS292" s="49"/>
      <c r="AT292" s="51"/>
    </row>
    <row r="293" spans="1:46" s="47" customFormat="1" ht="12.75" customHeight="1">
      <c r="A293" s="49"/>
      <c r="B293" s="51"/>
      <c r="C293" s="49"/>
      <c r="E293" s="119"/>
      <c r="F293" s="49"/>
      <c r="G293" s="119"/>
      <c r="H293" s="49"/>
      <c r="I293" s="119"/>
      <c r="J293" s="49"/>
      <c r="K293" s="119"/>
      <c r="L293" s="49"/>
      <c r="M293" s="119"/>
      <c r="N293" s="49"/>
      <c r="O293" s="119"/>
      <c r="P293" s="49"/>
      <c r="Q293" s="119"/>
      <c r="R293" s="49"/>
      <c r="S293" s="119"/>
      <c r="T293" s="49"/>
      <c r="U293" s="119"/>
      <c r="V293" s="49"/>
      <c r="W293" s="49"/>
      <c r="X293" s="49"/>
      <c r="Z293" s="49"/>
      <c r="AA293" s="49"/>
      <c r="AB293" s="119"/>
      <c r="AC293" s="51"/>
      <c r="AD293" s="119"/>
      <c r="AE293" s="51"/>
      <c r="AF293" s="119"/>
      <c r="AG293" s="51"/>
      <c r="AH293" s="49"/>
      <c r="AI293" s="49"/>
      <c r="AJ293" s="49"/>
      <c r="AK293" s="49"/>
      <c r="AL293" s="119"/>
      <c r="AM293" s="49"/>
      <c r="AN293" s="119"/>
      <c r="AO293" s="49"/>
      <c r="AP293" s="119"/>
      <c r="AQ293" s="49"/>
      <c r="AR293" s="49"/>
      <c r="AS293" s="49"/>
      <c r="AT293" s="51"/>
    </row>
    <row r="294" spans="1:46" s="47" customFormat="1" ht="12.75" customHeight="1">
      <c r="A294" s="49"/>
      <c r="B294" s="51"/>
      <c r="C294" s="49"/>
      <c r="E294" s="119"/>
      <c r="F294" s="49"/>
      <c r="G294" s="119"/>
      <c r="H294" s="49"/>
      <c r="I294" s="119"/>
      <c r="J294" s="49"/>
      <c r="K294" s="119"/>
      <c r="L294" s="49"/>
      <c r="M294" s="119"/>
      <c r="N294" s="49"/>
      <c r="O294" s="119"/>
      <c r="P294" s="49"/>
      <c r="Q294" s="119"/>
      <c r="R294" s="49"/>
      <c r="S294" s="119"/>
      <c r="T294" s="49"/>
      <c r="U294" s="119"/>
      <c r="V294" s="49"/>
      <c r="W294" s="49"/>
      <c r="X294" s="49"/>
      <c r="Z294" s="49"/>
      <c r="AA294" s="49"/>
      <c r="AB294" s="119"/>
      <c r="AC294" s="51"/>
      <c r="AD294" s="119"/>
      <c r="AE294" s="51"/>
      <c r="AF294" s="119"/>
      <c r="AG294" s="51"/>
      <c r="AH294" s="49"/>
      <c r="AI294" s="49"/>
      <c r="AJ294" s="49"/>
      <c r="AK294" s="49"/>
      <c r="AL294" s="119"/>
      <c r="AM294" s="49"/>
      <c r="AN294" s="119"/>
      <c r="AO294" s="49"/>
      <c r="AP294" s="119"/>
      <c r="AQ294" s="49"/>
      <c r="AR294" s="49"/>
      <c r="AS294" s="49"/>
      <c r="AT294" s="51"/>
    </row>
    <row r="295" spans="1:46" s="47" customFormat="1" ht="12.75" customHeight="1">
      <c r="A295" s="49"/>
      <c r="B295" s="51"/>
      <c r="C295" s="49"/>
      <c r="E295" s="119"/>
      <c r="F295" s="49"/>
      <c r="G295" s="119"/>
      <c r="H295" s="49"/>
      <c r="I295" s="119"/>
      <c r="J295" s="49"/>
      <c r="K295" s="119"/>
      <c r="L295" s="49"/>
      <c r="M295" s="119"/>
      <c r="N295" s="49"/>
      <c r="O295" s="119"/>
      <c r="P295" s="49"/>
      <c r="Q295" s="119"/>
      <c r="R295" s="49"/>
      <c r="S295" s="119"/>
      <c r="T295" s="49"/>
      <c r="U295" s="119"/>
      <c r="V295" s="49"/>
      <c r="W295" s="49"/>
      <c r="X295" s="49"/>
      <c r="Z295" s="49"/>
      <c r="AA295" s="49"/>
      <c r="AB295" s="119"/>
      <c r="AC295" s="51"/>
      <c r="AD295" s="119"/>
      <c r="AE295" s="51"/>
      <c r="AF295" s="119"/>
      <c r="AG295" s="51"/>
      <c r="AH295" s="49"/>
      <c r="AI295" s="49"/>
      <c r="AJ295" s="49"/>
      <c r="AK295" s="49"/>
      <c r="AL295" s="119"/>
      <c r="AM295" s="49"/>
      <c r="AN295" s="119"/>
      <c r="AO295" s="49"/>
      <c r="AP295" s="119"/>
      <c r="AQ295" s="49"/>
      <c r="AR295" s="49"/>
      <c r="AS295" s="49"/>
      <c r="AT295" s="51"/>
    </row>
    <row r="296" spans="1:46" s="47" customFormat="1" ht="12.75" customHeight="1">
      <c r="A296" s="49"/>
      <c r="B296" s="51"/>
      <c r="C296" s="49"/>
      <c r="E296" s="119"/>
      <c r="F296" s="49"/>
      <c r="G296" s="119"/>
      <c r="H296" s="49"/>
      <c r="I296" s="119"/>
      <c r="J296" s="49"/>
      <c r="K296" s="119"/>
      <c r="L296" s="49"/>
      <c r="M296" s="119"/>
      <c r="N296" s="49"/>
      <c r="O296" s="119"/>
      <c r="P296" s="49"/>
      <c r="Q296" s="119"/>
      <c r="R296" s="49"/>
      <c r="S296" s="119"/>
      <c r="T296" s="49"/>
      <c r="U296" s="119"/>
      <c r="V296" s="49"/>
      <c r="W296" s="49"/>
      <c r="X296" s="49"/>
      <c r="Z296" s="49"/>
      <c r="AA296" s="49"/>
      <c r="AB296" s="119"/>
      <c r="AC296" s="51"/>
      <c r="AD296" s="119"/>
      <c r="AE296" s="51"/>
      <c r="AF296" s="119"/>
      <c r="AG296" s="51"/>
      <c r="AH296" s="49"/>
      <c r="AI296" s="49"/>
      <c r="AJ296" s="49"/>
      <c r="AK296" s="49"/>
      <c r="AL296" s="119"/>
      <c r="AM296" s="49"/>
      <c r="AN296" s="119"/>
      <c r="AO296" s="49"/>
      <c r="AP296" s="119"/>
      <c r="AQ296" s="49"/>
      <c r="AR296" s="49"/>
      <c r="AS296" s="49"/>
      <c r="AT296" s="51"/>
    </row>
    <row r="297" spans="1:46" s="47" customFormat="1" ht="12.75" customHeight="1">
      <c r="A297" s="49"/>
      <c r="B297" s="51"/>
      <c r="C297" s="49"/>
      <c r="E297" s="119"/>
      <c r="F297" s="49"/>
      <c r="G297" s="119"/>
      <c r="H297" s="49"/>
      <c r="I297" s="119"/>
      <c r="J297" s="49"/>
      <c r="K297" s="119"/>
      <c r="L297" s="49"/>
      <c r="M297" s="119"/>
      <c r="N297" s="49"/>
      <c r="O297" s="119"/>
      <c r="P297" s="49"/>
      <c r="Q297" s="119"/>
      <c r="R297" s="49"/>
      <c r="S297" s="119"/>
      <c r="T297" s="49"/>
      <c r="U297" s="119"/>
      <c r="V297" s="49"/>
      <c r="W297" s="49"/>
      <c r="X297" s="49"/>
      <c r="Z297" s="49"/>
      <c r="AA297" s="49"/>
      <c r="AB297" s="119"/>
      <c r="AC297" s="51"/>
      <c r="AD297" s="119"/>
      <c r="AE297" s="51"/>
      <c r="AF297" s="119"/>
      <c r="AG297" s="51"/>
      <c r="AH297" s="49"/>
      <c r="AI297" s="49"/>
      <c r="AJ297" s="49"/>
      <c r="AK297" s="49"/>
      <c r="AL297" s="119"/>
      <c r="AM297" s="49"/>
      <c r="AN297" s="119"/>
      <c r="AO297" s="49"/>
      <c r="AP297" s="119"/>
      <c r="AQ297" s="49"/>
      <c r="AR297" s="49"/>
      <c r="AS297" s="49"/>
      <c r="AT297" s="51"/>
    </row>
    <row r="298" spans="1:46" s="47" customFormat="1" ht="12.75" customHeight="1">
      <c r="A298" s="49"/>
      <c r="B298" s="51"/>
      <c r="C298" s="49"/>
      <c r="E298" s="119"/>
      <c r="F298" s="49"/>
      <c r="G298" s="119"/>
      <c r="H298" s="49"/>
      <c r="I298" s="119"/>
      <c r="J298" s="49"/>
      <c r="K298" s="119"/>
      <c r="L298" s="49"/>
      <c r="M298" s="119"/>
      <c r="N298" s="49"/>
      <c r="O298" s="119"/>
      <c r="P298" s="49"/>
      <c r="Q298" s="119"/>
      <c r="R298" s="49"/>
      <c r="S298" s="119"/>
      <c r="T298" s="49"/>
      <c r="U298" s="119"/>
      <c r="V298" s="49"/>
      <c r="W298" s="49"/>
      <c r="X298" s="49"/>
      <c r="Z298" s="49"/>
      <c r="AA298" s="49"/>
      <c r="AB298" s="119"/>
      <c r="AC298" s="51"/>
      <c r="AD298" s="119"/>
      <c r="AE298" s="51"/>
      <c r="AF298" s="119"/>
      <c r="AG298" s="51"/>
      <c r="AH298" s="49"/>
      <c r="AI298" s="49"/>
      <c r="AJ298" s="49"/>
      <c r="AK298" s="49"/>
      <c r="AL298" s="119"/>
      <c r="AM298" s="49"/>
      <c r="AN298" s="119"/>
      <c r="AO298" s="49"/>
      <c r="AP298" s="119"/>
      <c r="AQ298" s="49"/>
      <c r="AR298" s="49"/>
      <c r="AS298" s="49"/>
      <c r="AT298" s="51"/>
    </row>
    <row r="299" spans="1:46" s="47" customFormat="1" ht="12.75" customHeight="1">
      <c r="A299" s="49"/>
      <c r="B299" s="51"/>
      <c r="C299" s="49"/>
      <c r="E299" s="119"/>
      <c r="F299" s="49"/>
      <c r="G299" s="119"/>
      <c r="H299" s="49"/>
      <c r="I299" s="119"/>
      <c r="J299" s="49"/>
      <c r="K299" s="119"/>
      <c r="L299" s="49"/>
      <c r="M299" s="119"/>
      <c r="N299" s="49"/>
      <c r="O299" s="119"/>
      <c r="P299" s="49"/>
      <c r="Q299" s="119"/>
      <c r="R299" s="49"/>
      <c r="S299" s="119"/>
      <c r="T299" s="49"/>
      <c r="U299" s="119"/>
      <c r="V299" s="49"/>
      <c r="W299" s="49"/>
      <c r="X299" s="49"/>
      <c r="Z299" s="49"/>
      <c r="AA299" s="49"/>
      <c r="AB299" s="119"/>
      <c r="AC299" s="51"/>
      <c r="AD299" s="119"/>
      <c r="AE299" s="51"/>
      <c r="AF299" s="119"/>
      <c r="AG299" s="51"/>
      <c r="AH299" s="49"/>
      <c r="AI299" s="49"/>
      <c r="AJ299" s="49"/>
      <c r="AK299" s="49"/>
      <c r="AL299" s="119"/>
      <c r="AM299" s="49"/>
      <c r="AN299" s="119"/>
      <c r="AO299" s="49"/>
      <c r="AP299" s="119"/>
      <c r="AQ299" s="49"/>
      <c r="AR299" s="49"/>
      <c r="AS299" s="49"/>
      <c r="AT299" s="51"/>
    </row>
    <row r="300" spans="1:46" s="47" customFormat="1" ht="12.75" customHeight="1">
      <c r="A300" s="49"/>
      <c r="B300" s="51"/>
      <c r="C300" s="49"/>
      <c r="E300" s="119"/>
      <c r="F300" s="49"/>
      <c r="G300" s="119"/>
      <c r="H300" s="49"/>
      <c r="I300" s="119"/>
      <c r="J300" s="49"/>
      <c r="K300" s="119"/>
      <c r="L300" s="49"/>
      <c r="M300" s="119"/>
      <c r="N300" s="49"/>
      <c r="O300" s="119"/>
      <c r="P300" s="49"/>
      <c r="Q300" s="119"/>
      <c r="R300" s="49"/>
      <c r="S300" s="119"/>
      <c r="T300" s="49"/>
      <c r="U300" s="119"/>
      <c r="V300" s="49"/>
      <c r="W300" s="49"/>
      <c r="X300" s="49"/>
      <c r="Z300" s="49"/>
      <c r="AA300" s="49"/>
      <c r="AB300" s="119"/>
      <c r="AC300" s="51"/>
      <c r="AD300" s="119"/>
      <c r="AE300" s="51"/>
      <c r="AF300" s="119"/>
      <c r="AG300" s="51"/>
      <c r="AH300" s="49"/>
      <c r="AI300" s="49"/>
      <c r="AJ300" s="49"/>
      <c r="AK300" s="49"/>
      <c r="AL300" s="119"/>
      <c r="AM300" s="49"/>
      <c r="AN300" s="119"/>
      <c r="AO300" s="49"/>
      <c r="AP300" s="119"/>
      <c r="AQ300" s="49"/>
      <c r="AR300" s="49"/>
      <c r="AS300" s="49"/>
      <c r="AT300" s="51"/>
    </row>
    <row r="301" spans="1:46" s="47" customFormat="1" ht="12.75" customHeight="1">
      <c r="A301" s="49"/>
      <c r="B301" s="51"/>
      <c r="C301" s="49"/>
      <c r="E301" s="119"/>
      <c r="F301" s="49"/>
      <c r="G301" s="119"/>
      <c r="H301" s="49"/>
      <c r="I301" s="119"/>
      <c r="J301" s="49"/>
      <c r="K301" s="119"/>
      <c r="L301" s="49"/>
      <c r="M301" s="119"/>
      <c r="N301" s="49"/>
      <c r="O301" s="119"/>
      <c r="P301" s="49"/>
      <c r="Q301" s="119"/>
      <c r="R301" s="49"/>
      <c r="S301" s="119"/>
      <c r="T301" s="49"/>
      <c r="U301" s="119"/>
      <c r="V301" s="49"/>
      <c r="W301" s="49"/>
      <c r="X301" s="49"/>
      <c r="Z301" s="49"/>
      <c r="AA301" s="49"/>
      <c r="AB301" s="119"/>
      <c r="AC301" s="51"/>
      <c r="AD301" s="119"/>
      <c r="AE301" s="51"/>
      <c r="AF301" s="119"/>
      <c r="AG301" s="51"/>
      <c r="AH301" s="49"/>
      <c r="AI301" s="49"/>
      <c r="AJ301" s="49"/>
      <c r="AK301" s="49"/>
      <c r="AL301" s="119"/>
      <c r="AM301" s="49"/>
      <c r="AN301" s="119"/>
      <c r="AO301" s="49"/>
      <c r="AP301" s="119"/>
      <c r="AQ301" s="49"/>
      <c r="AR301" s="49"/>
      <c r="AS301" s="49"/>
      <c r="AT301" s="51"/>
    </row>
    <row r="302" spans="1:46" s="47" customFormat="1" ht="12.75" customHeight="1">
      <c r="A302" s="49"/>
      <c r="B302" s="51"/>
      <c r="C302" s="49"/>
      <c r="E302" s="119"/>
      <c r="F302" s="49"/>
      <c r="G302" s="119"/>
      <c r="H302" s="49"/>
      <c r="I302" s="119"/>
      <c r="J302" s="49"/>
      <c r="K302" s="119"/>
      <c r="L302" s="49"/>
      <c r="M302" s="119"/>
      <c r="N302" s="49"/>
      <c r="O302" s="119"/>
      <c r="P302" s="49"/>
      <c r="Q302" s="119"/>
      <c r="R302" s="49"/>
      <c r="S302" s="119"/>
      <c r="T302" s="49"/>
      <c r="U302" s="119"/>
      <c r="V302" s="49"/>
      <c r="W302" s="49"/>
      <c r="X302" s="49"/>
      <c r="Z302" s="49"/>
      <c r="AA302" s="49"/>
      <c r="AB302" s="119"/>
      <c r="AC302" s="51"/>
      <c r="AD302" s="119"/>
      <c r="AE302" s="51"/>
      <c r="AF302" s="119"/>
      <c r="AG302" s="51"/>
      <c r="AH302" s="49"/>
      <c r="AI302" s="49"/>
      <c r="AJ302" s="49"/>
      <c r="AK302" s="49"/>
      <c r="AL302" s="119"/>
      <c r="AM302" s="49"/>
      <c r="AN302" s="119"/>
      <c r="AO302" s="49"/>
      <c r="AP302" s="119"/>
      <c r="AQ302" s="49"/>
      <c r="AR302" s="49"/>
      <c r="AS302" s="49"/>
      <c r="AT302" s="51"/>
    </row>
    <row r="303" spans="1:46" ht="12.75" customHeight="1">
      <c r="E303" s="119"/>
      <c r="G303" s="119"/>
      <c r="I303" s="119"/>
      <c r="K303" s="119"/>
      <c r="M303" s="119"/>
      <c r="O303" s="119"/>
      <c r="Q303" s="119"/>
      <c r="S303" s="119"/>
      <c r="U303" s="119"/>
      <c r="AB303" s="119"/>
      <c r="AD303" s="119"/>
      <c r="AF303" s="119"/>
      <c r="AL303" s="119"/>
      <c r="AN303" s="119"/>
      <c r="AP303" s="119"/>
    </row>
  </sheetData>
  <mergeCells count="2">
    <mergeCell ref="AS122:AT122"/>
    <mergeCell ref="AS226:AT226"/>
  </mergeCells>
  <phoneticPr fontId="4" type="noConversion"/>
  <pageMargins left="0.75" right="0.75" top="0.5" bottom="0.5" header="0" footer="0.3"/>
  <pageSetup scale="84" firstPageNumber="82" pageOrder="overThenDown" orientation="portrait" useFirstPageNumber="1" r:id="rId1"/>
  <headerFooter alignWithMargins="0">
    <oddFooter>&amp;C&amp;"Times New Roman,Regular"&amp;12&amp;P</oddFooter>
  </headerFooter>
  <colBreaks count="1" manualBreakCount="1">
    <brk id="16" min="9" max="2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28</vt:i4>
      </vt:variant>
    </vt:vector>
  </HeadingPairs>
  <TitlesOfParts>
    <vt:vector size="42" baseType="lpstr">
      <vt:lpstr>Stmt net assets</vt:lpstr>
      <vt:lpstr>Stmt of activities-GA rev</vt:lpstr>
      <vt:lpstr>Stmt of activities-GAexp</vt:lpstr>
      <vt:lpstr>Gen Bal</vt:lpstr>
      <vt:lpstr>GV Fund BS</vt:lpstr>
      <vt:lpstr>Gen rev</vt:lpstr>
      <vt:lpstr>Gen exp</vt:lpstr>
      <vt:lpstr>GVFund Rev</vt:lpstr>
      <vt:lpstr>GVFund Exp</vt:lpstr>
      <vt:lpstr>Water</vt:lpstr>
      <vt:lpstr>Sewer</vt:lpstr>
      <vt:lpstr>Electric</vt:lpstr>
      <vt:lpstr>LT Lia GA</vt:lpstr>
      <vt:lpstr>Sanitation</vt:lpstr>
      <vt:lpstr>Electric!Print_Area</vt:lpstr>
      <vt:lpstr>'Gen Bal'!Print_Area</vt:lpstr>
      <vt:lpstr>'Gen exp'!Print_Area</vt:lpstr>
      <vt:lpstr>'Gen rev'!Print_Area</vt:lpstr>
      <vt:lpstr>'GV Fund BS'!Print_Area</vt:lpstr>
      <vt:lpstr>'GVFund Exp'!Print_Area</vt:lpstr>
      <vt:lpstr>'GVFund Rev'!Print_Area</vt:lpstr>
      <vt:lpstr>'LT Lia GA'!Print_Area</vt:lpstr>
      <vt:lpstr>Sanitation!Print_Area</vt:lpstr>
      <vt:lpstr>Sewer!Print_Area</vt:lpstr>
      <vt:lpstr>'Stmt net assets'!Print_Area</vt:lpstr>
      <vt:lpstr>'Stmt of activities-GA rev'!Print_Area</vt:lpstr>
      <vt:lpstr>'Stmt of activities-GAexp'!Print_Area</vt:lpstr>
      <vt:lpstr>Water!Print_Area</vt:lpstr>
      <vt:lpstr>Electric!Print_Titles</vt:lpstr>
      <vt:lpstr>'Gen Bal'!Print_Titles</vt:lpstr>
      <vt:lpstr>'Gen exp'!Print_Titles</vt:lpstr>
      <vt:lpstr>'Gen rev'!Print_Titles</vt:lpstr>
      <vt:lpstr>'GV Fund BS'!Print_Titles</vt:lpstr>
      <vt:lpstr>'GVFund Exp'!Print_Titles</vt:lpstr>
      <vt:lpstr>'GVFund Rev'!Print_Titles</vt:lpstr>
      <vt:lpstr>'LT Lia GA'!Print_Titles</vt:lpstr>
      <vt:lpstr>Sanitation!Print_Titles</vt:lpstr>
      <vt:lpstr>Sewer!Print_Titles</vt:lpstr>
      <vt:lpstr>'Stmt net assets'!Print_Titles</vt:lpstr>
      <vt:lpstr>'Stmt of activities-GA rev'!Print_Titles</vt:lpstr>
      <vt:lpstr>'Stmt of activities-GAexp'!Print_Titles</vt:lpstr>
      <vt:lpstr>Water!Print_Titles</vt:lpstr>
    </vt:vector>
  </TitlesOfParts>
  <Company>Auditor of State of Ohio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James L. Puthoff</cp:lastModifiedBy>
  <cp:lastPrinted>2011-08-25T17:47:18Z</cp:lastPrinted>
  <dcterms:created xsi:type="dcterms:W3CDTF">2004-05-27T13:05:31Z</dcterms:created>
  <dcterms:modified xsi:type="dcterms:W3CDTF">2011-08-25T18:03:10Z</dcterms:modified>
</cp:coreProperties>
</file>